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meo\Desktop\"/>
    </mc:Choice>
  </mc:AlternateContent>
  <bookViews>
    <workbookView xWindow="0" yWindow="0" windowWidth="10050" windowHeight="6225"/>
  </bookViews>
  <sheets>
    <sheet name="import_pays_produit_2014" sheetId="1" r:id="rId1"/>
  </sheets>
  <definedNames>
    <definedName name="_xlnm._FilterDatabase" localSheetId="0" hidden="1">import_pays_produit_2014!$A$14:$D$14585</definedName>
  </definedNames>
  <calcPr calcId="0"/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6" i="1"/>
  <c r="A17" i="1"/>
  <c r="B17" i="1"/>
  <c r="A18" i="1"/>
  <c r="B18" i="1"/>
  <c r="A19" i="1"/>
  <c r="B19" i="1"/>
  <c r="A20" i="1"/>
  <c r="B20" i="1"/>
  <c r="B21" i="1"/>
  <c r="A22" i="1"/>
  <c r="B22" i="1"/>
  <c r="A23" i="1"/>
  <c r="B23" i="1"/>
  <c r="A24" i="1"/>
  <c r="B24" i="1"/>
  <c r="A25" i="1"/>
  <c r="B25" i="1"/>
  <c r="A26" i="1"/>
  <c r="B26" i="1"/>
  <c r="A27" i="1"/>
  <c r="B27" i="1"/>
  <c r="A28" i="1"/>
  <c r="B28" i="1"/>
  <c r="A29" i="1"/>
  <c r="B29" i="1"/>
  <c r="A30" i="1"/>
  <c r="B30" i="1"/>
  <c r="A31" i="1"/>
  <c r="B31" i="1"/>
  <c r="A32" i="1"/>
  <c r="B32" i="1"/>
  <c r="A33" i="1"/>
  <c r="B33" i="1"/>
  <c r="A34" i="1"/>
  <c r="B34" i="1"/>
  <c r="A35" i="1"/>
  <c r="B35" i="1"/>
  <c r="A36" i="1"/>
  <c r="B36" i="1"/>
  <c r="A37" i="1"/>
  <c r="B37" i="1"/>
  <c r="A38" i="1"/>
  <c r="B38" i="1"/>
  <c r="A39" i="1"/>
  <c r="B39" i="1"/>
  <c r="A40" i="1"/>
  <c r="B40" i="1"/>
  <c r="A41" i="1"/>
  <c r="B41" i="1"/>
  <c r="A42" i="1"/>
  <c r="B42" i="1"/>
  <c r="A43" i="1"/>
  <c r="B43" i="1"/>
  <c r="A44" i="1"/>
  <c r="B44" i="1"/>
  <c r="A45" i="1"/>
  <c r="B45" i="1"/>
  <c r="A46" i="1"/>
  <c r="B46" i="1"/>
  <c r="A47" i="1"/>
  <c r="B47" i="1"/>
  <c r="A48" i="1"/>
  <c r="B48" i="1"/>
  <c r="A49" i="1"/>
  <c r="B49" i="1"/>
  <c r="A50" i="1"/>
  <c r="B50" i="1"/>
  <c r="A51" i="1"/>
  <c r="B51" i="1"/>
  <c r="A52" i="1"/>
  <c r="B52" i="1"/>
  <c r="A53" i="1"/>
  <c r="B53" i="1"/>
  <c r="A54" i="1"/>
  <c r="B54" i="1"/>
  <c r="A55" i="1"/>
  <c r="B55" i="1"/>
  <c r="A56" i="1"/>
  <c r="B56" i="1"/>
  <c r="A57" i="1"/>
  <c r="B57" i="1"/>
  <c r="A58" i="1"/>
  <c r="B58" i="1"/>
  <c r="A59" i="1"/>
  <c r="B59" i="1"/>
  <c r="A60" i="1"/>
  <c r="B60" i="1"/>
  <c r="A61" i="1"/>
  <c r="B61" i="1"/>
  <c r="A62" i="1"/>
  <c r="B62" i="1"/>
  <c r="A63" i="1"/>
  <c r="B63" i="1"/>
  <c r="A64" i="1"/>
  <c r="B64" i="1"/>
  <c r="A65" i="1"/>
  <c r="B65" i="1"/>
  <c r="A66" i="1"/>
  <c r="B66" i="1"/>
  <c r="A67" i="1"/>
  <c r="B67" i="1"/>
  <c r="A68" i="1"/>
  <c r="B68" i="1"/>
  <c r="A69" i="1"/>
  <c r="B69" i="1"/>
  <c r="A70" i="1"/>
  <c r="B70" i="1"/>
  <c r="A71" i="1"/>
  <c r="B71" i="1"/>
  <c r="A72" i="1"/>
  <c r="B72" i="1"/>
  <c r="A73" i="1"/>
  <c r="B73" i="1"/>
  <c r="A74" i="1"/>
  <c r="B74" i="1"/>
  <c r="A75" i="1"/>
  <c r="B75" i="1"/>
  <c r="A76" i="1"/>
  <c r="B76" i="1"/>
  <c r="A77" i="1"/>
  <c r="B77" i="1"/>
  <c r="A78" i="1"/>
  <c r="B78" i="1"/>
  <c r="A79" i="1"/>
  <c r="B79" i="1"/>
  <c r="A80" i="1"/>
  <c r="B80" i="1"/>
  <c r="A81" i="1"/>
  <c r="B81" i="1"/>
  <c r="A82" i="1"/>
  <c r="B82" i="1"/>
  <c r="A83" i="1"/>
  <c r="B83" i="1"/>
  <c r="A84" i="1"/>
  <c r="B84" i="1"/>
  <c r="A85" i="1"/>
  <c r="B85" i="1"/>
  <c r="A86" i="1"/>
  <c r="B86" i="1"/>
  <c r="A87" i="1"/>
  <c r="B87" i="1"/>
  <c r="A88" i="1"/>
  <c r="B88" i="1"/>
  <c r="A89" i="1"/>
  <c r="B89" i="1"/>
  <c r="A90" i="1"/>
  <c r="B90" i="1"/>
  <c r="A91" i="1"/>
  <c r="B91" i="1"/>
  <c r="A92" i="1"/>
  <c r="B92" i="1"/>
  <c r="A93" i="1"/>
  <c r="B93" i="1"/>
  <c r="A94" i="1"/>
  <c r="B94" i="1"/>
  <c r="A95" i="1"/>
  <c r="B95" i="1"/>
  <c r="A96" i="1"/>
  <c r="B96" i="1"/>
  <c r="A97" i="1"/>
  <c r="B97" i="1"/>
  <c r="A98" i="1"/>
  <c r="B98" i="1"/>
  <c r="A99" i="1"/>
  <c r="B99" i="1"/>
  <c r="A100" i="1"/>
  <c r="B100" i="1"/>
  <c r="A101" i="1"/>
  <c r="B101" i="1"/>
  <c r="A102" i="1"/>
  <c r="B102" i="1"/>
  <c r="A103" i="1"/>
  <c r="B103" i="1"/>
  <c r="A104" i="1"/>
  <c r="B104" i="1"/>
  <c r="A105" i="1"/>
  <c r="B105" i="1"/>
  <c r="A106" i="1"/>
  <c r="B106" i="1"/>
  <c r="A107" i="1"/>
  <c r="B107" i="1"/>
  <c r="A108" i="1"/>
  <c r="B108" i="1"/>
  <c r="A109" i="1"/>
  <c r="B109" i="1"/>
  <c r="A110" i="1"/>
  <c r="B110" i="1"/>
  <c r="A111" i="1"/>
  <c r="B111" i="1"/>
  <c r="A112" i="1"/>
  <c r="B112" i="1"/>
  <c r="A113" i="1"/>
  <c r="B113" i="1"/>
  <c r="A114" i="1"/>
  <c r="B114" i="1"/>
  <c r="A115" i="1"/>
  <c r="B115" i="1"/>
  <c r="A116" i="1"/>
  <c r="B116" i="1"/>
  <c r="A117" i="1"/>
  <c r="B117" i="1"/>
  <c r="A118" i="1"/>
  <c r="B118" i="1"/>
  <c r="A119" i="1"/>
  <c r="B119" i="1"/>
  <c r="A120" i="1"/>
  <c r="B120" i="1"/>
  <c r="A121" i="1"/>
  <c r="B121" i="1"/>
  <c r="A122" i="1"/>
  <c r="B122" i="1"/>
  <c r="A123" i="1"/>
  <c r="B123" i="1"/>
  <c r="A124" i="1"/>
  <c r="B124" i="1"/>
  <c r="A125" i="1"/>
  <c r="B125" i="1"/>
  <c r="A126" i="1"/>
  <c r="B126" i="1"/>
  <c r="A127" i="1"/>
  <c r="B127" i="1"/>
  <c r="A128" i="1"/>
  <c r="B128" i="1"/>
  <c r="A129" i="1"/>
  <c r="B129" i="1"/>
  <c r="A130" i="1"/>
  <c r="B130" i="1"/>
  <c r="A131" i="1"/>
  <c r="B131" i="1"/>
  <c r="A132" i="1"/>
  <c r="B132" i="1"/>
  <c r="A133" i="1"/>
  <c r="B133" i="1"/>
  <c r="A134" i="1"/>
  <c r="B134" i="1"/>
  <c r="A135" i="1"/>
  <c r="B135" i="1"/>
  <c r="A136" i="1"/>
  <c r="B136" i="1"/>
  <c r="A137" i="1"/>
  <c r="B137" i="1"/>
  <c r="A138" i="1"/>
  <c r="B138" i="1"/>
  <c r="A139" i="1"/>
  <c r="B139" i="1"/>
  <c r="A140" i="1"/>
  <c r="B140" i="1"/>
  <c r="A141" i="1"/>
  <c r="B141" i="1"/>
  <c r="A142" i="1"/>
  <c r="B142" i="1"/>
  <c r="A143" i="1"/>
  <c r="B143" i="1"/>
  <c r="A144" i="1"/>
  <c r="B144" i="1"/>
  <c r="A145" i="1"/>
  <c r="B145" i="1"/>
  <c r="A146" i="1"/>
  <c r="B146" i="1"/>
  <c r="A147" i="1"/>
  <c r="B147" i="1"/>
  <c r="A148" i="1"/>
  <c r="B148" i="1"/>
  <c r="A149" i="1"/>
  <c r="B149" i="1"/>
  <c r="A150" i="1"/>
  <c r="B150" i="1"/>
  <c r="A151" i="1"/>
  <c r="B151" i="1"/>
  <c r="A152" i="1"/>
  <c r="B152" i="1"/>
  <c r="A153" i="1"/>
  <c r="B153" i="1"/>
  <c r="A154" i="1"/>
  <c r="B154" i="1"/>
  <c r="A155" i="1"/>
  <c r="B155" i="1"/>
  <c r="A156" i="1"/>
  <c r="B156" i="1"/>
  <c r="A157" i="1"/>
  <c r="B157" i="1"/>
  <c r="A158" i="1"/>
  <c r="B158" i="1"/>
  <c r="A159" i="1"/>
  <c r="B159" i="1"/>
  <c r="A160" i="1"/>
  <c r="B160" i="1"/>
  <c r="A161" i="1"/>
  <c r="B161" i="1"/>
  <c r="A162" i="1"/>
  <c r="B162" i="1"/>
  <c r="A163" i="1"/>
  <c r="B163" i="1"/>
  <c r="A164" i="1"/>
  <c r="B164" i="1"/>
  <c r="A165" i="1"/>
  <c r="B165" i="1"/>
  <c r="A166" i="1"/>
  <c r="B166" i="1"/>
  <c r="A167" i="1"/>
  <c r="B167" i="1"/>
  <c r="A168" i="1"/>
  <c r="B168" i="1"/>
  <c r="A169" i="1"/>
  <c r="B169" i="1"/>
  <c r="A170" i="1"/>
  <c r="B170" i="1"/>
  <c r="A171" i="1"/>
  <c r="B171" i="1"/>
  <c r="A172" i="1"/>
  <c r="B172" i="1"/>
  <c r="A173" i="1"/>
  <c r="B173" i="1"/>
  <c r="A174" i="1"/>
  <c r="B174" i="1"/>
  <c r="A175" i="1"/>
  <c r="B175" i="1"/>
  <c r="A176" i="1"/>
  <c r="B176" i="1"/>
  <c r="A177" i="1"/>
  <c r="B177" i="1"/>
  <c r="A178" i="1"/>
  <c r="B178" i="1"/>
  <c r="A179" i="1"/>
  <c r="B179" i="1"/>
  <c r="A180" i="1"/>
  <c r="B180" i="1"/>
  <c r="A181" i="1"/>
  <c r="B181" i="1"/>
  <c r="A182" i="1"/>
  <c r="B182" i="1"/>
  <c r="A183" i="1"/>
  <c r="B183" i="1"/>
  <c r="A184" i="1"/>
  <c r="B184" i="1"/>
  <c r="A185" i="1"/>
  <c r="B185" i="1"/>
  <c r="A186" i="1"/>
  <c r="B186" i="1"/>
  <c r="A187" i="1"/>
  <c r="B187" i="1"/>
  <c r="A188" i="1"/>
  <c r="B188" i="1"/>
  <c r="A189" i="1"/>
  <c r="B189" i="1"/>
  <c r="A190" i="1"/>
  <c r="B190" i="1"/>
  <c r="A191" i="1"/>
  <c r="B191" i="1"/>
  <c r="A192" i="1"/>
  <c r="B192" i="1"/>
  <c r="A193" i="1"/>
  <c r="B193" i="1"/>
  <c r="A194" i="1"/>
  <c r="B194" i="1"/>
  <c r="A195" i="1"/>
  <c r="B195" i="1"/>
  <c r="A196" i="1"/>
  <c r="B196" i="1"/>
  <c r="A197" i="1"/>
  <c r="B197" i="1"/>
  <c r="A198" i="1"/>
  <c r="B198" i="1"/>
  <c r="A199" i="1"/>
  <c r="B199" i="1"/>
  <c r="A200" i="1"/>
  <c r="B200" i="1"/>
  <c r="A201" i="1"/>
  <c r="B201" i="1"/>
  <c r="A202" i="1"/>
  <c r="B202" i="1"/>
  <c r="A203" i="1"/>
  <c r="B203" i="1"/>
  <c r="A204" i="1"/>
  <c r="B204" i="1"/>
  <c r="A205" i="1"/>
  <c r="B205" i="1"/>
  <c r="A206" i="1"/>
  <c r="B206" i="1"/>
  <c r="A207" i="1"/>
  <c r="B207" i="1"/>
  <c r="A208" i="1"/>
  <c r="B208" i="1"/>
  <c r="A209" i="1"/>
  <c r="B209" i="1"/>
  <c r="A210" i="1"/>
  <c r="B210" i="1"/>
  <c r="A211" i="1"/>
  <c r="B211" i="1"/>
  <c r="A212" i="1"/>
  <c r="B212" i="1"/>
  <c r="A213" i="1"/>
  <c r="B213" i="1"/>
  <c r="A214" i="1"/>
  <c r="B214" i="1"/>
  <c r="A215" i="1"/>
  <c r="B215" i="1"/>
  <c r="A216" i="1"/>
  <c r="B216" i="1"/>
  <c r="A217" i="1"/>
  <c r="B217" i="1"/>
  <c r="A218" i="1"/>
  <c r="B218" i="1"/>
  <c r="A219" i="1"/>
  <c r="B219" i="1"/>
  <c r="A220" i="1"/>
  <c r="B220" i="1"/>
  <c r="A221" i="1"/>
  <c r="B221" i="1"/>
  <c r="A222" i="1"/>
  <c r="B222" i="1"/>
  <c r="A223" i="1"/>
  <c r="B223" i="1"/>
  <c r="A224" i="1"/>
  <c r="B224" i="1"/>
  <c r="A225" i="1"/>
  <c r="B225" i="1"/>
  <c r="A226" i="1"/>
  <c r="B226" i="1"/>
  <c r="A227" i="1"/>
  <c r="B227" i="1"/>
  <c r="A228" i="1"/>
  <c r="B228" i="1"/>
  <c r="A229" i="1"/>
  <c r="B229" i="1"/>
  <c r="A230" i="1"/>
  <c r="B230" i="1"/>
  <c r="A231" i="1"/>
  <c r="B231" i="1"/>
  <c r="A232" i="1"/>
  <c r="B232" i="1"/>
  <c r="A233" i="1"/>
  <c r="B233" i="1"/>
  <c r="A234" i="1"/>
  <c r="B234" i="1"/>
  <c r="A235" i="1"/>
  <c r="B235" i="1"/>
  <c r="A236" i="1"/>
  <c r="B236" i="1"/>
  <c r="A237" i="1"/>
  <c r="B237" i="1"/>
  <c r="A238" i="1"/>
  <c r="B238" i="1"/>
  <c r="A239" i="1"/>
  <c r="B239" i="1"/>
  <c r="A240" i="1"/>
  <c r="B240" i="1"/>
  <c r="A241" i="1"/>
  <c r="B241" i="1"/>
  <c r="A242" i="1"/>
  <c r="B242" i="1"/>
  <c r="A243" i="1"/>
  <c r="B243" i="1"/>
  <c r="A244" i="1"/>
  <c r="B244" i="1"/>
  <c r="A245" i="1"/>
  <c r="B245" i="1"/>
  <c r="A246" i="1"/>
  <c r="B246" i="1"/>
  <c r="A247" i="1"/>
  <c r="B247" i="1"/>
  <c r="A248" i="1"/>
  <c r="B248" i="1"/>
  <c r="A249" i="1"/>
  <c r="B249" i="1"/>
  <c r="A250" i="1"/>
  <c r="B250" i="1"/>
  <c r="A251" i="1"/>
  <c r="B251" i="1"/>
  <c r="A252" i="1"/>
  <c r="B252" i="1"/>
  <c r="A253" i="1"/>
  <c r="B253" i="1"/>
  <c r="A254" i="1"/>
  <c r="B254" i="1"/>
  <c r="A255" i="1"/>
  <c r="B255" i="1"/>
  <c r="A256" i="1"/>
  <c r="B256" i="1"/>
  <c r="A257" i="1"/>
  <c r="B257" i="1"/>
  <c r="A258" i="1"/>
  <c r="B258" i="1"/>
  <c r="A259" i="1"/>
  <c r="B259" i="1"/>
  <c r="A260" i="1"/>
  <c r="B260" i="1"/>
  <c r="A261" i="1"/>
  <c r="B261" i="1"/>
  <c r="A262" i="1"/>
  <c r="B262" i="1"/>
  <c r="A263" i="1"/>
  <c r="B263" i="1"/>
  <c r="B264" i="1"/>
  <c r="A265" i="1"/>
  <c r="B265" i="1"/>
  <c r="A266" i="1"/>
  <c r="B266" i="1"/>
  <c r="A267" i="1"/>
  <c r="B267" i="1"/>
  <c r="A268" i="1"/>
  <c r="B268" i="1"/>
  <c r="A269" i="1"/>
  <c r="B269" i="1"/>
  <c r="A270" i="1"/>
  <c r="B270" i="1"/>
  <c r="A271" i="1"/>
  <c r="B271" i="1"/>
  <c r="A272" i="1"/>
  <c r="B272" i="1"/>
  <c r="A273" i="1"/>
  <c r="B273" i="1"/>
  <c r="A274" i="1"/>
  <c r="B274" i="1"/>
  <c r="A275" i="1"/>
  <c r="B275" i="1"/>
  <c r="A276" i="1"/>
  <c r="B276" i="1"/>
  <c r="A277" i="1"/>
  <c r="B277" i="1"/>
  <c r="A278" i="1"/>
  <c r="B278" i="1"/>
  <c r="A279" i="1"/>
  <c r="B279" i="1"/>
  <c r="B280" i="1"/>
  <c r="A281" i="1"/>
  <c r="B281" i="1"/>
  <c r="A282" i="1"/>
  <c r="B282" i="1"/>
  <c r="B283" i="1"/>
  <c r="A284" i="1"/>
  <c r="B284" i="1"/>
  <c r="A285" i="1"/>
  <c r="B285" i="1"/>
  <c r="A286" i="1"/>
  <c r="B286" i="1"/>
  <c r="A287" i="1"/>
  <c r="B287" i="1"/>
  <c r="A288" i="1"/>
  <c r="B288" i="1"/>
  <c r="A289" i="1"/>
  <c r="B289" i="1"/>
  <c r="A290" i="1"/>
  <c r="B290" i="1"/>
  <c r="A291" i="1"/>
  <c r="B291" i="1"/>
  <c r="A292" i="1"/>
  <c r="B292" i="1"/>
  <c r="A293" i="1"/>
  <c r="B293" i="1"/>
  <c r="A294" i="1"/>
  <c r="B294" i="1"/>
  <c r="A295" i="1"/>
  <c r="B295" i="1"/>
  <c r="A296" i="1"/>
  <c r="B296" i="1"/>
  <c r="A297" i="1"/>
  <c r="B297" i="1"/>
  <c r="A298" i="1"/>
  <c r="B298" i="1"/>
  <c r="A299" i="1"/>
  <c r="B299" i="1"/>
  <c r="A300" i="1"/>
  <c r="B300" i="1"/>
  <c r="A301" i="1"/>
  <c r="B301" i="1"/>
  <c r="A302" i="1"/>
  <c r="B302" i="1"/>
  <c r="A303" i="1"/>
  <c r="B303" i="1"/>
  <c r="B304" i="1"/>
  <c r="A305" i="1"/>
  <c r="B305" i="1"/>
  <c r="A306" i="1"/>
  <c r="B306" i="1"/>
  <c r="A307" i="1"/>
  <c r="B307" i="1"/>
  <c r="A308" i="1"/>
  <c r="B308" i="1"/>
  <c r="A309" i="1"/>
  <c r="B309" i="1"/>
  <c r="A310" i="1"/>
  <c r="B310" i="1"/>
  <c r="A311" i="1"/>
  <c r="B311" i="1"/>
  <c r="A312" i="1"/>
  <c r="B312" i="1"/>
  <c r="A313" i="1"/>
  <c r="B313" i="1"/>
  <c r="A314" i="1"/>
  <c r="B314" i="1"/>
  <c r="A315" i="1"/>
  <c r="B315" i="1"/>
  <c r="A316" i="1"/>
  <c r="B316" i="1"/>
  <c r="B317" i="1"/>
  <c r="A318" i="1"/>
  <c r="B318" i="1"/>
  <c r="A319" i="1"/>
  <c r="B319" i="1"/>
  <c r="A320" i="1"/>
  <c r="B320" i="1"/>
  <c r="A321" i="1"/>
  <c r="B321" i="1"/>
  <c r="A322" i="1"/>
  <c r="B322" i="1"/>
  <c r="B323" i="1"/>
  <c r="A324" i="1"/>
  <c r="B324" i="1"/>
  <c r="A325" i="1"/>
  <c r="B325" i="1"/>
  <c r="A326" i="1"/>
  <c r="B326" i="1"/>
  <c r="A327" i="1"/>
  <c r="B327" i="1"/>
  <c r="B328" i="1"/>
  <c r="A329" i="1"/>
  <c r="B329" i="1"/>
  <c r="A330" i="1"/>
  <c r="B330" i="1"/>
  <c r="B331" i="1"/>
  <c r="A332" i="1"/>
  <c r="B332" i="1"/>
  <c r="A333" i="1"/>
  <c r="B333" i="1"/>
  <c r="A334" i="1"/>
  <c r="B334" i="1"/>
  <c r="A335" i="1"/>
  <c r="B335" i="1"/>
  <c r="A336" i="1"/>
  <c r="B336" i="1"/>
  <c r="A337" i="1"/>
  <c r="B337" i="1"/>
  <c r="A338" i="1"/>
  <c r="B338" i="1"/>
  <c r="A339" i="1"/>
  <c r="B339" i="1"/>
  <c r="A340" i="1"/>
  <c r="B340" i="1"/>
  <c r="A341" i="1"/>
  <c r="B341" i="1"/>
  <c r="A342" i="1"/>
  <c r="B342" i="1"/>
  <c r="A343" i="1"/>
  <c r="B343" i="1"/>
  <c r="B344" i="1"/>
  <c r="A345" i="1"/>
  <c r="B345" i="1"/>
  <c r="A346" i="1"/>
  <c r="B346" i="1"/>
  <c r="B347" i="1"/>
  <c r="A348" i="1"/>
  <c r="B348" i="1"/>
  <c r="A349" i="1"/>
  <c r="B349" i="1"/>
  <c r="A350" i="1"/>
  <c r="B350" i="1"/>
  <c r="A351" i="1"/>
  <c r="B351" i="1"/>
  <c r="A352" i="1"/>
  <c r="B352" i="1"/>
  <c r="A353" i="1"/>
  <c r="B353" i="1"/>
  <c r="A354" i="1"/>
  <c r="B354" i="1"/>
  <c r="A355" i="1"/>
  <c r="B355" i="1"/>
  <c r="A356" i="1"/>
  <c r="B356" i="1"/>
  <c r="A357" i="1"/>
  <c r="B357" i="1"/>
  <c r="A358" i="1"/>
  <c r="B358" i="1"/>
  <c r="A359" i="1"/>
  <c r="B359" i="1"/>
  <c r="A360" i="1"/>
  <c r="B360" i="1"/>
  <c r="A361" i="1"/>
  <c r="B361" i="1"/>
  <c r="A362" i="1"/>
  <c r="B362" i="1"/>
  <c r="A363" i="1"/>
  <c r="B363" i="1"/>
  <c r="A364" i="1"/>
  <c r="B364" i="1"/>
  <c r="A365" i="1"/>
  <c r="B365" i="1"/>
  <c r="A366" i="1"/>
  <c r="B366" i="1"/>
  <c r="A367" i="1"/>
  <c r="B367" i="1"/>
  <c r="A368" i="1"/>
  <c r="B368" i="1"/>
  <c r="A369" i="1"/>
  <c r="B369" i="1"/>
  <c r="A370" i="1"/>
  <c r="B370" i="1"/>
  <c r="A371" i="1"/>
  <c r="B371" i="1"/>
  <c r="A372" i="1"/>
  <c r="B372" i="1"/>
  <c r="A373" i="1"/>
  <c r="B373" i="1"/>
  <c r="A374" i="1"/>
  <c r="B374" i="1"/>
  <c r="A375" i="1"/>
  <c r="B375" i="1"/>
  <c r="A376" i="1"/>
  <c r="B376" i="1"/>
  <c r="A377" i="1"/>
  <c r="B377" i="1"/>
  <c r="A378" i="1"/>
  <c r="B378" i="1"/>
  <c r="A379" i="1"/>
  <c r="B379" i="1"/>
  <c r="A380" i="1"/>
  <c r="B380" i="1"/>
  <c r="A381" i="1"/>
  <c r="B381" i="1"/>
  <c r="A382" i="1"/>
  <c r="B382" i="1"/>
  <c r="A383" i="1"/>
  <c r="B383" i="1"/>
  <c r="A384" i="1"/>
  <c r="B384" i="1"/>
  <c r="A385" i="1"/>
  <c r="B385" i="1"/>
  <c r="A386" i="1"/>
  <c r="B386" i="1"/>
  <c r="A387" i="1"/>
  <c r="B387" i="1"/>
  <c r="A388" i="1"/>
  <c r="B388" i="1"/>
  <c r="A389" i="1"/>
  <c r="B389" i="1"/>
  <c r="A390" i="1"/>
  <c r="B390" i="1"/>
  <c r="A391" i="1"/>
  <c r="B391" i="1"/>
  <c r="A392" i="1"/>
  <c r="B392" i="1"/>
  <c r="A393" i="1"/>
  <c r="B393" i="1"/>
  <c r="A394" i="1"/>
  <c r="B394" i="1"/>
  <c r="A395" i="1"/>
  <c r="B395" i="1"/>
  <c r="A396" i="1"/>
  <c r="B396" i="1"/>
  <c r="A397" i="1"/>
  <c r="B397" i="1"/>
  <c r="A398" i="1"/>
  <c r="B398" i="1"/>
  <c r="A399" i="1"/>
  <c r="B399" i="1"/>
  <c r="A400" i="1"/>
  <c r="B400" i="1"/>
  <c r="A401" i="1"/>
  <c r="B401" i="1"/>
  <c r="A402" i="1"/>
  <c r="B402" i="1"/>
  <c r="A403" i="1"/>
  <c r="B403" i="1"/>
  <c r="A404" i="1"/>
  <c r="B404" i="1"/>
  <c r="A405" i="1"/>
  <c r="B405" i="1"/>
  <c r="A406" i="1"/>
  <c r="B406" i="1"/>
  <c r="A407" i="1"/>
  <c r="B407" i="1"/>
  <c r="A408" i="1"/>
  <c r="B408" i="1"/>
  <c r="A409" i="1"/>
  <c r="B409" i="1"/>
  <c r="A410" i="1"/>
  <c r="B410" i="1"/>
  <c r="A411" i="1"/>
  <c r="B411" i="1"/>
  <c r="A412" i="1"/>
  <c r="B412" i="1"/>
  <c r="A413" i="1"/>
  <c r="B413" i="1"/>
  <c r="A414" i="1"/>
  <c r="B414" i="1"/>
  <c r="A415" i="1"/>
  <c r="B415" i="1"/>
  <c r="A416" i="1"/>
  <c r="B416" i="1"/>
  <c r="A417" i="1"/>
  <c r="B417" i="1"/>
  <c r="A418" i="1"/>
  <c r="B418" i="1"/>
  <c r="A419" i="1"/>
  <c r="B419" i="1"/>
  <c r="A420" i="1"/>
  <c r="B420" i="1"/>
  <c r="A421" i="1"/>
  <c r="B421" i="1"/>
  <c r="A422" i="1"/>
  <c r="B422" i="1"/>
  <c r="A423" i="1"/>
  <c r="B423" i="1"/>
  <c r="A424" i="1"/>
  <c r="B424" i="1"/>
  <c r="A425" i="1"/>
  <c r="B425" i="1"/>
  <c r="A426" i="1"/>
  <c r="B426" i="1"/>
  <c r="A427" i="1"/>
  <c r="B427" i="1"/>
  <c r="A428" i="1"/>
  <c r="B428" i="1"/>
  <c r="A429" i="1"/>
  <c r="B429" i="1"/>
  <c r="A430" i="1"/>
  <c r="B430" i="1"/>
  <c r="A431" i="1"/>
  <c r="B431" i="1"/>
  <c r="A432" i="1"/>
  <c r="B432" i="1"/>
  <c r="A433" i="1"/>
  <c r="B433" i="1"/>
  <c r="A434" i="1"/>
  <c r="B434" i="1"/>
  <c r="A435" i="1"/>
  <c r="B435" i="1"/>
  <c r="A436" i="1"/>
  <c r="B436" i="1"/>
  <c r="A437" i="1"/>
  <c r="B437" i="1"/>
  <c r="A438" i="1"/>
  <c r="B438" i="1"/>
  <c r="A439" i="1"/>
  <c r="B439" i="1"/>
  <c r="A440" i="1"/>
  <c r="B440" i="1"/>
  <c r="A441" i="1"/>
  <c r="B441" i="1"/>
  <c r="A442" i="1"/>
  <c r="B442" i="1"/>
  <c r="A443" i="1"/>
  <c r="B443" i="1"/>
  <c r="A444" i="1"/>
  <c r="B444" i="1"/>
  <c r="B445" i="1"/>
  <c r="A446" i="1"/>
  <c r="B446" i="1"/>
  <c r="A447" i="1"/>
  <c r="B447" i="1"/>
  <c r="A448" i="1"/>
  <c r="B448" i="1"/>
  <c r="A449" i="1"/>
  <c r="B449" i="1"/>
  <c r="A450" i="1"/>
  <c r="B450" i="1"/>
  <c r="A451" i="1"/>
  <c r="B451" i="1"/>
  <c r="A452" i="1"/>
  <c r="B452" i="1"/>
  <c r="A453" i="1"/>
  <c r="B453" i="1"/>
  <c r="A454" i="1"/>
  <c r="B454" i="1"/>
  <c r="A455" i="1"/>
  <c r="B455" i="1"/>
  <c r="A456" i="1"/>
  <c r="B456" i="1"/>
  <c r="A457" i="1"/>
  <c r="B457" i="1"/>
  <c r="A458" i="1"/>
  <c r="B458" i="1"/>
  <c r="A459" i="1"/>
  <c r="B459" i="1"/>
  <c r="A460" i="1"/>
  <c r="B460" i="1"/>
  <c r="A461" i="1"/>
  <c r="B461" i="1"/>
  <c r="A462" i="1"/>
  <c r="B462" i="1"/>
  <c r="A463" i="1"/>
  <c r="B463" i="1"/>
  <c r="A464" i="1"/>
  <c r="B464" i="1"/>
  <c r="A465" i="1"/>
  <c r="B465" i="1"/>
  <c r="A466" i="1"/>
  <c r="B466" i="1"/>
  <c r="A467" i="1"/>
  <c r="B467" i="1"/>
  <c r="A468" i="1"/>
  <c r="B468" i="1"/>
  <c r="A469" i="1"/>
  <c r="B469" i="1"/>
  <c r="A470" i="1"/>
  <c r="B470" i="1"/>
  <c r="A471" i="1"/>
  <c r="B471" i="1"/>
  <c r="A472" i="1"/>
  <c r="B472" i="1"/>
  <c r="A473" i="1"/>
  <c r="B473" i="1"/>
  <c r="A474" i="1"/>
  <c r="B474" i="1"/>
  <c r="A475" i="1"/>
  <c r="B475" i="1"/>
  <c r="A476" i="1"/>
  <c r="B476" i="1"/>
  <c r="A477" i="1"/>
  <c r="B477" i="1"/>
  <c r="A478" i="1"/>
  <c r="B478" i="1"/>
  <c r="A479" i="1"/>
  <c r="B479" i="1"/>
  <c r="A480" i="1"/>
  <c r="B480" i="1"/>
  <c r="A481" i="1"/>
  <c r="B481" i="1"/>
  <c r="A482" i="1"/>
  <c r="B482" i="1"/>
  <c r="B483" i="1"/>
  <c r="A484" i="1"/>
  <c r="B484" i="1"/>
  <c r="A485" i="1"/>
  <c r="B485" i="1"/>
  <c r="B486" i="1"/>
  <c r="A487" i="1"/>
  <c r="B487" i="1"/>
  <c r="A488" i="1"/>
  <c r="B488" i="1"/>
  <c r="A489" i="1"/>
  <c r="B489" i="1"/>
  <c r="A490" i="1"/>
  <c r="B490" i="1"/>
  <c r="A491" i="1"/>
  <c r="B491" i="1"/>
  <c r="A492" i="1"/>
  <c r="B492" i="1"/>
  <c r="A493" i="1"/>
  <c r="B493" i="1"/>
  <c r="A494" i="1"/>
  <c r="B494" i="1"/>
  <c r="A495" i="1"/>
  <c r="B495" i="1"/>
  <c r="B496" i="1"/>
  <c r="A497" i="1"/>
  <c r="B497" i="1"/>
  <c r="A498" i="1"/>
  <c r="B498" i="1"/>
  <c r="A499" i="1"/>
  <c r="B499" i="1"/>
  <c r="A500" i="1"/>
  <c r="B500" i="1"/>
  <c r="A501" i="1"/>
  <c r="B501" i="1"/>
  <c r="A502" i="1"/>
  <c r="B502" i="1"/>
  <c r="A503" i="1"/>
  <c r="B503" i="1"/>
  <c r="A504" i="1"/>
  <c r="B504" i="1"/>
  <c r="A505" i="1"/>
  <c r="B505" i="1"/>
  <c r="A506" i="1"/>
  <c r="B506" i="1"/>
  <c r="A507" i="1"/>
  <c r="B507" i="1"/>
  <c r="A508" i="1"/>
  <c r="B508" i="1"/>
  <c r="A509" i="1"/>
  <c r="B509" i="1"/>
  <c r="A510" i="1"/>
  <c r="B510" i="1"/>
  <c r="A511" i="1"/>
  <c r="B511" i="1"/>
  <c r="A512" i="1"/>
  <c r="B512" i="1"/>
  <c r="A513" i="1"/>
  <c r="B513" i="1"/>
  <c r="A514" i="1"/>
  <c r="B514" i="1"/>
  <c r="A515" i="1"/>
  <c r="B515" i="1"/>
  <c r="A516" i="1"/>
  <c r="B516" i="1"/>
  <c r="A517" i="1"/>
  <c r="B517" i="1"/>
  <c r="A518" i="1"/>
  <c r="B518" i="1"/>
  <c r="A519" i="1"/>
  <c r="B519" i="1"/>
  <c r="A520" i="1"/>
  <c r="B520" i="1"/>
  <c r="A521" i="1"/>
  <c r="B521" i="1"/>
  <c r="A522" i="1"/>
  <c r="B522" i="1"/>
  <c r="A523" i="1"/>
  <c r="B523" i="1"/>
  <c r="A524" i="1"/>
  <c r="B524" i="1"/>
  <c r="A525" i="1"/>
  <c r="B525" i="1"/>
  <c r="A526" i="1"/>
  <c r="B526" i="1"/>
  <c r="A527" i="1"/>
  <c r="B527" i="1"/>
  <c r="A528" i="1"/>
  <c r="B528" i="1"/>
  <c r="A529" i="1"/>
  <c r="B529" i="1"/>
  <c r="A530" i="1"/>
  <c r="B530" i="1"/>
  <c r="A531" i="1"/>
  <c r="B531" i="1"/>
  <c r="A532" i="1"/>
  <c r="B532" i="1"/>
  <c r="A533" i="1"/>
  <c r="B533" i="1"/>
  <c r="A534" i="1"/>
  <c r="B534" i="1"/>
  <c r="A535" i="1"/>
  <c r="B535" i="1"/>
  <c r="A536" i="1"/>
  <c r="B536" i="1"/>
  <c r="A537" i="1"/>
  <c r="B537" i="1"/>
  <c r="A538" i="1"/>
  <c r="B538" i="1"/>
  <c r="A539" i="1"/>
  <c r="B539" i="1"/>
  <c r="A540" i="1"/>
  <c r="B540" i="1"/>
  <c r="A541" i="1"/>
  <c r="B541" i="1"/>
  <c r="A542" i="1"/>
  <c r="B542" i="1"/>
  <c r="A543" i="1"/>
  <c r="B543" i="1"/>
  <c r="A544" i="1"/>
  <c r="B544" i="1"/>
  <c r="A545" i="1"/>
  <c r="B545" i="1"/>
  <c r="A546" i="1"/>
  <c r="B546" i="1"/>
  <c r="A547" i="1"/>
  <c r="B547" i="1"/>
  <c r="A548" i="1"/>
  <c r="B548" i="1"/>
  <c r="A549" i="1"/>
  <c r="B549" i="1"/>
  <c r="A550" i="1"/>
  <c r="B550" i="1"/>
  <c r="A551" i="1"/>
  <c r="B551" i="1"/>
  <c r="A552" i="1"/>
  <c r="B552" i="1"/>
  <c r="A553" i="1"/>
  <c r="B553" i="1"/>
  <c r="A554" i="1"/>
  <c r="B554" i="1"/>
  <c r="A555" i="1"/>
  <c r="B555" i="1"/>
  <c r="A556" i="1"/>
  <c r="B556" i="1"/>
  <c r="A557" i="1"/>
  <c r="B557" i="1"/>
  <c r="A558" i="1"/>
  <c r="B558" i="1"/>
  <c r="A559" i="1"/>
  <c r="B559" i="1"/>
  <c r="A560" i="1"/>
  <c r="B560" i="1"/>
  <c r="A561" i="1"/>
  <c r="B561" i="1"/>
  <c r="A562" i="1"/>
  <c r="B562" i="1"/>
  <c r="A563" i="1"/>
  <c r="B563" i="1"/>
  <c r="A564" i="1"/>
  <c r="B564" i="1"/>
  <c r="A565" i="1"/>
  <c r="B565" i="1"/>
  <c r="A566" i="1"/>
  <c r="B566" i="1"/>
  <c r="A567" i="1"/>
  <c r="B567" i="1"/>
  <c r="A568" i="1"/>
  <c r="B568" i="1"/>
  <c r="A569" i="1"/>
  <c r="B569" i="1"/>
  <c r="A570" i="1"/>
  <c r="B570" i="1"/>
  <c r="A571" i="1"/>
  <c r="B571" i="1"/>
  <c r="A572" i="1"/>
  <c r="B572" i="1"/>
  <c r="A573" i="1"/>
  <c r="B573" i="1"/>
  <c r="A574" i="1"/>
  <c r="B574" i="1"/>
  <c r="A575" i="1"/>
  <c r="B575" i="1"/>
  <c r="A576" i="1"/>
  <c r="B576" i="1"/>
  <c r="A577" i="1"/>
  <c r="B577" i="1"/>
  <c r="A578" i="1"/>
  <c r="B578" i="1"/>
  <c r="A579" i="1"/>
  <c r="B579" i="1"/>
  <c r="A580" i="1"/>
  <c r="B580" i="1"/>
  <c r="A581" i="1"/>
  <c r="B581" i="1"/>
  <c r="A582" i="1"/>
  <c r="B582" i="1"/>
  <c r="A583" i="1"/>
  <c r="B583" i="1"/>
  <c r="A584" i="1"/>
  <c r="B584" i="1"/>
  <c r="A585" i="1"/>
  <c r="B585" i="1"/>
  <c r="A586" i="1"/>
  <c r="B586" i="1"/>
  <c r="A587" i="1"/>
  <c r="B587" i="1"/>
  <c r="A588" i="1"/>
  <c r="B588" i="1"/>
  <c r="A589" i="1"/>
  <c r="B589" i="1"/>
  <c r="A590" i="1"/>
  <c r="B590" i="1"/>
  <c r="A591" i="1"/>
  <c r="B591" i="1"/>
  <c r="A592" i="1"/>
  <c r="B592" i="1"/>
  <c r="A593" i="1"/>
  <c r="B593" i="1"/>
  <c r="A594" i="1"/>
  <c r="B594" i="1"/>
  <c r="A595" i="1"/>
  <c r="B595" i="1"/>
  <c r="A596" i="1"/>
  <c r="B596" i="1"/>
  <c r="A597" i="1"/>
  <c r="B597" i="1"/>
  <c r="A598" i="1"/>
  <c r="B598" i="1"/>
  <c r="A599" i="1"/>
  <c r="B599" i="1"/>
  <c r="A600" i="1"/>
  <c r="B600" i="1"/>
  <c r="A601" i="1"/>
  <c r="B601" i="1"/>
  <c r="A602" i="1"/>
  <c r="B602" i="1"/>
  <c r="A603" i="1"/>
  <c r="B603" i="1"/>
  <c r="A604" i="1"/>
  <c r="B604" i="1"/>
  <c r="A605" i="1"/>
  <c r="B605" i="1"/>
  <c r="A606" i="1"/>
  <c r="B606" i="1"/>
  <c r="A607" i="1"/>
  <c r="B607" i="1"/>
  <c r="A608" i="1"/>
  <c r="B608" i="1"/>
  <c r="A609" i="1"/>
  <c r="B609" i="1"/>
  <c r="A610" i="1"/>
  <c r="B610" i="1"/>
  <c r="A611" i="1"/>
  <c r="B611" i="1"/>
  <c r="A612" i="1"/>
  <c r="B612" i="1"/>
  <c r="A613" i="1"/>
  <c r="B613" i="1"/>
  <c r="A614" i="1"/>
  <c r="B614" i="1"/>
  <c r="A615" i="1"/>
  <c r="B615" i="1"/>
  <c r="A616" i="1"/>
  <c r="B616" i="1"/>
  <c r="A617" i="1"/>
  <c r="B617" i="1"/>
  <c r="A618" i="1"/>
  <c r="B618" i="1"/>
  <c r="A619" i="1"/>
  <c r="B619" i="1"/>
  <c r="A620" i="1"/>
  <c r="B620" i="1"/>
  <c r="A621" i="1"/>
  <c r="B621" i="1"/>
  <c r="A622" i="1"/>
  <c r="B622" i="1"/>
  <c r="A623" i="1"/>
  <c r="B623" i="1"/>
  <c r="A624" i="1"/>
  <c r="B624" i="1"/>
  <c r="A625" i="1"/>
  <c r="B625" i="1"/>
  <c r="A626" i="1"/>
  <c r="B626" i="1"/>
  <c r="A627" i="1"/>
  <c r="B627" i="1"/>
  <c r="A628" i="1"/>
  <c r="B628" i="1"/>
  <c r="A629" i="1"/>
  <c r="B629" i="1"/>
  <c r="A630" i="1"/>
  <c r="B630" i="1"/>
  <c r="A631" i="1"/>
  <c r="B631" i="1"/>
  <c r="A632" i="1"/>
  <c r="B632" i="1"/>
  <c r="A633" i="1"/>
  <c r="B633" i="1"/>
  <c r="A634" i="1"/>
  <c r="B634" i="1"/>
  <c r="A635" i="1"/>
  <c r="B635" i="1"/>
  <c r="A636" i="1"/>
  <c r="B636" i="1"/>
  <c r="A637" i="1"/>
  <c r="B637" i="1"/>
  <c r="A638" i="1"/>
  <c r="B638" i="1"/>
  <c r="A639" i="1"/>
  <c r="B639" i="1"/>
  <c r="A640" i="1"/>
  <c r="B640" i="1"/>
  <c r="A641" i="1"/>
  <c r="B641" i="1"/>
  <c r="A642" i="1"/>
  <c r="B642" i="1"/>
  <c r="A643" i="1"/>
  <c r="B643" i="1"/>
  <c r="A644" i="1"/>
  <c r="B644" i="1"/>
  <c r="A645" i="1"/>
  <c r="B645" i="1"/>
  <c r="A646" i="1"/>
  <c r="B646" i="1"/>
  <c r="A647" i="1"/>
  <c r="B647" i="1"/>
  <c r="A648" i="1"/>
  <c r="B648" i="1"/>
  <c r="A649" i="1"/>
  <c r="B649" i="1"/>
  <c r="A650" i="1"/>
  <c r="B650" i="1"/>
  <c r="A651" i="1"/>
  <c r="B651" i="1"/>
  <c r="A652" i="1"/>
  <c r="B652" i="1"/>
  <c r="A653" i="1"/>
  <c r="B653" i="1"/>
  <c r="A654" i="1"/>
  <c r="B654" i="1"/>
  <c r="A655" i="1"/>
  <c r="B655" i="1"/>
  <c r="A656" i="1"/>
  <c r="B656" i="1"/>
  <c r="A657" i="1"/>
  <c r="B657" i="1"/>
  <c r="A658" i="1"/>
  <c r="B658" i="1"/>
  <c r="A659" i="1"/>
  <c r="B659" i="1"/>
  <c r="A660" i="1"/>
  <c r="B660" i="1"/>
  <c r="A661" i="1"/>
  <c r="B661" i="1"/>
  <c r="A662" i="1"/>
  <c r="B662" i="1"/>
  <c r="A663" i="1"/>
  <c r="B663" i="1"/>
  <c r="A664" i="1"/>
  <c r="B664" i="1"/>
  <c r="A665" i="1"/>
  <c r="B665" i="1"/>
  <c r="A666" i="1"/>
  <c r="B666" i="1"/>
  <c r="A667" i="1"/>
  <c r="B667" i="1"/>
  <c r="A668" i="1"/>
  <c r="B668" i="1"/>
  <c r="A669" i="1"/>
  <c r="B669" i="1"/>
  <c r="A670" i="1"/>
  <c r="B670" i="1"/>
  <c r="A671" i="1"/>
  <c r="B671" i="1"/>
  <c r="A672" i="1"/>
  <c r="B672" i="1"/>
  <c r="A673" i="1"/>
  <c r="B673" i="1"/>
  <c r="A674" i="1"/>
  <c r="B674" i="1"/>
  <c r="A675" i="1"/>
  <c r="B675" i="1"/>
  <c r="A676" i="1"/>
  <c r="B676" i="1"/>
  <c r="A677" i="1"/>
  <c r="B677" i="1"/>
  <c r="A678" i="1"/>
  <c r="B678" i="1"/>
  <c r="A679" i="1"/>
  <c r="B679" i="1"/>
  <c r="A680" i="1"/>
  <c r="B680" i="1"/>
  <c r="A681" i="1"/>
  <c r="B681" i="1"/>
  <c r="A682" i="1"/>
  <c r="B682" i="1"/>
  <c r="A683" i="1"/>
  <c r="B683" i="1"/>
  <c r="A684" i="1"/>
  <c r="B684" i="1"/>
  <c r="A685" i="1"/>
  <c r="B685" i="1"/>
  <c r="A686" i="1"/>
  <c r="B686" i="1"/>
  <c r="A687" i="1"/>
  <c r="B687" i="1"/>
  <c r="A688" i="1"/>
  <c r="B688" i="1"/>
  <c r="A689" i="1"/>
  <c r="B689" i="1"/>
  <c r="A690" i="1"/>
  <c r="B690" i="1"/>
  <c r="A691" i="1"/>
  <c r="B691" i="1"/>
  <c r="A692" i="1"/>
  <c r="B692" i="1"/>
  <c r="A693" i="1"/>
  <c r="B693" i="1"/>
  <c r="A694" i="1"/>
  <c r="B694" i="1"/>
  <c r="A695" i="1"/>
  <c r="B695" i="1"/>
  <c r="A696" i="1"/>
  <c r="B696" i="1"/>
  <c r="A697" i="1"/>
  <c r="B697" i="1"/>
  <c r="A698" i="1"/>
  <c r="B698" i="1"/>
  <c r="A699" i="1"/>
  <c r="B699" i="1"/>
  <c r="A700" i="1"/>
  <c r="B700" i="1"/>
  <c r="A701" i="1"/>
  <c r="B701" i="1"/>
  <c r="A702" i="1"/>
  <c r="B702" i="1"/>
  <c r="A703" i="1"/>
  <c r="B703" i="1"/>
  <c r="A704" i="1"/>
  <c r="B704" i="1"/>
  <c r="A705" i="1"/>
  <c r="B705" i="1"/>
  <c r="A706" i="1"/>
  <c r="B706" i="1"/>
  <c r="A707" i="1"/>
  <c r="B707" i="1"/>
  <c r="A708" i="1"/>
  <c r="B708" i="1"/>
  <c r="A709" i="1"/>
  <c r="B709" i="1"/>
  <c r="A710" i="1"/>
  <c r="B710" i="1"/>
  <c r="A711" i="1"/>
  <c r="B711" i="1"/>
  <c r="A712" i="1"/>
  <c r="B712" i="1"/>
  <c r="A713" i="1"/>
  <c r="B713" i="1"/>
  <c r="A714" i="1"/>
  <c r="B714" i="1"/>
  <c r="A715" i="1"/>
  <c r="B715" i="1"/>
  <c r="A716" i="1"/>
  <c r="B716" i="1"/>
  <c r="A717" i="1"/>
  <c r="B717" i="1"/>
  <c r="A718" i="1"/>
  <c r="B718" i="1"/>
  <c r="A719" i="1"/>
  <c r="B719" i="1"/>
  <c r="A720" i="1"/>
  <c r="B720" i="1"/>
  <c r="A721" i="1"/>
  <c r="B721" i="1"/>
  <c r="A722" i="1"/>
  <c r="B722" i="1"/>
  <c r="A723" i="1"/>
  <c r="B723" i="1"/>
  <c r="A724" i="1"/>
  <c r="B724" i="1"/>
  <c r="A725" i="1"/>
  <c r="B725" i="1"/>
  <c r="A726" i="1"/>
  <c r="B726" i="1"/>
  <c r="A727" i="1"/>
  <c r="B727" i="1"/>
  <c r="A728" i="1"/>
  <c r="B728" i="1"/>
  <c r="A729" i="1"/>
  <c r="B729" i="1"/>
  <c r="A730" i="1"/>
  <c r="B730" i="1"/>
  <c r="A731" i="1"/>
  <c r="B731" i="1"/>
  <c r="A732" i="1"/>
  <c r="B732" i="1"/>
  <c r="A733" i="1"/>
  <c r="B733" i="1"/>
  <c r="A734" i="1"/>
  <c r="B734" i="1"/>
  <c r="A735" i="1"/>
  <c r="B735" i="1"/>
  <c r="A736" i="1"/>
  <c r="B736" i="1"/>
  <c r="A737" i="1"/>
  <c r="B737" i="1"/>
  <c r="A738" i="1"/>
  <c r="B738" i="1"/>
  <c r="A739" i="1"/>
  <c r="B739" i="1"/>
  <c r="A740" i="1"/>
  <c r="B740" i="1"/>
  <c r="A741" i="1"/>
  <c r="B741" i="1"/>
  <c r="A742" i="1"/>
  <c r="B742" i="1"/>
  <c r="A743" i="1"/>
  <c r="B743" i="1"/>
  <c r="A744" i="1"/>
  <c r="B744" i="1"/>
  <c r="A745" i="1"/>
  <c r="B745" i="1"/>
  <c r="A746" i="1"/>
  <c r="B746" i="1"/>
  <c r="A747" i="1"/>
  <c r="B747" i="1"/>
  <c r="A748" i="1"/>
  <c r="B748" i="1"/>
  <c r="A749" i="1"/>
  <c r="B749" i="1"/>
  <c r="A750" i="1"/>
  <c r="B750" i="1"/>
  <c r="A751" i="1"/>
  <c r="B751" i="1"/>
  <c r="A752" i="1"/>
  <c r="B752" i="1"/>
  <c r="A753" i="1"/>
  <c r="B753" i="1"/>
  <c r="A754" i="1"/>
  <c r="B754" i="1"/>
  <c r="A755" i="1"/>
  <c r="B755" i="1"/>
  <c r="A756" i="1"/>
  <c r="B756" i="1"/>
  <c r="A757" i="1"/>
  <c r="B757" i="1"/>
  <c r="A758" i="1"/>
  <c r="B758" i="1"/>
  <c r="A759" i="1"/>
  <c r="B759" i="1"/>
  <c r="A760" i="1"/>
  <c r="B760" i="1"/>
  <c r="A761" i="1"/>
  <c r="B761" i="1"/>
  <c r="A762" i="1"/>
  <c r="B762" i="1"/>
  <c r="A763" i="1"/>
  <c r="B763" i="1"/>
  <c r="A764" i="1"/>
  <c r="B764" i="1"/>
  <c r="A765" i="1"/>
  <c r="B765" i="1"/>
  <c r="A766" i="1"/>
  <c r="B766" i="1"/>
  <c r="A767" i="1"/>
  <c r="B767" i="1"/>
  <c r="A768" i="1"/>
  <c r="B768" i="1"/>
  <c r="A769" i="1"/>
  <c r="B769" i="1"/>
  <c r="A770" i="1"/>
  <c r="B770" i="1"/>
  <c r="A771" i="1"/>
  <c r="B771" i="1"/>
  <c r="A772" i="1"/>
  <c r="B772" i="1"/>
  <c r="A773" i="1"/>
  <c r="B773" i="1"/>
  <c r="A774" i="1"/>
  <c r="B774" i="1"/>
  <c r="A775" i="1"/>
  <c r="B775" i="1"/>
  <c r="A776" i="1"/>
  <c r="B776" i="1"/>
  <c r="A777" i="1"/>
  <c r="B777" i="1"/>
  <c r="A778" i="1"/>
  <c r="B778" i="1"/>
  <c r="A779" i="1"/>
  <c r="B779" i="1"/>
  <c r="A780" i="1"/>
  <c r="B780" i="1"/>
  <c r="A781" i="1"/>
  <c r="B781" i="1"/>
  <c r="A782" i="1"/>
  <c r="B782" i="1"/>
  <c r="A783" i="1"/>
  <c r="B783" i="1"/>
  <c r="A784" i="1"/>
  <c r="B784" i="1"/>
  <c r="A785" i="1"/>
  <c r="B785" i="1"/>
  <c r="A786" i="1"/>
  <c r="B786" i="1"/>
  <c r="A787" i="1"/>
  <c r="B787" i="1"/>
  <c r="A788" i="1"/>
  <c r="B788" i="1"/>
  <c r="A789" i="1"/>
  <c r="B789" i="1"/>
  <c r="A790" i="1"/>
  <c r="B790" i="1"/>
  <c r="A791" i="1"/>
  <c r="B791" i="1"/>
  <c r="A792" i="1"/>
  <c r="B792" i="1"/>
  <c r="A793" i="1"/>
  <c r="B793" i="1"/>
  <c r="A794" i="1"/>
  <c r="B794" i="1"/>
  <c r="A795" i="1"/>
  <c r="B795" i="1"/>
  <c r="A796" i="1"/>
  <c r="B796" i="1"/>
  <c r="A797" i="1"/>
  <c r="B797" i="1"/>
  <c r="A798" i="1"/>
  <c r="B798" i="1"/>
  <c r="A799" i="1"/>
  <c r="B799" i="1"/>
  <c r="A800" i="1"/>
  <c r="B800" i="1"/>
  <c r="A801" i="1"/>
  <c r="B801" i="1"/>
  <c r="A802" i="1"/>
  <c r="B802" i="1"/>
  <c r="A803" i="1"/>
  <c r="B803" i="1"/>
  <c r="A804" i="1"/>
  <c r="B804" i="1"/>
  <c r="A805" i="1"/>
  <c r="B805" i="1"/>
  <c r="A806" i="1"/>
  <c r="B806" i="1"/>
  <c r="A807" i="1"/>
  <c r="B807" i="1"/>
  <c r="A808" i="1"/>
  <c r="B808" i="1"/>
  <c r="A809" i="1"/>
  <c r="B809" i="1"/>
  <c r="A810" i="1"/>
  <c r="B810" i="1"/>
  <c r="A811" i="1"/>
  <c r="B811" i="1"/>
  <c r="A812" i="1"/>
  <c r="B812" i="1"/>
  <c r="A813" i="1"/>
  <c r="B813" i="1"/>
  <c r="A814" i="1"/>
  <c r="B814" i="1"/>
  <c r="A815" i="1"/>
  <c r="B815" i="1"/>
  <c r="A816" i="1"/>
  <c r="B816" i="1"/>
  <c r="A817" i="1"/>
  <c r="B817" i="1"/>
  <c r="A818" i="1"/>
  <c r="B818" i="1"/>
  <c r="A819" i="1"/>
  <c r="B819" i="1"/>
  <c r="A820" i="1"/>
  <c r="B820" i="1"/>
  <c r="A821" i="1"/>
  <c r="B821" i="1"/>
  <c r="A822" i="1"/>
  <c r="B822" i="1"/>
  <c r="A823" i="1"/>
  <c r="B823" i="1"/>
  <c r="A824" i="1"/>
  <c r="B824" i="1"/>
  <c r="A825" i="1"/>
  <c r="B825" i="1"/>
  <c r="A826" i="1"/>
  <c r="B826" i="1"/>
  <c r="A827" i="1"/>
  <c r="B827" i="1"/>
  <c r="A828" i="1"/>
  <c r="B828" i="1"/>
  <c r="A829" i="1"/>
  <c r="B829" i="1"/>
  <c r="A830" i="1"/>
  <c r="B830" i="1"/>
  <c r="A831" i="1"/>
  <c r="B831" i="1"/>
  <c r="A832" i="1"/>
  <c r="B832" i="1"/>
  <c r="A833" i="1"/>
  <c r="B833" i="1"/>
  <c r="A834" i="1"/>
  <c r="B834" i="1"/>
  <c r="A835" i="1"/>
  <c r="B835" i="1"/>
  <c r="A836" i="1"/>
  <c r="B836" i="1"/>
  <c r="A837" i="1"/>
  <c r="B837" i="1"/>
  <c r="A838" i="1"/>
  <c r="B838" i="1"/>
  <c r="A839" i="1"/>
  <c r="B839" i="1"/>
  <c r="A840" i="1"/>
  <c r="B840" i="1"/>
  <c r="A841" i="1"/>
  <c r="B841" i="1"/>
  <c r="A842" i="1"/>
  <c r="B842" i="1"/>
  <c r="A843" i="1"/>
  <c r="B843" i="1"/>
  <c r="A844" i="1"/>
  <c r="B844" i="1"/>
  <c r="A845" i="1"/>
  <c r="B845" i="1"/>
  <c r="A846" i="1"/>
  <c r="B846" i="1"/>
  <c r="A847" i="1"/>
  <c r="B847" i="1"/>
  <c r="A848" i="1"/>
  <c r="B848" i="1"/>
  <c r="A849" i="1"/>
  <c r="B849" i="1"/>
  <c r="A850" i="1"/>
  <c r="B850" i="1"/>
  <c r="A851" i="1"/>
  <c r="B851" i="1"/>
  <c r="A852" i="1"/>
  <c r="B852" i="1"/>
  <c r="A853" i="1"/>
  <c r="B853" i="1"/>
  <c r="A854" i="1"/>
  <c r="B854" i="1"/>
  <c r="A855" i="1"/>
  <c r="B855" i="1"/>
  <c r="A856" i="1"/>
  <c r="B856" i="1"/>
  <c r="A857" i="1"/>
  <c r="B857" i="1"/>
  <c r="A858" i="1"/>
  <c r="B858" i="1"/>
  <c r="A859" i="1"/>
  <c r="B859" i="1"/>
  <c r="A860" i="1"/>
  <c r="B860" i="1"/>
  <c r="A861" i="1"/>
  <c r="B861" i="1"/>
  <c r="A862" i="1"/>
  <c r="B862" i="1"/>
  <c r="A863" i="1"/>
  <c r="B863" i="1"/>
  <c r="A864" i="1"/>
  <c r="B864" i="1"/>
  <c r="A865" i="1"/>
  <c r="B865" i="1"/>
  <c r="A866" i="1"/>
  <c r="B866" i="1"/>
  <c r="A867" i="1"/>
  <c r="B867" i="1"/>
  <c r="A868" i="1"/>
  <c r="B868" i="1"/>
  <c r="A869" i="1"/>
  <c r="B869" i="1"/>
  <c r="A870" i="1"/>
  <c r="B870" i="1"/>
  <c r="A871" i="1"/>
  <c r="B871" i="1"/>
  <c r="A872" i="1"/>
  <c r="B872" i="1"/>
  <c r="A873" i="1"/>
  <c r="B873" i="1"/>
  <c r="A874" i="1"/>
  <c r="B874" i="1"/>
  <c r="A875" i="1"/>
  <c r="B875" i="1"/>
  <c r="A876" i="1"/>
  <c r="B876" i="1"/>
  <c r="A877" i="1"/>
  <c r="B877" i="1"/>
  <c r="A878" i="1"/>
  <c r="B878" i="1"/>
  <c r="A879" i="1"/>
  <c r="B879" i="1"/>
  <c r="A880" i="1"/>
  <c r="B880" i="1"/>
  <c r="A881" i="1"/>
  <c r="B881" i="1"/>
  <c r="A882" i="1"/>
  <c r="B882" i="1"/>
  <c r="A883" i="1"/>
  <c r="B883" i="1"/>
  <c r="A884" i="1"/>
  <c r="B884" i="1"/>
  <c r="A885" i="1"/>
  <c r="B885" i="1"/>
  <c r="A886" i="1"/>
  <c r="B886" i="1"/>
  <c r="A887" i="1"/>
  <c r="B887" i="1"/>
  <c r="A888" i="1"/>
  <c r="B888" i="1"/>
  <c r="A889" i="1"/>
  <c r="B889" i="1"/>
  <c r="A890" i="1"/>
  <c r="B890" i="1"/>
  <c r="A891" i="1"/>
  <c r="B891" i="1"/>
  <c r="A892" i="1"/>
  <c r="B892" i="1"/>
  <c r="A893" i="1"/>
  <c r="B893" i="1"/>
  <c r="A894" i="1"/>
  <c r="B894" i="1"/>
  <c r="A895" i="1"/>
  <c r="B895" i="1"/>
  <c r="A896" i="1"/>
  <c r="B896" i="1"/>
  <c r="A897" i="1"/>
  <c r="B897" i="1"/>
  <c r="A898" i="1"/>
  <c r="B898" i="1"/>
  <c r="A899" i="1"/>
  <c r="B899" i="1"/>
  <c r="A900" i="1"/>
  <c r="B900" i="1"/>
  <c r="A901" i="1"/>
  <c r="B901" i="1"/>
  <c r="A902" i="1"/>
  <c r="B902" i="1"/>
  <c r="A903" i="1"/>
  <c r="B903" i="1"/>
  <c r="A904" i="1"/>
  <c r="B904" i="1"/>
  <c r="A905" i="1"/>
  <c r="B905" i="1"/>
  <c r="A906" i="1"/>
  <c r="B906" i="1"/>
  <c r="A907" i="1"/>
  <c r="B907" i="1"/>
  <c r="A908" i="1"/>
  <c r="B908" i="1"/>
  <c r="A909" i="1"/>
  <c r="B909" i="1"/>
  <c r="A910" i="1"/>
  <c r="B910" i="1"/>
  <c r="A911" i="1"/>
  <c r="B911" i="1"/>
  <c r="A912" i="1"/>
  <c r="B912" i="1"/>
  <c r="A913" i="1"/>
  <c r="B913" i="1"/>
  <c r="A914" i="1"/>
  <c r="B914" i="1"/>
  <c r="A915" i="1"/>
  <c r="B915" i="1"/>
  <c r="A916" i="1"/>
  <c r="B916" i="1"/>
  <c r="A917" i="1"/>
  <c r="B917" i="1"/>
  <c r="A918" i="1"/>
  <c r="B918" i="1"/>
  <c r="A919" i="1"/>
  <c r="B919" i="1"/>
  <c r="A920" i="1"/>
  <c r="B920" i="1"/>
  <c r="A921" i="1"/>
  <c r="B921" i="1"/>
  <c r="A922" i="1"/>
  <c r="B922" i="1"/>
  <c r="A923" i="1"/>
  <c r="B923" i="1"/>
  <c r="A924" i="1"/>
  <c r="B924" i="1"/>
  <c r="A925" i="1"/>
  <c r="B925" i="1"/>
  <c r="A926" i="1"/>
  <c r="B926" i="1"/>
  <c r="A927" i="1"/>
  <c r="B927" i="1"/>
  <c r="A928" i="1"/>
  <c r="B928" i="1"/>
  <c r="A929" i="1"/>
  <c r="B929" i="1"/>
  <c r="A930" i="1"/>
  <c r="B930" i="1"/>
  <c r="A931" i="1"/>
  <c r="B931" i="1"/>
  <c r="A932" i="1"/>
  <c r="B932" i="1"/>
  <c r="A933" i="1"/>
  <c r="B933" i="1"/>
  <c r="A934" i="1"/>
  <c r="B934" i="1"/>
  <c r="A935" i="1"/>
  <c r="B935" i="1"/>
  <c r="A936" i="1"/>
  <c r="B936" i="1"/>
  <c r="A937" i="1"/>
  <c r="B937" i="1"/>
  <c r="A938" i="1"/>
  <c r="B938" i="1"/>
  <c r="A939" i="1"/>
  <c r="B939" i="1"/>
  <c r="A940" i="1"/>
  <c r="B940" i="1"/>
  <c r="A941" i="1"/>
  <c r="B941" i="1"/>
  <c r="A942" i="1"/>
  <c r="B942" i="1"/>
  <c r="A943" i="1"/>
  <c r="B943" i="1"/>
  <c r="A944" i="1"/>
  <c r="B944" i="1"/>
  <c r="A945" i="1"/>
  <c r="B945" i="1"/>
  <c r="A946" i="1"/>
  <c r="B946" i="1"/>
  <c r="A947" i="1"/>
  <c r="B947" i="1"/>
  <c r="A948" i="1"/>
  <c r="B948" i="1"/>
  <c r="A949" i="1"/>
  <c r="B949" i="1"/>
  <c r="A950" i="1"/>
  <c r="B950" i="1"/>
  <c r="A951" i="1"/>
  <c r="B951" i="1"/>
  <c r="A952" i="1"/>
  <c r="B952" i="1"/>
  <c r="A953" i="1"/>
  <c r="B953" i="1"/>
  <c r="A954" i="1"/>
  <c r="B954" i="1"/>
  <c r="A955" i="1"/>
  <c r="B955" i="1"/>
  <c r="A956" i="1"/>
  <c r="B956" i="1"/>
  <c r="A957" i="1"/>
  <c r="B957" i="1"/>
  <c r="A958" i="1"/>
  <c r="B958" i="1"/>
  <c r="A959" i="1"/>
  <c r="B959" i="1"/>
  <c r="A960" i="1"/>
  <c r="B960" i="1"/>
  <c r="A961" i="1"/>
  <c r="B961" i="1"/>
  <c r="A962" i="1"/>
  <c r="B962" i="1"/>
  <c r="A963" i="1"/>
  <c r="B963" i="1"/>
  <c r="A964" i="1"/>
  <c r="B964" i="1"/>
  <c r="A965" i="1"/>
  <c r="B965" i="1"/>
  <c r="A966" i="1"/>
  <c r="B966" i="1"/>
  <c r="A967" i="1"/>
  <c r="B967" i="1"/>
  <c r="A968" i="1"/>
  <c r="B968" i="1"/>
  <c r="A969" i="1"/>
  <c r="B969" i="1"/>
  <c r="A970" i="1"/>
  <c r="B970" i="1"/>
  <c r="A971" i="1"/>
  <c r="B971" i="1"/>
  <c r="A972" i="1"/>
  <c r="B972" i="1"/>
  <c r="A973" i="1"/>
  <c r="B973" i="1"/>
  <c r="A974" i="1"/>
  <c r="B974" i="1"/>
  <c r="A975" i="1"/>
  <c r="B975" i="1"/>
  <c r="A976" i="1"/>
  <c r="B976" i="1"/>
  <c r="A977" i="1"/>
  <c r="B977" i="1"/>
  <c r="A978" i="1"/>
  <c r="B978" i="1"/>
  <c r="A979" i="1"/>
  <c r="B979" i="1"/>
  <c r="A980" i="1"/>
  <c r="B980" i="1"/>
  <c r="A981" i="1"/>
  <c r="B981" i="1"/>
  <c r="A982" i="1"/>
  <c r="B982" i="1"/>
  <c r="A983" i="1"/>
  <c r="B983" i="1"/>
  <c r="A984" i="1"/>
  <c r="B984" i="1"/>
  <c r="A985" i="1"/>
  <c r="B985" i="1"/>
  <c r="A986" i="1"/>
  <c r="B986" i="1"/>
  <c r="A987" i="1"/>
  <c r="B987" i="1"/>
  <c r="A988" i="1"/>
  <c r="B988" i="1"/>
  <c r="A989" i="1"/>
  <c r="B989" i="1"/>
  <c r="A990" i="1"/>
  <c r="B990" i="1"/>
  <c r="A991" i="1"/>
  <c r="B991" i="1"/>
  <c r="A992" i="1"/>
  <c r="B992" i="1"/>
  <c r="A993" i="1"/>
  <c r="B993" i="1"/>
  <c r="A994" i="1"/>
  <c r="B994" i="1"/>
  <c r="A995" i="1"/>
  <c r="B995" i="1"/>
  <c r="A996" i="1"/>
  <c r="B996" i="1"/>
  <c r="A997" i="1"/>
  <c r="B997" i="1"/>
  <c r="A998" i="1"/>
  <c r="B998" i="1"/>
  <c r="A999" i="1"/>
  <c r="B999" i="1"/>
  <c r="A1000" i="1"/>
  <c r="B1000" i="1"/>
  <c r="A1001" i="1"/>
  <c r="B1001" i="1"/>
  <c r="A1002" i="1"/>
  <c r="B1002" i="1"/>
  <c r="A1003" i="1"/>
  <c r="B1003" i="1"/>
  <c r="A1004" i="1"/>
  <c r="B1004" i="1"/>
  <c r="A1005" i="1"/>
  <c r="B1005" i="1"/>
  <c r="A1006" i="1"/>
  <c r="B1006" i="1"/>
  <c r="A1007" i="1"/>
  <c r="B1007" i="1"/>
  <c r="A1008" i="1"/>
  <c r="B1008" i="1"/>
  <c r="A1009" i="1"/>
  <c r="B1009" i="1"/>
  <c r="A1010" i="1"/>
  <c r="B1010" i="1"/>
  <c r="A1011" i="1"/>
  <c r="B1011" i="1"/>
  <c r="A1012" i="1"/>
  <c r="B1012" i="1"/>
  <c r="A1013" i="1"/>
  <c r="B1013" i="1"/>
  <c r="A1014" i="1"/>
  <c r="B1014" i="1"/>
  <c r="A1015" i="1"/>
  <c r="B1015" i="1"/>
  <c r="A1016" i="1"/>
  <c r="B1016" i="1"/>
  <c r="A1017" i="1"/>
  <c r="B1017" i="1"/>
  <c r="A1018" i="1"/>
  <c r="B1018" i="1"/>
  <c r="A1019" i="1"/>
  <c r="B1019" i="1"/>
  <c r="A1020" i="1"/>
  <c r="B1020" i="1"/>
  <c r="A1021" i="1"/>
  <c r="B1021" i="1"/>
  <c r="A1022" i="1"/>
  <c r="B1022" i="1"/>
  <c r="A1023" i="1"/>
  <c r="B1023" i="1"/>
  <c r="A1024" i="1"/>
  <c r="B1024" i="1"/>
  <c r="A1025" i="1"/>
  <c r="B1025" i="1"/>
  <c r="A1026" i="1"/>
  <c r="B1026" i="1"/>
  <c r="A1027" i="1"/>
  <c r="B1027" i="1"/>
  <c r="A1028" i="1"/>
  <c r="B1028" i="1"/>
  <c r="A1029" i="1"/>
  <c r="B1029" i="1"/>
  <c r="A1030" i="1"/>
  <c r="B1030" i="1"/>
  <c r="A1031" i="1"/>
  <c r="B1031" i="1"/>
  <c r="A1032" i="1"/>
  <c r="B1032" i="1"/>
  <c r="A1033" i="1"/>
  <c r="B1033" i="1"/>
  <c r="A1034" i="1"/>
  <c r="B1034" i="1"/>
  <c r="A1035" i="1"/>
  <c r="B1035" i="1"/>
  <c r="A1036" i="1"/>
  <c r="B1036" i="1"/>
  <c r="A1037" i="1"/>
  <c r="B1037" i="1"/>
  <c r="A1038" i="1"/>
  <c r="B1038" i="1"/>
  <c r="A1039" i="1"/>
  <c r="B1039" i="1"/>
  <c r="A1040" i="1"/>
  <c r="B1040" i="1"/>
  <c r="A1041" i="1"/>
  <c r="B1041" i="1"/>
  <c r="A1042" i="1"/>
  <c r="B1042" i="1"/>
  <c r="A1043" i="1"/>
  <c r="B1043" i="1"/>
  <c r="A1044" i="1"/>
  <c r="B1044" i="1"/>
  <c r="A1045" i="1"/>
  <c r="B1045" i="1"/>
  <c r="A1046" i="1"/>
  <c r="B1046" i="1"/>
  <c r="A1047" i="1"/>
  <c r="B1047" i="1"/>
  <c r="A1048" i="1"/>
  <c r="B1048" i="1"/>
  <c r="A1049" i="1"/>
  <c r="B1049" i="1"/>
  <c r="A1050" i="1"/>
  <c r="B1050" i="1"/>
  <c r="A1051" i="1"/>
  <c r="B1051" i="1"/>
  <c r="A1052" i="1"/>
  <c r="B1052" i="1"/>
  <c r="A1053" i="1"/>
  <c r="B1053" i="1"/>
  <c r="A1054" i="1"/>
  <c r="B1054" i="1"/>
  <c r="A1055" i="1"/>
  <c r="B1055" i="1"/>
  <c r="A1056" i="1"/>
  <c r="B1056" i="1"/>
  <c r="A1057" i="1"/>
  <c r="B1057" i="1"/>
  <c r="A1058" i="1"/>
  <c r="B1058" i="1"/>
  <c r="A1059" i="1"/>
  <c r="B1059" i="1"/>
  <c r="A1060" i="1"/>
  <c r="B1060" i="1"/>
  <c r="A1061" i="1"/>
  <c r="B1061" i="1"/>
  <c r="A1062" i="1"/>
  <c r="B1062" i="1"/>
  <c r="A1063" i="1"/>
  <c r="B1063" i="1"/>
  <c r="A1064" i="1"/>
  <c r="B1064" i="1"/>
  <c r="A1065" i="1"/>
  <c r="B1065" i="1"/>
  <c r="A1066" i="1"/>
  <c r="B1066" i="1"/>
  <c r="A1067" i="1"/>
  <c r="B1067" i="1"/>
  <c r="A1068" i="1"/>
  <c r="B1068" i="1"/>
  <c r="A1069" i="1"/>
  <c r="B1069" i="1"/>
  <c r="A1070" i="1"/>
  <c r="B1070" i="1"/>
  <c r="A1071" i="1"/>
  <c r="B1071" i="1"/>
  <c r="A1072" i="1"/>
  <c r="B1072" i="1"/>
  <c r="A1073" i="1"/>
  <c r="B1073" i="1"/>
  <c r="A1074" i="1"/>
  <c r="B1074" i="1"/>
  <c r="A1075" i="1"/>
  <c r="B1075" i="1"/>
  <c r="A1076" i="1"/>
  <c r="B1076" i="1"/>
  <c r="A1077" i="1"/>
  <c r="B1077" i="1"/>
  <c r="A1078" i="1"/>
  <c r="B1078" i="1"/>
  <c r="A1079" i="1"/>
  <c r="B1079" i="1"/>
  <c r="A1080" i="1"/>
  <c r="B1080" i="1"/>
  <c r="A1081" i="1"/>
  <c r="B1081" i="1"/>
  <c r="A1082" i="1"/>
  <c r="B1082" i="1"/>
  <c r="A1083" i="1"/>
  <c r="B1083" i="1"/>
  <c r="A1084" i="1"/>
  <c r="B1084" i="1"/>
  <c r="A1085" i="1"/>
  <c r="B1085" i="1"/>
  <c r="A1086" i="1"/>
  <c r="B1086" i="1"/>
  <c r="A1087" i="1"/>
  <c r="B1087" i="1"/>
  <c r="A1088" i="1"/>
  <c r="B1088" i="1"/>
  <c r="A1089" i="1"/>
  <c r="B1089" i="1"/>
  <c r="A1090" i="1"/>
  <c r="B1090" i="1"/>
  <c r="A1091" i="1"/>
  <c r="B1091" i="1"/>
  <c r="A1092" i="1"/>
  <c r="B1092" i="1"/>
  <c r="A1093" i="1"/>
  <c r="B1093" i="1"/>
  <c r="A1094" i="1"/>
  <c r="B1094" i="1"/>
  <c r="A1095" i="1"/>
  <c r="B1095" i="1"/>
  <c r="A1096" i="1"/>
  <c r="B1096" i="1"/>
  <c r="A1097" i="1"/>
  <c r="B1097" i="1"/>
  <c r="A1098" i="1"/>
  <c r="B1098" i="1"/>
  <c r="A1099" i="1"/>
  <c r="B1099" i="1"/>
  <c r="A1100" i="1"/>
  <c r="B1100" i="1"/>
  <c r="A1101" i="1"/>
  <c r="B1101" i="1"/>
  <c r="A1102" i="1"/>
  <c r="B1102" i="1"/>
  <c r="A1103" i="1"/>
  <c r="B1103" i="1"/>
  <c r="A1104" i="1"/>
  <c r="B1104" i="1"/>
  <c r="A1105" i="1"/>
  <c r="B1105" i="1"/>
  <c r="A1106" i="1"/>
  <c r="B1106" i="1"/>
  <c r="A1107" i="1"/>
  <c r="B1107" i="1"/>
  <c r="A1108" i="1"/>
  <c r="B1108" i="1"/>
  <c r="A1109" i="1"/>
  <c r="B1109" i="1"/>
  <c r="A1110" i="1"/>
  <c r="B1110" i="1"/>
  <c r="A1111" i="1"/>
  <c r="B1111" i="1"/>
  <c r="A1112" i="1"/>
  <c r="B1112" i="1"/>
  <c r="A1113" i="1"/>
  <c r="B1113" i="1"/>
  <c r="A1114" i="1"/>
  <c r="B1114" i="1"/>
  <c r="A1115" i="1"/>
  <c r="B1115" i="1"/>
  <c r="A1116" i="1"/>
  <c r="B1116" i="1"/>
  <c r="A1117" i="1"/>
  <c r="B1117" i="1"/>
  <c r="A1118" i="1"/>
  <c r="B1118" i="1"/>
  <c r="A1119" i="1"/>
  <c r="B1119" i="1"/>
  <c r="A1120" i="1"/>
  <c r="B1120" i="1"/>
  <c r="A1121" i="1"/>
  <c r="B1121" i="1"/>
  <c r="A1122" i="1"/>
  <c r="B1122" i="1"/>
  <c r="A1123" i="1"/>
  <c r="B1123" i="1"/>
  <c r="A1124" i="1"/>
  <c r="B1124" i="1"/>
  <c r="A1125" i="1"/>
  <c r="B1125" i="1"/>
  <c r="A1126" i="1"/>
  <c r="B1126" i="1"/>
  <c r="A1127" i="1"/>
  <c r="B1127" i="1"/>
  <c r="A1128" i="1"/>
  <c r="B1128" i="1"/>
  <c r="A1129" i="1"/>
  <c r="B1129" i="1"/>
  <c r="A1130" i="1"/>
  <c r="B1130" i="1"/>
  <c r="A1131" i="1"/>
  <c r="B1131" i="1"/>
  <c r="A1132" i="1"/>
  <c r="B1132" i="1"/>
  <c r="A1133" i="1"/>
  <c r="B1133" i="1"/>
  <c r="A1134" i="1"/>
  <c r="B1134" i="1"/>
  <c r="A1135" i="1"/>
  <c r="B1135" i="1"/>
  <c r="A1136" i="1"/>
  <c r="B1136" i="1"/>
  <c r="A1137" i="1"/>
  <c r="B1137" i="1"/>
  <c r="A1138" i="1"/>
  <c r="B1138" i="1"/>
  <c r="A1139" i="1"/>
  <c r="B1139" i="1"/>
  <c r="A1140" i="1"/>
  <c r="B1140" i="1"/>
  <c r="A1141" i="1"/>
  <c r="B1141" i="1"/>
  <c r="A1142" i="1"/>
  <c r="B1142" i="1"/>
  <c r="A1143" i="1"/>
  <c r="B1143" i="1"/>
  <c r="A1144" i="1"/>
  <c r="B1144" i="1"/>
  <c r="A1145" i="1"/>
  <c r="B1145" i="1"/>
  <c r="A1146" i="1"/>
  <c r="B1146" i="1"/>
  <c r="A1147" i="1"/>
  <c r="B1147" i="1"/>
  <c r="A1148" i="1"/>
  <c r="B1148" i="1"/>
  <c r="A1149" i="1"/>
  <c r="B1149" i="1"/>
  <c r="A1150" i="1"/>
  <c r="B1150" i="1"/>
  <c r="A1151" i="1"/>
  <c r="B1151" i="1"/>
  <c r="A1152" i="1"/>
  <c r="B1152" i="1"/>
  <c r="A1153" i="1"/>
  <c r="B1153" i="1"/>
  <c r="A1154" i="1"/>
  <c r="B1154" i="1"/>
  <c r="A1155" i="1"/>
  <c r="B1155" i="1"/>
  <c r="A1156" i="1"/>
  <c r="B1156" i="1"/>
  <c r="A1157" i="1"/>
  <c r="B1157" i="1"/>
  <c r="A1158" i="1"/>
  <c r="B1158" i="1"/>
  <c r="A1159" i="1"/>
  <c r="B1159" i="1"/>
  <c r="A1160" i="1"/>
  <c r="B1160" i="1"/>
  <c r="A1161" i="1"/>
  <c r="B1161" i="1"/>
  <c r="A1162" i="1"/>
  <c r="B1162" i="1"/>
  <c r="A1163" i="1"/>
  <c r="B1163" i="1"/>
  <c r="A1164" i="1"/>
  <c r="B1164" i="1"/>
  <c r="A1165" i="1"/>
  <c r="B1165" i="1"/>
  <c r="A1166" i="1"/>
  <c r="B1166" i="1"/>
  <c r="A1167" i="1"/>
  <c r="B1167" i="1"/>
  <c r="A1168" i="1"/>
  <c r="B1168" i="1"/>
  <c r="A1169" i="1"/>
  <c r="B1169" i="1"/>
  <c r="A1170" i="1"/>
  <c r="B1170" i="1"/>
  <c r="A1171" i="1"/>
  <c r="B1171" i="1"/>
  <c r="A1172" i="1"/>
  <c r="B1172" i="1"/>
  <c r="A1173" i="1"/>
  <c r="B1173" i="1"/>
  <c r="A1174" i="1"/>
  <c r="B1174" i="1"/>
  <c r="A1175" i="1"/>
  <c r="B1175" i="1"/>
  <c r="A1176" i="1"/>
  <c r="B1176" i="1"/>
  <c r="A1177" i="1"/>
  <c r="B1177" i="1"/>
  <c r="A1178" i="1"/>
  <c r="B1178" i="1"/>
  <c r="A1179" i="1"/>
  <c r="B1179" i="1"/>
  <c r="A1180" i="1"/>
  <c r="B1180" i="1"/>
  <c r="A1181" i="1"/>
  <c r="B1181" i="1"/>
  <c r="A1182" i="1"/>
  <c r="B1182" i="1"/>
  <c r="A1183" i="1"/>
  <c r="B1183" i="1"/>
  <c r="A1184" i="1"/>
  <c r="B1184" i="1"/>
  <c r="A1185" i="1"/>
  <c r="B1185" i="1"/>
  <c r="A1186" i="1"/>
  <c r="B1186" i="1"/>
  <c r="A1187" i="1"/>
  <c r="B1187" i="1"/>
  <c r="A1188" i="1"/>
  <c r="B1188" i="1"/>
  <c r="A1189" i="1"/>
  <c r="B1189" i="1"/>
  <c r="A1190" i="1"/>
  <c r="B1190" i="1"/>
  <c r="A1191" i="1"/>
  <c r="B1191" i="1"/>
  <c r="A1192" i="1"/>
  <c r="B1192" i="1"/>
  <c r="A1193" i="1"/>
  <c r="B1193" i="1"/>
  <c r="A1194" i="1"/>
  <c r="B1194" i="1"/>
  <c r="A1195" i="1"/>
  <c r="B1195" i="1"/>
  <c r="A1196" i="1"/>
  <c r="B1196" i="1"/>
  <c r="A1197" i="1"/>
  <c r="B1197" i="1"/>
  <c r="A1198" i="1"/>
  <c r="B1198" i="1"/>
  <c r="A1199" i="1"/>
  <c r="B1199" i="1"/>
  <c r="A1200" i="1"/>
  <c r="B1200" i="1"/>
  <c r="A1201" i="1"/>
  <c r="B1201" i="1"/>
  <c r="A1202" i="1"/>
  <c r="B1202" i="1"/>
  <c r="A1203" i="1"/>
  <c r="B1203" i="1"/>
  <c r="A1204" i="1"/>
  <c r="B1204" i="1"/>
  <c r="A1205" i="1"/>
  <c r="B1205" i="1"/>
  <c r="A1206" i="1"/>
  <c r="B1206" i="1"/>
  <c r="A1207" i="1"/>
  <c r="B1207" i="1"/>
  <c r="A1208" i="1"/>
  <c r="B1208" i="1"/>
  <c r="A1209" i="1"/>
  <c r="B1209" i="1"/>
  <c r="A1210" i="1"/>
  <c r="B1210" i="1"/>
  <c r="A1211" i="1"/>
  <c r="B1211" i="1"/>
  <c r="A1212" i="1"/>
  <c r="B1212" i="1"/>
  <c r="A1213" i="1"/>
  <c r="B1213" i="1"/>
  <c r="A1214" i="1"/>
  <c r="B1214" i="1"/>
  <c r="A1215" i="1"/>
  <c r="B1215" i="1"/>
  <c r="A1216" i="1"/>
  <c r="B1216" i="1"/>
  <c r="A1217" i="1"/>
  <c r="B1217" i="1"/>
  <c r="A1218" i="1"/>
  <c r="B1218" i="1"/>
  <c r="A1219" i="1"/>
  <c r="B1219" i="1"/>
  <c r="A1220" i="1"/>
  <c r="B1220" i="1"/>
  <c r="A1221" i="1"/>
  <c r="B1221" i="1"/>
  <c r="B1222" i="1"/>
  <c r="A1223" i="1"/>
  <c r="B1223" i="1"/>
  <c r="A1224" i="1"/>
  <c r="B1224" i="1"/>
  <c r="A1225" i="1"/>
  <c r="B1225" i="1"/>
  <c r="A1226" i="1"/>
  <c r="B1226" i="1"/>
  <c r="A1227" i="1"/>
  <c r="B1227" i="1"/>
  <c r="A1228" i="1"/>
  <c r="B1228" i="1"/>
  <c r="A1229" i="1"/>
  <c r="B1229" i="1"/>
  <c r="A1230" i="1"/>
  <c r="B1230" i="1"/>
  <c r="A1231" i="1"/>
  <c r="B1231" i="1"/>
  <c r="A1232" i="1"/>
  <c r="B1232" i="1"/>
  <c r="A1233" i="1"/>
  <c r="B1233" i="1"/>
  <c r="A1234" i="1"/>
  <c r="B1234" i="1"/>
  <c r="A1235" i="1"/>
  <c r="B1235" i="1"/>
  <c r="A1236" i="1"/>
  <c r="B1236" i="1"/>
  <c r="A1237" i="1"/>
  <c r="B1237" i="1"/>
  <c r="A1238" i="1"/>
  <c r="B1238" i="1"/>
  <c r="A1239" i="1"/>
  <c r="B1239" i="1"/>
  <c r="A1240" i="1"/>
  <c r="B1240" i="1"/>
  <c r="A1241" i="1"/>
  <c r="B1241" i="1"/>
  <c r="A1242" i="1"/>
  <c r="B1242" i="1"/>
  <c r="A1243" i="1"/>
  <c r="B1243" i="1"/>
  <c r="A1244" i="1"/>
  <c r="B1244" i="1"/>
  <c r="A1245" i="1"/>
  <c r="B1245" i="1"/>
  <c r="A1246" i="1"/>
  <c r="B1246" i="1"/>
  <c r="A1247" i="1"/>
  <c r="B1247" i="1"/>
  <c r="A1248" i="1"/>
  <c r="B1248" i="1"/>
  <c r="A1249" i="1"/>
  <c r="B1249" i="1"/>
  <c r="A1250" i="1"/>
  <c r="B1250" i="1"/>
  <c r="A1251" i="1"/>
  <c r="B1251" i="1"/>
  <c r="A1252" i="1"/>
  <c r="B1252" i="1"/>
  <c r="A1253" i="1"/>
  <c r="B1253" i="1"/>
  <c r="A1254" i="1"/>
  <c r="B1254" i="1"/>
  <c r="A1255" i="1"/>
  <c r="B1255" i="1"/>
  <c r="A1256" i="1"/>
  <c r="B1256" i="1"/>
  <c r="A1257" i="1"/>
  <c r="B1257" i="1"/>
  <c r="A1258" i="1"/>
  <c r="B1258" i="1"/>
  <c r="A1259" i="1"/>
  <c r="B1259" i="1"/>
  <c r="A1260" i="1"/>
  <c r="B1260" i="1"/>
  <c r="B1261" i="1"/>
  <c r="A1262" i="1"/>
  <c r="B1262" i="1"/>
  <c r="A1263" i="1"/>
  <c r="B1263" i="1"/>
  <c r="A1264" i="1"/>
  <c r="B1264" i="1"/>
  <c r="A1265" i="1"/>
  <c r="B1265" i="1"/>
  <c r="A1266" i="1"/>
  <c r="B1266" i="1"/>
  <c r="A1267" i="1"/>
  <c r="B1267" i="1"/>
  <c r="A1268" i="1"/>
  <c r="B1268" i="1"/>
  <c r="B1269" i="1"/>
  <c r="A1270" i="1"/>
  <c r="B1270" i="1"/>
  <c r="A1271" i="1"/>
  <c r="B1271" i="1"/>
  <c r="A1272" i="1"/>
  <c r="B1272" i="1"/>
  <c r="B1273" i="1"/>
  <c r="A1274" i="1"/>
  <c r="B1274" i="1"/>
  <c r="A1275" i="1"/>
  <c r="B1275" i="1"/>
  <c r="B1276" i="1"/>
  <c r="A1277" i="1"/>
  <c r="B1277" i="1"/>
  <c r="A1278" i="1"/>
  <c r="B1278" i="1"/>
  <c r="A1279" i="1"/>
  <c r="B1279" i="1"/>
  <c r="A1280" i="1"/>
  <c r="B1280" i="1"/>
  <c r="A1281" i="1"/>
  <c r="B1281" i="1"/>
  <c r="A1282" i="1"/>
  <c r="B1282" i="1"/>
  <c r="A1283" i="1"/>
  <c r="B1283" i="1"/>
  <c r="A1284" i="1"/>
  <c r="B1284" i="1"/>
  <c r="A1285" i="1"/>
  <c r="B1285" i="1"/>
  <c r="A1286" i="1"/>
  <c r="B1286" i="1"/>
  <c r="A1287" i="1"/>
  <c r="B1287" i="1"/>
  <c r="A1288" i="1"/>
  <c r="B1288" i="1"/>
  <c r="A1289" i="1"/>
  <c r="B1289" i="1"/>
  <c r="A1290" i="1"/>
  <c r="B1290" i="1"/>
  <c r="A1291" i="1"/>
  <c r="B1291" i="1"/>
  <c r="A1292" i="1"/>
  <c r="B1292" i="1"/>
  <c r="A1293" i="1"/>
  <c r="B1293" i="1"/>
  <c r="A1294" i="1"/>
  <c r="B1294" i="1"/>
  <c r="A1295" i="1"/>
  <c r="B1295" i="1"/>
  <c r="A1296" i="1"/>
  <c r="B1296" i="1"/>
  <c r="A1297" i="1"/>
  <c r="B1297" i="1"/>
  <c r="A1298" i="1"/>
  <c r="B1298" i="1"/>
  <c r="A1299" i="1"/>
  <c r="B1299" i="1"/>
  <c r="A1300" i="1"/>
  <c r="B1300" i="1"/>
  <c r="A1301" i="1"/>
  <c r="B1301" i="1"/>
  <c r="A1302" i="1"/>
  <c r="B1302" i="1"/>
  <c r="A1303" i="1"/>
  <c r="B1303" i="1"/>
  <c r="A1304" i="1"/>
  <c r="B1304" i="1"/>
  <c r="A1305" i="1"/>
  <c r="B1305" i="1"/>
  <c r="A1306" i="1"/>
  <c r="B1306" i="1"/>
  <c r="A1307" i="1"/>
  <c r="B1307" i="1"/>
  <c r="A1308" i="1"/>
  <c r="B1308" i="1"/>
  <c r="A1309" i="1"/>
  <c r="B1309" i="1"/>
  <c r="A1310" i="1"/>
  <c r="B1310" i="1"/>
  <c r="A1311" i="1"/>
  <c r="B1311" i="1"/>
  <c r="A1312" i="1"/>
  <c r="B1312" i="1"/>
  <c r="A1313" i="1"/>
  <c r="B1313" i="1"/>
  <c r="A1314" i="1"/>
  <c r="B1314" i="1"/>
  <c r="A1315" i="1"/>
  <c r="B1315" i="1"/>
  <c r="A1316" i="1"/>
  <c r="B1316" i="1"/>
  <c r="A1317" i="1"/>
  <c r="B1317" i="1"/>
  <c r="A1318" i="1"/>
  <c r="B1318" i="1"/>
  <c r="A1319" i="1"/>
  <c r="B1319" i="1"/>
  <c r="A1320" i="1"/>
  <c r="B1320" i="1"/>
  <c r="A1321" i="1"/>
  <c r="B1321" i="1"/>
  <c r="A1322" i="1"/>
  <c r="B1322" i="1"/>
  <c r="A1323" i="1"/>
  <c r="B1323" i="1"/>
  <c r="A1324" i="1"/>
  <c r="B1324" i="1"/>
  <c r="A1325" i="1"/>
  <c r="B1325" i="1"/>
  <c r="A1326" i="1"/>
  <c r="B1326" i="1"/>
  <c r="A1327" i="1"/>
  <c r="B1327" i="1"/>
  <c r="A1328" i="1"/>
  <c r="B1328" i="1"/>
  <c r="A1329" i="1"/>
  <c r="B1329" i="1"/>
  <c r="A1330" i="1"/>
  <c r="B1330" i="1"/>
  <c r="A1331" i="1"/>
  <c r="B1331" i="1"/>
  <c r="A1332" i="1"/>
  <c r="B1332" i="1"/>
  <c r="A1333" i="1"/>
  <c r="B1333" i="1"/>
  <c r="A1334" i="1"/>
  <c r="B1334" i="1"/>
  <c r="A1335" i="1"/>
  <c r="B1335" i="1"/>
  <c r="A1336" i="1"/>
  <c r="B1336" i="1"/>
  <c r="A1337" i="1"/>
  <c r="B1337" i="1"/>
  <c r="A1338" i="1"/>
  <c r="B1338" i="1"/>
  <c r="A1339" i="1"/>
  <c r="B1339" i="1"/>
  <c r="A1340" i="1"/>
  <c r="B1340" i="1"/>
  <c r="A1341" i="1"/>
  <c r="B1341" i="1"/>
  <c r="A1342" i="1"/>
  <c r="B1342" i="1"/>
  <c r="A1343" i="1"/>
  <c r="B1343" i="1"/>
  <c r="B1344" i="1"/>
  <c r="A1345" i="1"/>
  <c r="B1345" i="1"/>
  <c r="A1346" i="1"/>
  <c r="B1346" i="1"/>
  <c r="A1347" i="1"/>
  <c r="B1347" i="1"/>
  <c r="A1348" i="1"/>
  <c r="B1348" i="1"/>
  <c r="A1349" i="1"/>
  <c r="B1349" i="1"/>
  <c r="A1350" i="1"/>
  <c r="B1350" i="1"/>
  <c r="B1351" i="1"/>
  <c r="A1352" i="1"/>
  <c r="B1352" i="1"/>
  <c r="A1353" i="1"/>
  <c r="B1353" i="1"/>
  <c r="A1354" i="1"/>
  <c r="B1354" i="1"/>
  <c r="B1355" i="1"/>
  <c r="A1356" i="1"/>
  <c r="B1356" i="1"/>
  <c r="A1357" i="1"/>
  <c r="B1357" i="1"/>
  <c r="A1358" i="1"/>
  <c r="B1358" i="1"/>
  <c r="B1359" i="1"/>
  <c r="A1360" i="1"/>
  <c r="B1360" i="1"/>
  <c r="A1361" i="1"/>
  <c r="B1361" i="1"/>
  <c r="A1362" i="1"/>
  <c r="B1362" i="1"/>
  <c r="A1363" i="1"/>
  <c r="B1363" i="1"/>
  <c r="B1364" i="1"/>
  <c r="A1365" i="1"/>
  <c r="B1365" i="1"/>
  <c r="A1366" i="1"/>
  <c r="B1366" i="1"/>
  <c r="A1367" i="1"/>
  <c r="B1367" i="1"/>
  <c r="A1368" i="1"/>
  <c r="B1368" i="1"/>
  <c r="A1369" i="1"/>
  <c r="B1369" i="1"/>
  <c r="A1370" i="1"/>
  <c r="B1370" i="1"/>
  <c r="A1371" i="1"/>
  <c r="B1371" i="1"/>
  <c r="A1372" i="1"/>
  <c r="B1372" i="1"/>
  <c r="A1373" i="1"/>
  <c r="B1373" i="1"/>
  <c r="A1374" i="1"/>
  <c r="B1374" i="1"/>
  <c r="A1375" i="1"/>
  <c r="B1375" i="1"/>
  <c r="A1376" i="1"/>
  <c r="B1376" i="1"/>
  <c r="A1377" i="1"/>
  <c r="B1377" i="1"/>
  <c r="A1378" i="1"/>
  <c r="B1378" i="1"/>
  <c r="A1379" i="1"/>
  <c r="B1379" i="1"/>
  <c r="A1380" i="1"/>
  <c r="B1380" i="1"/>
  <c r="A1381" i="1"/>
  <c r="B1381" i="1"/>
  <c r="A1382" i="1"/>
  <c r="B1382" i="1"/>
  <c r="A1383" i="1"/>
  <c r="B1383" i="1"/>
  <c r="A1384" i="1"/>
  <c r="B1384" i="1"/>
  <c r="A1385" i="1"/>
  <c r="B1385" i="1"/>
  <c r="A1386" i="1"/>
  <c r="B1386" i="1"/>
  <c r="A1387" i="1"/>
  <c r="B1387" i="1"/>
  <c r="A1388" i="1"/>
  <c r="B1388" i="1"/>
  <c r="A1389" i="1"/>
  <c r="B1389" i="1"/>
  <c r="A1390" i="1"/>
  <c r="B1390" i="1"/>
  <c r="A1391" i="1"/>
  <c r="B1391" i="1"/>
  <c r="A1392" i="1"/>
  <c r="B1392" i="1"/>
  <c r="A1393" i="1"/>
  <c r="B1393" i="1"/>
  <c r="A1394" i="1"/>
  <c r="B1394" i="1"/>
  <c r="A1395" i="1"/>
  <c r="B1395" i="1"/>
  <c r="A1396" i="1"/>
  <c r="B1396" i="1"/>
  <c r="A1397" i="1"/>
  <c r="B1397" i="1"/>
  <c r="A1398" i="1"/>
  <c r="B1398" i="1"/>
  <c r="A1399" i="1"/>
  <c r="B1399" i="1"/>
  <c r="A1400" i="1"/>
  <c r="B1400" i="1"/>
  <c r="A1401" i="1"/>
  <c r="B1401" i="1"/>
  <c r="A1402" i="1"/>
  <c r="B1402" i="1"/>
  <c r="A1403" i="1"/>
  <c r="B1403" i="1"/>
  <c r="A1404" i="1"/>
  <c r="B1404" i="1"/>
  <c r="A1405" i="1"/>
  <c r="B1405" i="1"/>
  <c r="A1406" i="1"/>
  <c r="B1406" i="1"/>
  <c r="A1407" i="1"/>
  <c r="B1407" i="1"/>
  <c r="A1408" i="1"/>
  <c r="B1408" i="1"/>
  <c r="A1409" i="1"/>
  <c r="B1409" i="1"/>
  <c r="A1410" i="1"/>
  <c r="B1410" i="1"/>
  <c r="A1411" i="1"/>
  <c r="B1411" i="1"/>
  <c r="A1412" i="1"/>
  <c r="B1412" i="1"/>
  <c r="A1413" i="1"/>
  <c r="B1413" i="1"/>
  <c r="A1414" i="1"/>
  <c r="B1414" i="1"/>
  <c r="A1415" i="1"/>
  <c r="B1415" i="1"/>
  <c r="A1416" i="1"/>
  <c r="B1416" i="1"/>
  <c r="A1417" i="1"/>
  <c r="B1417" i="1"/>
  <c r="A1418" i="1"/>
  <c r="B1418" i="1"/>
  <c r="A1419" i="1"/>
  <c r="B1419" i="1"/>
  <c r="A1420" i="1"/>
  <c r="B1420" i="1"/>
  <c r="A1421" i="1"/>
  <c r="B1421" i="1"/>
  <c r="A1422" i="1"/>
  <c r="B1422" i="1"/>
  <c r="A1423" i="1"/>
  <c r="B1423" i="1"/>
  <c r="A1424" i="1"/>
  <c r="B1424" i="1"/>
  <c r="A1425" i="1"/>
  <c r="B1425" i="1"/>
  <c r="A1426" i="1"/>
  <c r="B1426" i="1"/>
  <c r="A1427" i="1"/>
  <c r="B1427" i="1"/>
  <c r="A1428" i="1"/>
  <c r="B1428" i="1"/>
  <c r="A1429" i="1"/>
  <c r="B1429" i="1"/>
  <c r="A1430" i="1"/>
  <c r="B1430" i="1"/>
  <c r="A1431" i="1"/>
  <c r="B1431" i="1"/>
  <c r="A1432" i="1"/>
  <c r="B1432" i="1"/>
  <c r="A1433" i="1"/>
  <c r="B1433" i="1"/>
  <c r="A1434" i="1"/>
  <c r="B1434" i="1"/>
  <c r="A1435" i="1"/>
  <c r="B1435" i="1"/>
  <c r="A1436" i="1"/>
  <c r="B1436" i="1"/>
  <c r="A1437" i="1"/>
  <c r="B1437" i="1"/>
  <c r="A1438" i="1"/>
  <c r="B1438" i="1"/>
  <c r="A1439" i="1"/>
  <c r="B1439" i="1"/>
  <c r="A1440" i="1"/>
  <c r="B1440" i="1"/>
  <c r="A1441" i="1"/>
  <c r="B1441" i="1"/>
  <c r="A1442" i="1"/>
  <c r="B1442" i="1"/>
  <c r="A1443" i="1"/>
  <c r="B1443" i="1"/>
  <c r="A1444" i="1"/>
  <c r="B1444" i="1"/>
  <c r="A1445" i="1"/>
  <c r="B1445" i="1"/>
  <c r="A1446" i="1"/>
  <c r="B1446" i="1"/>
  <c r="A1447" i="1"/>
  <c r="B1447" i="1"/>
  <c r="A1448" i="1"/>
  <c r="B1448" i="1"/>
  <c r="A1449" i="1"/>
  <c r="B1449" i="1"/>
  <c r="A1450" i="1"/>
  <c r="B1450" i="1"/>
  <c r="A1451" i="1"/>
  <c r="B1451" i="1"/>
  <c r="A1452" i="1"/>
  <c r="B1452" i="1"/>
  <c r="A1453" i="1"/>
  <c r="B1453" i="1"/>
  <c r="A1454" i="1"/>
  <c r="B1454" i="1"/>
  <c r="A1455" i="1"/>
  <c r="B1455" i="1"/>
  <c r="A1456" i="1"/>
  <c r="B1456" i="1"/>
  <c r="A1457" i="1"/>
  <c r="B1457" i="1"/>
  <c r="A1458" i="1"/>
  <c r="B1458" i="1"/>
  <c r="A1459" i="1"/>
  <c r="B1459" i="1"/>
  <c r="A1460" i="1"/>
  <c r="B1460" i="1"/>
  <c r="A1461" i="1"/>
  <c r="B1461" i="1"/>
  <c r="A1462" i="1"/>
  <c r="B1462" i="1"/>
  <c r="A1463" i="1"/>
  <c r="B1463" i="1"/>
  <c r="A1464" i="1"/>
  <c r="B1464" i="1"/>
  <c r="A1465" i="1"/>
  <c r="B1465" i="1"/>
  <c r="A1466" i="1"/>
  <c r="B1466" i="1"/>
  <c r="A1467" i="1"/>
  <c r="B1467" i="1"/>
  <c r="A1468" i="1"/>
  <c r="B1468" i="1"/>
  <c r="A1469" i="1"/>
  <c r="B1469" i="1"/>
  <c r="A1470" i="1"/>
  <c r="B1470" i="1"/>
  <c r="A1471" i="1"/>
  <c r="B1471" i="1"/>
  <c r="A1472" i="1"/>
  <c r="B1472" i="1"/>
  <c r="A1473" i="1"/>
  <c r="B1473" i="1"/>
  <c r="A1474" i="1"/>
  <c r="B1474" i="1"/>
  <c r="A1475" i="1"/>
  <c r="B1475" i="1"/>
  <c r="A1476" i="1"/>
  <c r="B1476" i="1"/>
  <c r="A1477" i="1"/>
  <c r="B1477" i="1"/>
  <c r="A1478" i="1"/>
  <c r="B1478" i="1"/>
  <c r="B1479" i="1"/>
  <c r="A1480" i="1"/>
  <c r="B1480" i="1"/>
  <c r="A1481" i="1"/>
  <c r="B1481" i="1"/>
  <c r="B1482" i="1"/>
  <c r="A1483" i="1"/>
  <c r="B1483" i="1"/>
  <c r="A1484" i="1"/>
  <c r="B1484" i="1"/>
  <c r="A1485" i="1"/>
  <c r="B1485" i="1"/>
  <c r="A1486" i="1"/>
  <c r="B1486" i="1"/>
  <c r="A1487" i="1"/>
  <c r="B1487" i="1"/>
  <c r="B1488" i="1"/>
  <c r="A1489" i="1"/>
  <c r="B1489" i="1"/>
  <c r="A1490" i="1"/>
  <c r="B1490" i="1"/>
  <c r="B1491" i="1"/>
  <c r="A1492" i="1"/>
  <c r="B1492" i="1"/>
  <c r="A1493" i="1"/>
  <c r="B1493" i="1"/>
  <c r="A1494" i="1"/>
  <c r="B1494" i="1"/>
  <c r="A1495" i="1"/>
  <c r="B1495" i="1"/>
  <c r="A1496" i="1"/>
  <c r="B1496" i="1"/>
  <c r="A1497" i="1"/>
  <c r="B1497" i="1"/>
  <c r="A1498" i="1"/>
  <c r="B1498" i="1"/>
  <c r="A1499" i="1"/>
  <c r="B1499" i="1"/>
  <c r="A1500" i="1"/>
  <c r="B1500" i="1"/>
  <c r="A1501" i="1"/>
  <c r="B1501" i="1"/>
  <c r="A1502" i="1"/>
  <c r="B1502" i="1"/>
  <c r="A1503" i="1"/>
  <c r="B1503" i="1"/>
  <c r="A1504" i="1"/>
  <c r="B1504" i="1"/>
  <c r="A1505" i="1"/>
  <c r="B1505" i="1"/>
  <c r="B1506" i="1"/>
  <c r="A1507" i="1"/>
  <c r="B1507" i="1"/>
  <c r="A1508" i="1"/>
  <c r="B1508" i="1"/>
  <c r="A1509" i="1"/>
  <c r="B1509" i="1"/>
  <c r="A1510" i="1"/>
  <c r="B1510" i="1"/>
  <c r="A1511" i="1"/>
  <c r="B1511" i="1"/>
  <c r="A1512" i="1"/>
  <c r="B1512" i="1"/>
  <c r="A1513" i="1"/>
  <c r="B1513" i="1"/>
  <c r="A1514" i="1"/>
  <c r="B1514" i="1"/>
  <c r="A1515" i="1"/>
  <c r="B1515" i="1"/>
  <c r="A1516" i="1"/>
  <c r="B1516" i="1"/>
  <c r="A1517" i="1"/>
  <c r="B1517" i="1"/>
  <c r="A1518" i="1"/>
  <c r="B1518" i="1"/>
  <c r="A1519" i="1"/>
  <c r="B1519" i="1"/>
  <c r="A1520" i="1"/>
  <c r="B1520" i="1"/>
  <c r="A1521" i="1"/>
  <c r="B1521" i="1"/>
  <c r="A1522" i="1"/>
  <c r="B1522" i="1"/>
  <c r="A1523" i="1"/>
  <c r="B1523" i="1"/>
  <c r="A1524" i="1"/>
  <c r="B1524" i="1"/>
  <c r="A1525" i="1"/>
  <c r="B1525" i="1"/>
  <c r="A1526" i="1"/>
  <c r="B1526" i="1"/>
  <c r="A1527" i="1"/>
  <c r="B1527" i="1"/>
  <c r="A1528" i="1"/>
  <c r="B1528" i="1"/>
  <c r="A1529" i="1"/>
  <c r="B1529" i="1"/>
  <c r="A1530" i="1"/>
  <c r="B1530" i="1"/>
  <c r="A1531" i="1"/>
  <c r="B1531" i="1"/>
  <c r="A1532" i="1"/>
  <c r="B1532" i="1"/>
  <c r="A1533" i="1"/>
  <c r="B1533" i="1"/>
  <c r="A1534" i="1"/>
  <c r="B1534" i="1"/>
  <c r="A1535" i="1"/>
  <c r="B1535" i="1"/>
  <c r="A1536" i="1"/>
  <c r="B1536" i="1"/>
  <c r="A1537" i="1"/>
  <c r="B1537" i="1"/>
  <c r="A1538" i="1"/>
  <c r="B1538" i="1"/>
  <c r="A1539" i="1"/>
  <c r="B1539" i="1"/>
  <c r="A1540" i="1"/>
  <c r="B1540" i="1"/>
  <c r="A1541" i="1"/>
  <c r="B1541" i="1"/>
  <c r="A1542" i="1"/>
  <c r="B1542" i="1"/>
  <c r="A1543" i="1"/>
  <c r="B1543" i="1"/>
  <c r="A1544" i="1"/>
  <c r="B1544" i="1"/>
  <c r="A1545" i="1"/>
  <c r="B1545" i="1"/>
  <c r="A1546" i="1"/>
  <c r="B1546" i="1"/>
  <c r="A1547" i="1"/>
  <c r="B1547" i="1"/>
  <c r="A1548" i="1"/>
  <c r="B1548" i="1"/>
  <c r="A1549" i="1"/>
  <c r="B1549" i="1"/>
  <c r="A1550" i="1"/>
  <c r="B1550" i="1"/>
  <c r="A1551" i="1"/>
  <c r="B1551" i="1"/>
  <c r="A1552" i="1"/>
  <c r="B1552" i="1"/>
  <c r="A1553" i="1"/>
  <c r="B1553" i="1"/>
  <c r="A1554" i="1"/>
  <c r="B1554" i="1"/>
  <c r="A1555" i="1"/>
  <c r="B1555" i="1"/>
  <c r="A1556" i="1"/>
  <c r="B1556" i="1"/>
  <c r="A1557" i="1"/>
  <c r="B1557" i="1"/>
  <c r="A1558" i="1"/>
  <c r="B1558" i="1"/>
  <c r="A1559" i="1"/>
  <c r="B1559" i="1"/>
  <c r="A1560" i="1"/>
  <c r="B1560" i="1"/>
  <c r="A1561" i="1"/>
  <c r="B1561" i="1"/>
  <c r="A1562" i="1"/>
  <c r="B1562" i="1"/>
  <c r="A1563" i="1"/>
  <c r="B1563" i="1"/>
  <c r="A1564" i="1"/>
  <c r="B1564" i="1"/>
  <c r="A1565" i="1"/>
  <c r="B1565" i="1"/>
  <c r="A1566" i="1"/>
  <c r="B1566" i="1"/>
  <c r="A1567" i="1"/>
  <c r="B1567" i="1"/>
  <c r="A1568" i="1"/>
  <c r="B1568" i="1"/>
  <c r="A1569" i="1"/>
  <c r="B1569" i="1"/>
  <c r="A1570" i="1"/>
  <c r="B1570" i="1"/>
  <c r="A1571" i="1"/>
  <c r="B1571" i="1"/>
  <c r="A1572" i="1"/>
  <c r="B1572" i="1"/>
  <c r="A1573" i="1"/>
  <c r="B1573" i="1"/>
  <c r="A1574" i="1"/>
  <c r="B1574" i="1"/>
  <c r="A1575" i="1"/>
  <c r="B1575" i="1"/>
  <c r="A1576" i="1"/>
  <c r="B1576" i="1"/>
  <c r="A1577" i="1"/>
  <c r="B1577" i="1"/>
  <c r="A1578" i="1"/>
  <c r="B1578" i="1"/>
  <c r="A1579" i="1"/>
  <c r="B1579" i="1"/>
  <c r="A1580" i="1"/>
  <c r="B1580" i="1"/>
  <c r="A1581" i="1"/>
  <c r="B1581" i="1"/>
  <c r="A1582" i="1"/>
  <c r="B1582" i="1"/>
  <c r="A1583" i="1"/>
  <c r="B1583" i="1"/>
  <c r="A1584" i="1"/>
  <c r="B1584" i="1"/>
  <c r="A1585" i="1"/>
  <c r="B1585" i="1"/>
  <c r="A1586" i="1"/>
  <c r="B1586" i="1"/>
  <c r="A1587" i="1"/>
  <c r="B1587" i="1"/>
  <c r="A1588" i="1"/>
  <c r="B1588" i="1"/>
  <c r="A1589" i="1"/>
  <c r="B1589" i="1"/>
  <c r="A1590" i="1"/>
  <c r="B1590" i="1"/>
  <c r="A1591" i="1"/>
  <c r="B1591" i="1"/>
  <c r="A1592" i="1"/>
  <c r="B1592" i="1"/>
  <c r="A1593" i="1"/>
  <c r="B1593" i="1"/>
  <c r="A1594" i="1"/>
  <c r="B1594" i="1"/>
  <c r="A1595" i="1"/>
  <c r="B1595" i="1"/>
  <c r="A1596" i="1"/>
  <c r="B1596" i="1"/>
  <c r="A1597" i="1"/>
  <c r="B1597" i="1"/>
  <c r="A1598" i="1"/>
  <c r="B1598" i="1"/>
  <c r="A1599" i="1"/>
  <c r="B1599" i="1"/>
  <c r="A1600" i="1"/>
  <c r="B1600" i="1"/>
  <c r="A1601" i="1"/>
  <c r="B1601" i="1"/>
  <c r="A1602" i="1"/>
  <c r="B1602" i="1"/>
  <c r="A1603" i="1"/>
  <c r="B1603" i="1"/>
  <c r="A1604" i="1"/>
  <c r="B1604" i="1"/>
  <c r="A1605" i="1"/>
  <c r="B1605" i="1"/>
  <c r="A1606" i="1"/>
  <c r="B1606" i="1"/>
  <c r="A1607" i="1"/>
  <c r="B1607" i="1"/>
  <c r="A1608" i="1"/>
  <c r="B1608" i="1"/>
  <c r="A1609" i="1"/>
  <c r="B1609" i="1"/>
  <c r="A1610" i="1"/>
  <c r="B1610" i="1"/>
  <c r="A1611" i="1"/>
  <c r="B1611" i="1"/>
  <c r="A1612" i="1"/>
  <c r="B1612" i="1"/>
  <c r="A1613" i="1"/>
  <c r="B1613" i="1"/>
  <c r="A1614" i="1"/>
  <c r="B1614" i="1"/>
  <c r="A1615" i="1"/>
  <c r="B1615" i="1"/>
  <c r="A1616" i="1"/>
  <c r="B1616" i="1"/>
  <c r="A1617" i="1"/>
  <c r="B1617" i="1"/>
  <c r="A1618" i="1"/>
  <c r="B1618" i="1"/>
  <c r="A1619" i="1"/>
  <c r="B1619" i="1"/>
  <c r="A1620" i="1"/>
  <c r="B1620" i="1"/>
  <c r="A1621" i="1"/>
  <c r="B1621" i="1"/>
  <c r="A1622" i="1"/>
  <c r="B1622" i="1"/>
  <c r="A1623" i="1"/>
  <c r="B1623" i="1"/>
  <c r="A1624" i="1"/>
  <c r="B1624" i="1"/>
  <c r="A1625" i="1"/>
  <c r="B1625" i="1"/>
  <c r="A1626" i="1"/>
  <c r="B1626" i="1"/>
  <c r="A1627" i="1"/>
  <c r="B1627" i="1"/>
  <c r="A1628" i="1"/>
  <c r="B1628" i="1"/>
  <c r="A1629" i="1"/>
  <c r="B1629" i="1"/>
  <c r="A1630" i="1"/>
  <c r="B1630" i="1"/>
  <c r="A1631" i="1"/>
  <c r="B1631" i="1"/>
  <c r="A1632" i="1"/>
  <c r="B1632" i="1"/>
  <c r="A1633" i="1"/>
  <c r="B1633" i="1"/>
  <c r="A1634" i="1"/>
  <c r="B1634" i="1"/>
  <c r="A1635" i="1"/>
  <c r="B1635" i="1"/>
  <c r="A1636" i="1"/>
  <c r="B1636" i="1"/>
  <c r="A1637" i="1"/>
  <c r="B1637" i="1"/>
  <c r="A1638" i="1"/>
  <c r="B1638" i="1"/>
  <c r="A1639" i="1"/>
  <c r="B1639" i="1"/>
  <c r="A1640" i="1"/>
  <c r="B1640" i="1"/>
  <c r="A1641" i="1"/>
  <c r="B1641" i="1"/>
  <c r="A1642" i="1"/>
  <c r="B1642" i="1"/>
  <c r="A1643" i="1"/>
  <c r="B1643" i="1"/>
  <c r="A1644" i="1"/>
  <c r="B1644" i="1"/>
  <c r="A1645" i="1"/>
  <c r="B1645" i="1"/>
  <c r="A1646" i="1"/>
  <c r="B1646" i="1"/>
  <c r="A1647" i="1"/>
  <c r="B1647" i="1"/>
  <c r="A1648" i="1"/>
  <c r="B1648" i="1"/>
  <c r="A1649" i="1"/>
  <c r="B1649" i="1"/>
  <c r="A1650" i="1"/>
  <c r="B1650" i="1"/>
  <c r="A1651" i="1"/>
  <c r="B1651" i="1"/>
  <c r="A1652" i="1"/>
  <c r="B1652" i="1"/>
  <c r="A1653" i="1"/>
  <c r="B1653" i="1"/>
  <c r="A1654" i="1"/>
  <c r="B1654" i="1"/>
  <c r="A1655" i="1"/>
  <c r="B1655" i="1"/>
  <c r="A1656" i="1"/>
  <c r="B1656" i="1"/>
  <c r="A1657" i="1"/>
  <c r="B1657" i="1"/>
  <c r="A1658" i="1"/>
  <c r="B1658" i="1"/>
  <c r="A1659" i="1"/>
  <c r="B1659" i="1"/>
  <c r="A1660" i="1"/>
  <c r="B1660" i="1"/>
  <c r="A1661" i="1"/>
  <c r="B1661" i="1"/>
  <c r="A1662" i="1"/>
  <c r="B1662" i="1"/>
  <c r="A1663" i="1"/>
  <c r="B1663" i="1"/>
  <c r="A1664" i="1"/>
  <c r="B1664" i="1"/>
  <c r="A1665" i="1"/>
  <c r="B1665" i="1"/>
  <c r="A1666" i="1"/>
  <c r="B1666" i="1"/>
  <c r="A1667" i="1"/>
  <c r="B1667" i="1"/>
  <c r="A1668" i="1"/>
  <c r="B1668" i="1"/>
  <c r="A1669" i="1"/>
  <c r="B1669" i="1"/>
  <c r="A1670" i="1"/>
  <c r="B1670" i="1"/>
  <c r="A1671" i="1"/>
  <c r="B1671" i="1"/>
  <c r="B1672" i="1"/>
  <c r="A1673" i="1"/>
  <c r="B1673" i="1"/>
  <c r="A1674" i="1"/>
  <c r="B1674" i="1"/>
  <c r="A1675" i="1"/>
  <c r="B1675" i="1"/>
  <c r="A1676" i="1"/>
  <c r="B1676" i="1"/>
  <c r="A1677" i="1"/>
  <c r="B1677" i="1"/>
  <c r="A1678" i="1"/>
  <c r="B1678" i="1"/>
  <c r="A1679" i="1"/>
  <c r="B1679" i="1"/>
  <c r="A1680" i="1"/>
  <c r="B1680" i="1"/>
  <c r="A1681" i="1"/>
  <c r="B1681" i="1"/>
  <c r="A1682" i="1"/>
  <c r="B1682" i="1"/>
  <c r="A1683" i="1"/>
  <c r="B1683" i="1"/>
  <c r="A1684" i="1"/>
  <c r="B1684" i="1"/>
  <c r="A1685" i="1"/>
  <c r="B1685" i="1"/>
  <c r="A1686" i="1"/>
  <c r="B1686" i="1"/>
  <c r="A1687" i="1"/>
  <c r="B1687" i="1"/>
  <c r="A1688" i="1"/>
  <c r="B1688" i="1"/>
  <c r="A1689" i="1"/>
  <c r="B1689" i="1"/>
  <c r="A1690" i="1"/>
  <c r="B1690" i="1"/>
  <c r="A1691" i="1"/>
  <c r="B1691" i="1"/>
  <c r="A1692" i="1"/>
  <c r="B1692" i="1"/>
  <c r="A1693" i="1"/>
  <c r="B1693" i="1"/>
  <c r="A1694" i="1"/>
  <c r="B1694" i="1"/>
  <c r="A1695" i="1"/>
  <c r="B1695" i="1"/>
  <c r="A1696" i="1"/>
  <c r="B1696" i="1"/>
  <c r="A1697" i="1"/>
  <c r="B1697" i="1"/>
  <c r="A1698" i="1"/>
  <c r="B1698" i="1"/>
  <c r="A1699" i="1"/>
  <c r="B1699" i="1"/>
  <c r="A1700" i="1"/>
  <c r="B1700" i="1"/>
  <c r="A1701" i="1"/>
  <c r="B1701" i="1"/>
  <c r="A1702" i="1"/>
  <c r="B1702" i="1"/>
  <c r="A1703" i="1"/>
  <c r="B1703" i="1"/>
  <c r="A1704" i="1"/>
  <c r="B1704" i="1"/>
  <c r="A1705" i="1"/>
  <c r="B1705" i="1"/>
  <c r="A1706" i="1"/>
  <c r="B1706" i="1"/>
  <c r="A1707" i="1"/>
  <c r="B1707" i="1"/>
  <c r="A1708" i="1"/>
  <c r="B1708" i="1"/>
  <c r="A1709" i="1"/>
  <c r="B1709" i="1"/>
  <c r="A1710" i="1"/>
  <c r="B1710" i="1"/>
  <c r="A1711" i="1"/>
  <c r="B1711" i="1"/>
  <c r="A1712" i="1"/>
  <c r="B1712" i="1"/>
  <c r="A1713" i="1"/>
  <c r="B1713" i="1"/>
  <c r="A1714" i="1"/>
  <c r="B1714" i="1"/>
  <c r="A1715" i="1"/>
  <c r="B1715" i="1"/>
  <c r="A1716" i="1"/>
  <c r="B1716" i="1"/>
  <c r="A1717" i="1"/>
  <c r="B1717" i="1"/>
  <c r="A1718" i="1"/>
  <c r="B1718" i="1"/>
  <c r="A1719" i="1"/>
  <c r="B1719" i="1"/>
  <c r="A1720" i="1"/>
  <c r="B1720" i="1"/>
  <c r="A1721" i="1"/>
  <c r="B1721" i="1"/>
  <c r="A1722" i="1"/>
  <c r="B1722" i="1"/>
  <c r="A1723" i="1"/>
  <c r="B1723" i="1"/>
  <c r="A1724" i="1"/>
  <c r="B1724" i="1"/>
  <c r="A1725" i="1"/>
  <c r="B1725" i="1"/>
  <c r="A1726" i="1"/>
  <c r="B1726" i="1"/>
  <c r="A1727" i="1"/>
  <c r="B1727" i="1"/>
  <c r="A1728" i="1"/>
  <c r="B1728" i="1"/>
  <c r="A1729" i="1"/>
  <c r="B1729" i="1"/>
  <c r="A1730" i="1"/>
  <c r="B1730" i="1"/>
  <c r="A1731" i="1"/>
  <c r="B1731" i="1"/>
  <c r="A1732" i="1"/>
  <c r="B1732" i="1"/>
  <c r="A1733" i="1"/>
  <c r="B1733" i="1"/>
  <c r="A1734" i="1"/>
  <c r="B1734" i="1"/>
  <c r="A1735" i="1"/>
  <c r="B1735" i="1"/>
  <c r="A1736" i="1"/>
  <c r="B1736" i="1"/>
  <c r="A1737" i="1"/>
  <c r="B1737" i="1"/>
  <c r="A1738" i="1"/>
  <c r="B1738" i="1"/>
  <c r="A1739" i="1"/>
  <c r="B1739" i="1"/>
  <c r="A1740" i="1"/>
  <c r="B1740" i="1"/>
  <c r="A1741" i="1"/>
  <c r="B1741" i="1"/>
  <c r="A1742" i="1"/>
  <c r="B1742" i="1"/>
  <c r="A1743" i="1"/>
  <c r="B1743" i="1"/>
  <c r="A1744" i="1"/>
  <c r="B1744" i="1"/>
  <c r="A1745" i="1"/>
  <c r="B1745" i="1"/>
  <c r="A1746" i="1"/>
  <c r="B1746" i="1"/>
  <c r="A1747" i="1"/>
  <c r="B1747" i="1"/>
  <c r="A1748" i="1"/>
  <c r="B1748" i="1"/>
  <c r="A1749" i="1"/>
  <c r="B1749" i="1"/>
  <c r="A1750" i="1"/>
  <c r="B1750" i="1"/>
  <c r="A1751" i="1"/>
  <c r="B1751" i="1"/>
  <c r="A1752" i="1"/>
  <c r="B1752" i="1"/>
  <c r="A1753" i="1"/>
  <c r="B1753" i="1"/>
  <c r="A1754" i="1"/>
  <c r="B1754" i="1"/>
  <c r="A1755" i="1"/>
  <c r="B1755" i="1"/>
  <c r="A1756" i="1"/>
  <c r="B1756" i="1"/>
  <c r="A1757" i="1"/>
  <c r="B1757" i="1"/>
  <c r="A1758" i="1"/>
  <c r="B1758" i="1"/>
  <c r="A1759" i="1"/>
  <c r="B1759" i="1"/>
  <c r="A1760" i="1"/>
  <c r="B1760" i="1"/>
  <c r="A1761" i="1"/>
  <c r="B1761" i="1"/>
  <c r="A1762" i="1"/>
  <c r="B1762" i="1"/>
  <c r="A1763" i="1"/>
  <c r="B1763" i="1"/>
  <c r="A1764" i="1"/>
  <c r="B1764" i="1"/>
  <c r="A1765" i="1"/>
  <c r="B1765" i="1"/>
  <c r="A1766" i="1"/>
  <c r="B1766" i="1"/>
  <c r="A1767" i="1"/>
  <c r="B1767" i="1"/>
  <c r="A1768" i="1"/>
  <c r="B1768" i="1"/>
  <c r="A1769" i="1"/>
  <c r="B1769" i="1"/>
  <c r="A1770" i="1"/>
  <c r="B1770" i="1"/>
  <c r="A1771" i="1"/>
  <c r="B1771" i="1"/>
  <c r="A1772" i="1"/>
  <c r="B1772" i="1"/>
  <c r="A1773" i="1"/>
  <c r="B1773" i="1"/>
  <c r="A1774" i="1"/>
  <c r="B1774" i="1"/>
  <c r="A1775" i="1"/>
  <c r="B1775" i="1"/>
  <c r="A1776" i="1"/>
  <c r="B1776" i="1"/>
  <c r="A1777" i="1"/>
  <c r="B1777" i="1"/>
  <c r="A1778" i="1"/>
  <c r="B1778" i="1"/>
  <c r="A1779" i="1"/>
  <c r="B1779" i="1"/>
  <c r="A1780" i="1"/>
  <c r="B1780" i="1"/>
  <c r="A1781" i="1"/>
  <c r="B1781" i="1"/>
  <c r="A1782" i="1"/>
  <c r="B1782" i="1"/>
  <c r="A1783" i="1"/>
  <c r="B1783" i="1"/>
  <c r="A1784" i="1"/>
  <c r="B1784" i="1"/>
  <c r="A1785" i="1"/>
  <c r="B1785" i="1"/>
  <c r="A1786" i="1"/>
  <c r="B1786" i="1"/>
  <c r="A1787" i="1"/>
  <c r="B1787" i="1"/>
  <c r="A1788" i="1"/>
  <c r="B1788" i="1"/>
  <c r="A1789" i="1"/>
  <c r="B1789" i="1"/>
  <c r="A1790" i="1"/>
  <c r="B1790" i="1"/>
  <c r="A1791" i="1"/>
  <c r="B1791" i="1"/>
  <c r="A1792" i="1"/>
  <c r="B1792" i="1"/>
  <c r="A1793" i="1"/>
  <c r="B1793" i="1"/>
  <c r="A1794" i="1"/>
  <c r="B1794" i="1"/>
  <c r="A1795" i="1"/>
  <c r="B1795" i="1"/>
  <c r="A1796" i="1"/>
  <c r="B1796" i="1"/>
  <c r="A1797" i="1"/>
  <c r="B1797" i="1"/>
  <c r="A1798" i="1"/>
  <c r="B1798" i="1"/>
  <c r="A1799" i="1"/>
  <c r="B1799" i="1"/>
  <c r="A1800" i="1"/>
  <c r="B1800" i="1"/>
  <c r="A1801" i="1"/>
  <c r="B1801" i="1"/>
  <c r="A1802" i="1"/>
  <c r="B1802" i="1"/>
  <c r="A1803" i="1"/>
  <c r="B1803" i="1"/>
  <c r="A1804" i="1"/>
  <c r="B1804" i="1"/>
  <c r="A1805" i="1"/>
  <c r="B1805" i="1"/>
  <c r="A1806" i="1"/>
  <c r="B1806" i="1"/>
  <c r="A1807" i="1"/>
  <c r="B1807" i="1"/>
  <c r="A1808" i="1"/>
  <c r="B1808" i="1"/>
  <c r="A1809" i="1"/>
  <c r="B1809" i="1"/>
  <c r="A1810" i="1"/>
  <c r="B1810" i="1"/>
  <c r="A1811" i="1"/>
  <c r="B1811" i="1"/>
  <c r="A1812" i="1"/>
  <c r="B1812" i="1"/>
  <c r="A1813" i="1"/>
  <c r="B1813" i="1"/>
  <c r="A1814" i="1"/>
  <c r="B1814" i="1"/>
  <c r="A1815" i="1"/>
  <c r="B1815" i="1"/>
  <c r="A1816" i="1"/>
  <c r="B1816" i="1"/>
  <c r="A1817" i="1"/>
  <c r="B1817" i="1"/>
  <c r="A1818" i="1"/>
  <c r="B1818" i="1"/>
  <c r="A1819" i="1"/>
  <c r="B1819" i="1"/>
  <c r="A1820" i="1"/>
  <c r="B1820" i="1"/>
  <c r="A1821" i="1"/>
  <c r="B1821" i="1"/>
  <c r="A1822" i="1"/>
  <c r="B1822" i="1"/>
  <c r="A1823" i="1"/>
  <c r="B1823" i="1"/>
  <c r="A1824" i="1"/>
  <c r="B1824" i="1"/>
  <c r="A1825" i="1"/>
  <c r="B1825" i="1"/>
  <c r="A1826" i="1"/>
  <c r="B1826" i="1"/>
  <c r="B1827" i="1"/>
  <c r="A1828" i="1"/>
  <c r="B1828" i="1"/>
  <c r="A1829" i="1"/>
  <c r="B1829" i="1"/>
  <c r="A1830" i="1"/>
  <c r="B1830" i="1"/>
  <c r="B1831" i="1"/>
  <c r="A1832" i="1"/>
  <c r="B1832" i="1"/>
  <c r="A1833" i="1"/>
  <c r="B1833" i="1"/>
  <c r="A1834" i="1"/>
  <c r="B1834" i="1"/>
  <c r="A1835" i="1"/>
  <c r="B1835" i="1"/>
  <c r="B1836" i="1"/>
  <c r="A1837" i="1"/>
  <c r="B1837" i="1"/>
  <c r="A1838" i="1"/>
  <c r="B1838" i="1"/>
  <c r="A1839" i="1"/>
  <c r="B1839" i="1"/>
  <c r="A1840" i="1"/>
  <c r="B1840" i="1"/>
  <c r="A1841" i="1"/>
  <c r="B1841" i="1"/>
  <c r="A1842" i="1"/>
  <c r="B1842" i="1"/>
  <c r="A1843" i="1"/>
  <c r="B1843" i="1"/>
  <c r="A1844" i="1"/>
  <c r="B1844" i="1"/>
  <c r="A1845" i="1"/>
  <c r="B1845" i="1"/>
  <c r="A1846" i="1"/>
  <c r="B1846" i="1"/>
  <c r="A1847" i="1"/>
  <c r="B1847" i="1"/>
  <c r="A1848" i="1"/>
  <c r="B1848" i="1"/>
  <c r="A1849" i="1"/>
  <c r="B1849" i="1"/>
  <c r="A1850" i="1"/>
  <c r="B1850" i="1"/>
  <c r="A1851" i="1"/>
  <c r="B1851" i="1"/>
  <c r="A1852" i="1"/>
  <c r="B1852" i="1"/>
  <c r="A1853" i="1"/>
  <c r="B1853" i="1"/>
  <c r="A1854" i="1"/>
  <c r="B1854" i="1"/>
  <c r="A1855" i="1"/>
  <c r="B1855" i="1"/>
  <c r="A1856" i="1"/>
  <c r="B1856" i="1"/>
  <c r="A1857" i="1"/>
  <c r="B1857" i="1"/>
  <c r="A1858" i="1"/>
  <c r="B1858" i="1"/>
  <c r="A1859" i="1"/>
  <c r="B1859" i="1"/>
  <c r="A1860" i="1"/>
  <c r="B1860" i="1"/>
  <c r="A1861" i="1"/>
  <c r="B1861" i="1"/>
  <c r="A1862" i="1"/>
  <c r="B1862" i="1"/>
  <c r="A1863" i="1"/>
  <c r="B1863" i="1"/>
  <c r="A1864" i="1"/>
  <c r="B1864" i="1"/>
  <c r="A1865" i="1"/>
  <c r="B1865" i="1"/>
  <c r="A1866" i="1"/>
  <c r="B1866" i="1"/>
  <c r="A1867" i="1"/>
  <c r="B1867" i="1"/>
  <c r="B1868" i="1"/>
  <c r="A1869" i="1"/>
  <c r="B1869" i="1"/>
  <c r="A1870" i="1"/>
  <c r="B1870" i="1"/>
  <c r="A1871" i="1"/>
  <c r="B1871" i="1"/>
  <c r="A1872" i="1"/>
  <c r="B1872" i="1"/>
  <c r="A1873" i="1"/>
  <c r="B1873" i="1"/>
  <c r="A1874" i="1"/>
  <c r="B1874" i="1"/>
  <c r="A1875" i="1"/>
  <c r="B1875" i="1"/>
  <c r="A1876" i="1"/>
  <c r="B1876" i="1"/>
  <c r="A1877" i="1"/>
  <c r="B1877" i="1"/>
  <c r="A1878" i="1"/>
  <c r="B1878" i="1"/>
  <c r="A1879" i="1"/>
  <c r="B1879" i="1"/>
  <c r="A1880" i="1"/>
  <c r="B1880" i="1"/>
  <c r="A1881" i="1"/>
  <c r="B1881" i="1"/>
  <c r="A1882" i="1"/>
  <c r="B1882" i="1"/>
  <c r="A1883" i="1"/>
  <c r="B1883" i="1"/>
  <c r="A1884" i="1"/>
  <c r="B1884" i="1"/>
  <c r="A1885" i="1"/>
  <c r="B1885" i="1"/>
  <c r="A1886" i="1"/>
  <c r="B1886" i="1"/>
  <c r="A1887" i="1"/>
  <c r="B1887" i="1"/>
  <c r="A1888" i="1"/>
  <c r="B1888" i="1"/>
  <c r="A1889" i="1"/>
  <c r="B1889" i="1"/>
  <c r="A1890" i="1"/>
  <c r="B1890" i="1"/>
  <c r="A1891" i="1"/>
  <c r="B1891" i="1"/>
  <c r="A1892" i="1"/>
  <c r="B1892" i="1"/>
  <c r="A1893" i="1"/>
  <c r="B1893" i="1"/>
  <c r="A1894" i="1"/>
  <c r="B1894" i="1"/>
  <c r="A1895" i="1"/>
  <c r="B1895" i="1"/>
  <c r="A1896" i="1"/>
  <c r="B1896" i="1"/>
  <c r="A1897" i="1"/>
  <c r="B1897" i="1"/>
  <c r="A1898" i="1"/>
  <c r="B1898" i="1"/>
  <c r="A1899" i="1"/>
  <c r="B1899" i="1"/>
  <c r="A1900" i="1"/>
  <c r="B1900" i="1"/>
  <c r="A1901" i="1"/>
  <c r="B1901" i="1"/>
  <c r="A1902" i="1"/>
  <c r="B1902" i="1"/>
  <c r="A1903" i="1"/>
  <c r="B1903" i="1"/>
  <c r="A1904" i="1"/>
  <c r="B1904" i="1"/>
  <c r="A1905" i="1"/>
  <c r="B1905" i="1"/>
  <c r="A1906" i="1"/>
  <c r="B1906" i="1"/>
  <c r="A1907" i="1"/>
  <c r="B1907" i="1"/>
  <c r="A1908" i="1"/>
  <c r="B1908" i="1"/>
  <c r="A1909" i="1"/>
  <c r="B1909" i="1"/>
  <c r="A1910" i="1"/>
  <c r="B1910" i="1"/>
  <c r="A1911" i="1"/>
  <c r="B1911" i="1"/>
  <c r="A1912" i="1"/>
  <c r="B1912" i="1"/>
  <c r="A1913" i="1"/>
  <c r="B1913" i="1"/>
  <c r="A1914" i="1"/>
  <c r="B1914" i="1"/>
  <c r="A1915" i="1"/>
  <c r="B1915" i="1"/>
  <c r="A1916" i="1"/>
  <c r="B1916" i="1"/>
  <c r="A1917" i="1"/>
  <c r="B1917" i="1"/>
  <c r="A1918" i="1"/>
  <c r="B1918" i="1"/>
  <c r="A1919" i="1"/>
  <c r="B1919" i="1"/>
  <c r="A1920" i="1"/>
  <c r="B1920" i="1"/>
  <c r="A1921" i="1"/>
  <c r="B1921" i="1"/>
  <c r="A1922" i="1"/>
  <c r="B1922" i="1"/>
  <c r="A1923" i="1"/>
  <c r="B1923" i="1"/>
  <c r="A1924" i="1"/>
  <c r="B1924" i="1"/>
  <c r="A1925" i="1"/>
  <c r="B1925" i="1"/>
  <c r="A1926" i="1"/>
  <c r="B1926" i="1"/>
  <c r="A1927" i="1"/>
  <c r="B1927" i="1"/>
  <c r="A1928" i="1"/>
  <c r="B1928" i="1"/>
  <c r="A1929" i="1"/>
  <c r="B1929" i="1"/>
  <c r="A1930" i="1"/>
  <c r="B1930" i="1"/>
  <c r="A1931" i="1"/>
  <c r="B1931" i="1"/>
  <c r="A1932" i="1"/>
  <c r="B1932" i="1"/>
  <c r="A1933" i="1"/>
  <c r="B1933" i="1"/>
  <c r="A1934" i="1"/>
  <c r="B1934" i="1"/>
  <c r="A1935" i="1"/>
  <c r="B1935" i="1"/>
  <c r="A1936" i="1"/>
  <c r="B1936" i="1"/>
  <c r="A1937" i="1"/>
  <c r="B1937" i="1"/>
  <c r="A1938" i="1"/>
  <c r="B1938" i="1"/>
  <c r="A1939" i="1"/>
  <c r="B1939" i="1"/>
  <c r="A1940" i="1"/>
  <c r="B1940" i="1"/>
  <c r="A1941" i="1"/>
  <c r="B1941" i="1"/>
  <c r="A1942" i="1"/>
  <c r="B1942" i="1"/>
  <c r="A1943" i="1"/>
  <c r="B1943" i="1"/>
  <c r="A1944" i="1"/>
  <c r="B1944" i="1"/>
  <c r="A1945" i="1"/>
  <c r="B1945" i="1"/>
  <c r="A1946" i="1"/>
  <c r="B1946" i="1"/>
  <c r="A1947" i="1"/>
  <c r="B1947" i="1"/>
  <c r="A1948" i="1"/>
  <c r="B1948" i="1"/>
  <c r="A1949" i="1"/>
  <c r="B1949" i="1"/>
  <c r="A1950" i="1"/>
  <c r="B1950" i="1"/>
  <c r="A1951" i="1"/>
  <c r="B1951" i="1"/>
  <c r="A1952" i="1"/>
  <c r="B1952" i="1"/>
  <c r="A1953" i="1"/>
  <c r="B1953" i="1"/>
  <c r="A1954" i="1"/>
  <c r="B1954" i="1"/>
  <c r="A1955" i="1"/>
  <c r="B1955" i="1"/>
  <c r="A1956" i="1"/>
  <c r="B1956" i="1"/>
  <c r="A1957" i="1"/>
  <c r="B1957" i="1"/>
  <c r="A1958" i="1"/>
  <c r="B1958" i="1"/>
  <c r="A1959" i="1"/>
  <c r="B1959" i="1"/>
  <c r="A1960" i="1"/>
  <c r="B1960" i="1"/>
  <c r="A1961" i="1"/>
  <c r="B1961" i="1"/>
  <c r="A1962" i="1"/>
  <c r="B1962" i="1"/>
  <c r="A1963" i="1"/>
  <c r="B1963" i="1"/>
  <c r="A1964" i="1"/>
  <c r="B1964" i="1"/>
  <c r="A1965" i="1"/>
  <c r="B1965" i="1"/>
  <c r="A1966" i="1"/>
  <c r="B1966" i="1"/>
  <c r="A1967" i="1"/>
  <c r="B1967" i="1"/>
  <c r="A1968" i="1"/>
  <c r="B1968" i="1"/>
  <c r="A1969" i="1"/>
  <c r="B1969" i="1"/>
  <c r="A1970" i="1"/>
  <c r="B1970" i="1"/>
  <c r="A1971" i="1"/>
  <c r="B1971" i="1"/>
  <c r="A1972" i="1"/>
  <c r="B1972" i="1"/>
  <c r="A1973" i="1"/>
  <c r="B1973" i="1"/>
  <c r="A1974" i="1"/>
  <c r="B1974" i="1"/>
  <c r="A1975" i="1"/>
  <c r="B1975" i="1"/>
  <c r="A1976" i="1"/>
  <c r="B1976" i="1"/>
  <c r="A1977" i="1"/>
  <c r="B1977" i="1"/>
  <c r="A1978" i="1"/>
  <c r="B1978" i="1"/>
  <c r="A1979" i="1"/>
  <c r="B1979" i="1"/>
  <c r="A1980" i="1"/>
  <c r="B1980" i="1"/>
  <c r="A1981" i="1"/>
  <c r="B1981" i="1"/>
  <c r="A1982" i="1"/>
  <c r="B1982" i="1"/>
  <c r="A1983" i="1"/>
  <c r="B1983" i="1"/>
  <c r="A1984" i="1"/>
  <c r="B1984" i="1"/>
  <c r="A1985" i="1"/>
  <c r="B1985" i="1"/>
  <c r="A1986" i="1"/>
  <c r="B1986" i="1"/>
  <c r="A1987" i="1"/>
  <c r="B1987" i="1"/>
  <c r="A1988" i="1"/>
  <c r="B1988" i="1"/>
  <c r="A1989" i="1"/>
  <c r="B1989" i="1"/>
  <c r="A1990" i="1"/>
  <c r="B1990" i="1"/>
  <c r="A1991" i="1"/>
  <c r="B1991" i="1"/>
  <c r="A1992" i="1"/>
  <c r="B1992" i="1"/>
  <c r="A1993" i="1"/>
  <c r="B1993" i="1"/>
  <c r="A1994" i="1"/>
  <c r="B1994" i="1"/>
  <c r="A1995" i="1"/>
  <c r="B1995" i="1"/>
  <c r="A1996" i="1"/>
  <c r="B1996" i="1"/>
  <c r="A1997" i="1"/>
  <c r="B1997" i="1"/>
  <c r="A1998" i="1"/>
  <c r="B1998" i="1"/>
  <c r="A1999" i="1"/>
  <c r="B1999" i="1"/>
  <c r="A2000" i="1"/>
  <c r="B2000" i="1"/>
  <c r="A2001" i="1"/>
  <c r="B2001" i="1"/>
  <c r="A2002" i="1"/>
  <c r="B2002" i="1"/>
  <c r="A2003" i="1"/>
  <c r="B2003" i="1"/>
  <c r="A2004" i="1"/>
  <c r="B2004" i="1"/>
  <c r="A2005" i="1"/>
  <c r="B2005" i="1"/>
  <c r="A2006" i="1"/>
  <c r="B2006" i="1"/>
  <c r="A2007" i="1"/>
  <c r="B2007" i="1"/>
  <c r="A2008" i="1"/>
  <c r="B2008" i="1"/>
  <c r="A2009" i="1"/>
  <c r="B2009" i="1"/>
  <c r="A2010" i="1"/>
  <c r="B2010" i="1"/>
  <c r="A2011" i="1"/>
  <c r="B2011" i="1"/>
  <c r="A2012" i="1"/>
  <c r="B2012" i="1"/>
  <c r="A2013" i="1"/>
  <c r="B2013" i="1"/>
  <c r="A2014" i="1"/>
  <c r="B2014" i="1"/>
  <c r="A2015" i="1"/>
  <c r="B2015" i="1"/>
  <c r="A2016" i="1"/>
  <c r="B2016" i="1"/>
  <c r="A2017" i="1"/>
  <c r="B2017" i="1"/>
  <c r="A2018" i="1"/>
  <c r="B2018" i="1"/>
  <c r="A2019" i="1"/>
  <c r="B2019" i="1"/>
  <c r="A2020" i="1"/>
  <c r="B2020" i="1"/>
  <c r="A2021" i="1"/>
  <c r="B2021" i="1"/>
  <c r="A2022" i="1"/>
  <c r="B2022" i="1"/>
  <c r="A2023" i="1"/>
  <c r="B2023" i="1"/>
  <c r="A2024" i="1"/>
  <c r="B2024" i="1"/>
  <c r="A2025" i="1"/>
  <c r="B2025" i="1"/>
  <c r="A2026" i="1"/>
  <c r="B2026" i="1"/>
  <c r="A2027" i="1"/>
  <c r="B2027" i="1"/>
  <c r="A2028" i="1"/>
  <c r="B2028" i="1"/>
  <c r="A2029" i="1"/>
  <c r="B2029" i="1"/>
  <c r="A2030" i="1"/>
  <c r="B2030" i="1"/>
  <c r="A2031" i="1"/>
  <c r="B2031" i="1"/>
  <c r="A2032" i="1"/>
  <c r="B2032" i="1"/>
  <c r="A2033" i="1"/>
  <c r="B2033" i="1"/>
  <c r="A2034" i="1"/>
  <c r="B2034" i="1"/>
  <c r="A2035" i="1"/>
  <c r="B2035" i="1"/>
  <c r="A2036" i="1"/>
  <c r="B2036" i="1"/>
  <c r="A2037" i="1"/>
  <c r="B2037" i="1"/>
  <c r="A2038" i="1"/>
  <c r="B2038" i="1"/>
  <c r="A2039" i="1"/>
  <c r="B2039" i="1"/>
  <c r="A2040" i="1"/>
  <c r="B2040" i="1"/>
  <c r="A2041" i="1"/>
  <c r="B2041" i="1"/>
  <c r="A2042" i="1"/>
  <c r="B2042" i="1"/>
  <c r="A2043" i="1"/>
  <c r="B2043" i="1"/>
  <c r="A2044" i="1"/>
  <c r="B2044" i="1"/>
  <c r="A2045" i="1"/>
  <c r="B2045" i="1"/>
  <c r="A2046" i="1"/>
  <c r="B2046" i="1"/>
  <c r="A2047" i="1"/>
  <c r="B2047" i="1"/>
  <c r="A2048" i="1"/>
  <c r="B2048" i="1"/>
  <c r="A2049" i="1"/>
  <c r="B2049" i="1"/>
  <c r="A2050" i="1"/>
  <c r="B2050" i="1"/>
  <c r="A2051" i="1"/>
  <c r="B2051" i="1"/>
  <c r="A2052" i="1"/>
  <c r="B2052" i="1"/>
  <c r="A2053" i="1"/>
  <c r="B2053" i="1"/>
  <c r="A2054" i="1"/>
  <c r="B2054" i="1"/>
  <c r="A2055" i="1"/>
  <c r="B2055" i="1"/>
  <c r="A2056" i="1"/>
  <c r="B2056" i="1"/>
  <c r="A2057" i="1"/>
  <c r="B2057" i="1"/>
  <c r="A2058" i="1"/>
  <c r="B2058" i="1"/>
  <c r="A2059" i="1"/>
  <c r="B2059" i="1"/>
  <c r="A2060" i="1"/>
  <c r="B2060" i="1"/>
  <c r="A2061" i="1"/>
  <c r="B2061" i="1"/>
  <c r="A2062" i="1"/>
  <c r="B2062" i="1"/>
  <c r="A2063" i="1"/>
  <c r="B2063" i="1"/>
  <c r="A2064" i="1"/>
  <c r="B2064" i="1"/>
  <c r="A2065" i="1"/>
  <c r="B2065" i="1"/>
  <c r="A2066" i="1"/>
  <c r="B2066" i="1"/>
  <c r="A2067" i="1"/>
  <c r="B2067" i="1"/>
  <c r="A2068" i="1"/>
  <c r="B2068" i="1"/>
  <c r="A2069" i="1"/>
  <c r="B2069" i="1"/>
  <c r="A2070" i="1"/>
  <c r="B2070" i="1"/>
  <c r="A2071" i="1"/>
  <c r="B2071" i="1"/>
  <c r="A2072" i="1"/>
  <c r="B2072" i="1"/>
  <c r="A2073" i="1"/>
  <c r="B2073" i="1"/>
  <c r="A2074" i="1"/>
  <c r="B2074" i="1"/>
  <c r="A2075" i="1"/>
  <c r="B2075" i="1"/>
  <c r="A2076" i="1"/>
  <c r="B2076" i="1"/>
  <c r="A2077" i="1"/>
  <c r="B2077" i="1"/>
  <c r="A2078" i="1"/>
  <c r="B2078" i="1"/>
  <c r="A2079" i="1"/>
  <c r="B2079" i="1"/>
  <c r="A2080" i="1"/>
  <c r="B2080" i="1"/>
  <c r="A2081" i="1"/>
  <c r="B2081" i="1"/>
  <c r="A2082" i="1"/>
  <c r="B2082" i="1"/>
  <c r="A2083" i="1"/>
  <c r="B2083" i="1"/>
  <c r="A2084" i="1"/>
  <c r="B2084" i="1"/>
  <c r="A2085" i="1"/>
  <c r="B2085" i="1"/>
  <c r="A2086" i="1"/>
  <c r="B2086" i="1"/>
  <c r="A2087" i="1"/>
  <c r="B2087" i="1"/>
  <c r="A2088" i="1"/>
  <c r="B2088" i="1"/>
  <c r="A2089" i="1"/>
  <c r="B2089" i="1"/>
  <c r="A2090" i="1"/>
  <c r="B2090" i="1"/>
  <c r="A2091" i="1"/>
  <c r="B2091" i="1"/>
  <c r="A2092" i="1"/>
  <c r="B2092" i="1"/>
  <c r="A2093" i="1"/>
  <c r="B2093" i="1"/>
  <c r="A2094" i="1"/>
  <c r="B2094" i="1"/>
  <c r="A2095" i="1"/>
  <c r="B2095" i="1"/>
  <c r="A2096" i="1"/>
  <c r="B2096" i="1"/>
  <c r="A2097" i="1"/>
  <c r="B2097" i="1"/>
  <c r="A2098" i="1"/>
  <c r="B2098" i="1"/>
  <c r="A2099" i="1"/>
  <c r="B2099" i="1"/>
  <c r="A2100" i="1"/>
  <c r="B2100" i="1"/>
  <c r="A2101" i="1"/>
  <c r="B2101" i="1"/>
  <c r="A2102" i="1"/>
  <c r="B2102" i="1"/>
  <c r="A2103" i="1"/>
  <c r="B2103" i="1"/>
  <c r="A2104" i="1"/>
  <c r="B2104" i="1"/>
  <c r="A2105" i="1"/>
  <c r="B2105" i="1"/>
  <c r="A2106" i="1"/>
  <c r="B2106" i="1"/>
  <c r="A2107" i="1"/>
  <c r="B2107" i="1"/>
  <c r="A2108" i="1"/>
  <c r="B2108" i="1"/>
  <c r="A2109" i="1"/>
  <c r="B2109" i="1"/>
  <c r="A2110" i="1"/>
  <c r="B2110" i="1"/>
  <c r="A2111" i="1"/>
  <c r="B2111" i="1"/>
  <c r="A2112" i="1"/>
  <c r="B2112" i="1"/>
  <c r="A2113" i="1"/>
  <c r="B2113" i="1"/>
  <c r="A2114" i="1"/>
  <c r="B2114" i="1"/>
  <c r="A2115" i="1"/>
  <c r="B2115" i="1"/>
  <c r="A2116" i="1"/>
  <c r="B2116" i="1"/>
  <c r="A2117" i="1"/>
  <c r="B2117" i="1"/>
  <c r="A2118" i="1"/>
  <c r="B2118" i="1"/>
  <c r="A2119" i="1"/>
  <c r="B2119" i="1"/>
  <c r="A2120" i="1"/>
  <c r="B2120" i="1"/>
  <c r="A2121" i="1"/>
  <c r="B2121" i="1"/>
  <c r="A2122" i="1"/>
  <c r="B2122" i="1"/>
  <c r="A2123" i="1"/>
  <c r="B2123" i="1"/>
  <c r="A2124" i="1"/>
  <c r="B2124" i="1"/>
  <c r="A2125" i="1"/>
  <c r="B2125" i="1"/>
  <c r="A2126" i="1"/>
  <c r="B2126" i="1"/>
  <c r="A2127" i="1"/>
  <c r="B2127" i="1"/>
  <c r="A2128" i="1"/>
  <c r="B2128" i="1"/>
  <c r="A2129" i="1"/>
  <c r="B2129" i="1"/>
  <c r="A2130" i="1"/>
  <c r="B2130" i="1"/>
  <c r="A2131" i="1"/>
  <c r="B2131" i="1"/>
  <c r="A2132" i="1"/>
  <c r="B2132" i="1"/>
  <c r="A2133" i="1"/>
  <c r="B2133" i="1"/>
  <c r="A2134" i="1"/>
  <c r="B2134" i="1"/>
  <c r="A2135" i="1"/>
  <c r="B2135" i="1"/>
  <c r="A2136" i="1"/>
  <c r="B2136" i="1"/>
  <c r="A2137" i="1"/>
  <c r="B2137" i="1"/>
  <c r="A2138" i="1"/>
  <c r="B2138" i="1"/>
  <c r="A2139" i="1"/>
  <c r="B2139" i="1"/>
  <c r="A2140" i="1"/>
  <c r="B2140" i="1"/>
  <c r="A2141" i="1"/>
  <c r="B2141" i="1"/>
  <c r="A2142" i="1"/>
  <c r="B2142" i="1"/>
  <c r="A2143" i="1"/>
  <c r="B2143" i="1"/>
  <c r="A2144" i="1"/>
  <c r="B2144" i="1"/>
  <c r="A2145" i="1"/>
  <c r="B2145" i="1"/>
  <c r="A2146" i="1"/>
  <c r="B2146" i="1"/>
  <c r="A2147" i="1"/>
  <c r="B2147" i="1"/>
  <c r="A2148" i="1"/>
  <c r="B2148" i="1"/>
  <c r="A2149" i="1"/>
  <c r="B2149" i="1"/>
  <c r="A2150" i="1"/>
  <c r="B2150" i="1"/>
  <c r="A2151" i="1"/>
  <c r="B2151" i="1"/>
  <c r="A2152" i="1"/>
  <c r="B2152" i="1"/>
  <c r="A2153" i="1"/>
  <c r="B2153" i="1"/>
  <c r="A2154" i="1"/>
  <c r="B2154" i="1"/>
  <c r="A2155" i="1"/>
  <c r="B2155" i="1"/>
  <c r="A2156" i="1"/>
  <c r="B2156" i="1"/>
  <c r="A2157" i="1"/>
  <c r="B2157" i="1"/>
  <c r="A2158" i="1"/>
  <c r="B2158" i="1"/>
  <c r="A2159" i="1"/>
  <c r="B2159" i="1"/>
  <c r="A2160" i="1"/>
  <c r="B2160" i="1"/>
  <c r="A2161" i="1"/>
  <c r="B2161" i="1"/>
  <c r="A2162" i="1"/>
  <c r="B2162" i="1"/>
  <c r="A2163" i="1"/>
  <c r="B2163" i="1"/>
  <c r="A2164" i="1"/>
  <c r="B2164" i="1"/>
  <c r="A2165" i="1"/>
  <c r="B2165" i="1"/>
  <c r="A2166" i="1"/>
  <c r="B2166" i="1"/>
  <c r="A2167" i="1"/>
  <c r="B2167" i="1"/>
  <c r="A2168" i="1"/>
  <c r="B2168" i="1"/>
  <c r="A2169" i="1"/>
  <c r="B2169" i="1"/>
  <c r="A2170" i="1"/>
  <c r="B2170" i="1"/>
  <c r="A2171" i="1"/>
  <c r="B2171" i="1"/>
  <c r="A2172" i="1"/>
  <c r="B2172" i="1"/>
  <c r="A2173" i="1"/>
  <c r="B2173" i="1"/>
  <c r="A2174" i="1"/>
  <c r="B2174" i="1"/>
  <c r="A2175" i="1"/>
  <c r="B2175" i="1"/>
  <c r="A2176" i="1"/>
  <c r="B2176" i="1"/>
  <c r="A2177" i="1"/>
  <c r="B2177" i="1"/>
  <c r="A2178" i="1"/>
  <c r="B2178" i="1"/>
  <c r="A2179" i="1"/>
  <c r="B2179" i="1"/>
  <c r="A2180" i="1"/>
  <c r="B2180" i="1"/>
  <c r="A2181" i="1"/>
  <c r="B2181" i="1"/>
  <c r="A2182" i="1"/>
  <c r="B2182" i="1"/>
  <c r="A2183" i="1"/>
  <c r="B2183" i="1"/>
  <c r="A2184" i="1"/>
  <c r="B2184" i="1"/>
  <c r="A2185" i="1"/>
  <c r="B2185" i="1"/>
  <c r="A2186" i="1"/>
  <c r="B2186" i="1"/>
  <c r="A2187" i="1"/>
  <c r="B2187" i="1"/>
  <c r="A2188" i="1"/>
  <c r="B2188" i="1"/>
  <c r="A2189" i="1"/>
  <c r="B2189" i="1"/>
  <c r="A2190" i="1"/>
  <c r="B2190" i="1"/>
  <c r="A2191" i="1"/>
  <c r="B2191" i="1"/>
  <c r="A2192" i="1"/>
  <c r="B2192" i="1"/>
  <c r="A2193" i="1"/>
  <c r="B2193" i="1"/>
  <c r="A2194" i="1"/>
  <c r="B2194" i="1"/>
  <c r="A2195" i="1"/>
  <c r="B2195" i="1"/>
  <c r="A2196" i="1"/>
  <c r="B2196" i="1"/>
  <c r="A2197" i="1"/>
  <c r="B2197" i="1"/>
  <c r="A2198" i="1"/>
  <c r="B2198" i="1"/>
  <c r="A2199" i="1"/>
  <c r="B2199" i="1"/>
  <c r="A2200" i="1"/>
  <c r="B2200" i="1"/>
  <c r="A2201" i="1"/>
  <c r="B2201" i="1"/>
  <c r="A2202" i="1"/>
  <c r="B2202" i="1"/>
  <c r="A2203" i="1"/>
  <c r="B2203" i="1"/>
  <c r="A2204" i="1"/>
  <c r="B2204" i="1"/>
  <c r="A2205" i="1"/>
  <c r="B2205" i="1"/>
  <c r="A2206" i="1"/>
  <c r="B2206" i="1"/>
  <c r="A2207" i="1"/>
  <c r="B2207" i="1"/>
  <c r="A2208" i="1"/>
  <c r="B2208" i="1"/>
  <c r="A2209" i="1"/>
  <c r="B2209" i="1"/>
  <c r="A2210" i="1"/>
  <c r="B2210" i="1"/>
  <c r="A2211" i="1"/>
  <c r="B2211" i="1"/>
  <c r="A2212" i="1"/>
  <c r="B2212" i="1"/>
  <c r="A2213" i="1"/>
  <c r="B2213" i="1"/>
  <c r="A2214" i="1"/>
  <c r="B2214" i="1"/>
  <c r="A2215" i="1"/>
  <c r="B2215" i="1"/>
  <c r="A2216" i="1"/>
  <c r="B2216" i="1"/>
  <c r="A2217" i="1"/>
  <c r="B2217" i="1"/>
  <c r="A2218" i="1"/>
  <c r="B2218" i="1"/>
  <c r="A2219" i="1"/>
  <c r="B2219" i="1"/>
  <c r="A2220" i="1"/>
  <c r="B2220" i="1"/>
  <c r="A2221" i="1"/>
  <c r="B2221" i="1"/>
  <c r="A2222" i="1"/>
  <c r="B2222" i="1"/>
  <c r="A2223" i="1"/>
  <c r="B2223" i="1"/>
  <c r="A2224" i="1"/>
  <c r="B2224" i="1"/>
  <c r="A2225" i="1"/>
  <c r="B2225" i="1"/>
  <c r="A2226" i="1"/>
  <c r="B2226" i="1"/>
  <c r="A2227" i="1"/>
  <c r="B2227" i="1"/>
  <c r="A2228" i="1"/>
  <c r="B2228" i="1"/>
  <c r="A2229" i="1"/>
  <c r="B2229" i="1"/>
  <c r="A2230" i="1"/>
  <c r="B2230" i="1"/>
  <c r="A2231" i="1"/>
  <c r="B2231" i="1"/>
  <c r="A2232" i="1"/>
  <c r="B2232" i="1"/>
  <c r="A2233" i="1"/>
  <c r="B2233" i="1"/>
  <c r="A2234" i="1"/>
  <c r="B2234" i="1"/>
  <c r="A2235" i="1"/>
  <c r="B2235" i="1"/>
  <c r="A2236" i="1"/>
  <c r="B2236" i="1"/>
  <c r="A2237" i="1"/>
  <c r="B2237" i="1"/>
  <c r="A2238" i="1"/>
  <c r="B2238" i="1"/>
  <c r="A2239" i="1"/>
  <c r="B2239" i="1"/>
  <c r="A2240" i="1"/>
  <c r="B2240" i="1"/>
  <c r="A2241" i="1"/>
  <c r="B2241" i="1"/>
  <c r="A2242" i="1"/>
  <c r="B2242" i="1"/>
  <c r="A2243" i="1"/>
  <c r="B2243" i="1"/>
  <c r="A2244" i="1"/>
  <c r="B2244" i="1"/>
  <c r="A2245" i="1"/>
  <c r="B2245" i="1"/>
  <c r="A2246" i="1"/>
  <c r="B2246" i="1"/>
  <c r="A2247" i="1"/>
  <c r="B2247" i="1"/>
  <c r="A2248" i="1"/>
  <c r="B2248" i="1"/>
  <c r="A2249" i="1"/>
  <c r="B2249" i="1"/>
  <c r="A2250" i="1"/>
  <c r="B2250" i="1"/>
  <c r="A2251" i="1"/>
  <c r="B2251" i="1"/>
  <c r="A2252" i="1"/>
  <c r="B2252" i="1"/>
  <c r="A2253" i="1"/>
  <c r="B2253" i="1"/>
  <c r="A2254" i="1"/>
  <c r="B2254" i="1"/>
  <c r="A2255" i="1"/>
  <c r="B2255" i="1"/>
  <c r="A2256" i="1"/>
  <c r="B2256" i="1"/>
  <c r="A2257" i="1"/>
  <c r="B2257" i="1"/>
  <c r="A2258" i="1"/>
  <c r="B2258" i="1"/>
  <c r="A2259" i="1"/>
  <c r="B2259" i="1"/>
  <c r="A2260" i="1"/>
  <c r="B2260" i="1"/>
  <c r="A2261" i="1"/>
  <c r="B2261" i="1"/>
  <c r="A2262" i="1"/>
  <c r="B2262" i="1"/>
  <c r="A2263" i="1"/>
  <c r="B2263" i="1"/>
  <c r="A2264" i="1"/>
  <c r="B2264" i="1"/>
  <c r="A2265" i="1"/>
  <c r="B2265" i="1"/>
  <c r="A2266" i="1"/>
  <c r="B2266" i="1"/>
  <c r="A2267" i="1"/>
  <c r="B2267" i="1"/>
  <c r="A2268" i="1"/>
  <c r="B2268" i="1"/>
  <c r="A2269" i="1"/>
  <c r="B2269" i="1"/>
  <c r="A2270" i="1"/>
  <c r="B2270" i="1"/>
  <c r="A2271" i="1"/>
  <c r="B2271" i="1"/>
  <c r="A2272" i="1"/>
  <c r="B2272" i="1"/>
  <c r="A2273" i="1"/>
  <c r="B2273" i="1"/>
  <c r="A2274" i="1"/>
  <c r="B2274" i="1"/>
  <c r="A2275" i="1"/>
  <c r="B2275" i="1"/>
  <c r="A2276" i="1"/>
  <c r="B2276" i="1"/>
  <c r="A2277" i="1"/>
  <c r="B2277" i="1"/>
  <c r="A2278" i="1"/>
  <c r="B2278" i="1"/>
  <c r="A2279" i="1"/>
  <c r="B2279" i="1"/>
  <c r="A2280" i="1"/>
  <c r="B2280" i="1"/>
  <c r="A2281" i="1"/>
  <c r="B2281" i="1"/>
  <c r="A2282" i="1"/>
  <c r="B2282" i="1"/>
  <c r="A2283" i="1"/>
  <c r="B2283" i="1"/>
  <c r="A2284" i="1"/>
  <c r="B2284" i="1"/>
  <c r="A2285" i="1"/>
  <c r="B2285" i="1"/>
  <c r="A2286" i="1"/>
  <c r="B2286" i="1"/>
  <c r="A2287" i="1"/>
  <c r="B2287" i="1"/>
  <c r="A2288" i="1"/>
  <c r="B2288" i="1"/>
  <c r="A2289" i="1"/>
  <c r="B2289" i="1"/>
  <c r="A2290" i="1"/>
  <c r="B2290" i="1"/>
  <c r="A2291" i="1"/>
  <c r="B2291" i="1"/>
  <c r="A2292" i="1"/>
  <c r="B2292" i="1"/>
  <c r="A2293" i="1"/>
  <c r="B2293" i="1"/>
  <c r="A2294" i="1"/>
  <c r="B2294" i="1"/>
  <c r="A2295" i="1"/>
  <c r="B2295" i="1"/>
  <c r="A2296" i="1"/>
  <c r="B2296" i="1"/>
  <c r="A2297" i="1"/>
  <c r="B2297" i="1"/>
  <c r="A2298" i="1"/>
  <c r="B2298" i="1"/>
  <c r="A2299" i="1"/>
  <c r="B2299" i="1"/>
  <c r="A2300" i="1"/>
  <c r="B2300" i="1"/>
  <c r="A2301" i="1"/>
  <c r="B2301" i="1"/>
  <c r="A2302" i="1"/>
  <c r="B2302" i="1"/>
  <c r="A2303" i="1"/>
  <c r="B2303" i="1"/>
  <c r="A2304" i="1"/>
  <c r="B2304" i="1"/>
  <c r="A2305" i="1"/>
  <c r="B2305" i="1"/>
  <c r="A2306" i="1"/>
  <c r="B2306" i="1"/>
  <c r="A2307" i="1"/>
  <c r="B2307" i="1"/>
  <c r="A2308" i="1"/>
  <c r="B2308" i="1"/>
  <c r="A2309" i="1"/>
  <c r="B2309" i="1"/>
  <c r="A2310" i="1"/>
  <c r="B2310" i="1"/>
  <c r="A2311" i="1"/>
  <c r="B2311" i="1"/>
  <c r="A2312" i="1"/>
  <c r="B2312" i="1"/>
  <c r="A2313" i="1"/>
  <c r="B2313" i="1"/>
  <c r="A2314" i="1"/>
  <c r="B2314" i="1"/>
  <c r="A2315" i="1"/>
  <c r="B2315" i="1"/>
  <c r="A2316" i="1"/>
  <c r="B2316" i="1"/>
  <c r="A2317" i="1"/>
  <c r="B2317" i="1"/>
  <c r="A2318" i="1"/>
  <c r="B2318" i="1"/>
  <c r="A2319" i="1"/>
  <c r="B2319" i="1"/>
  <c r="A2320" i="1"/>
  <c r="B2320" i="1"/>
  <c r="A2321" i="1"/>
  <c r="B2321" i="1"/>
  <c r="A2322" i="1"/>
  <c r="B2322" i="1"/>
  <c r="A2323" i="1"/>
  <c r="B2323" i="1"/>
  <c r="A2324" i="1"/>
  <c r="B2324" i="1"/>
  <c r="A2325" i="1"/>
  <c r="B2325" i="1"/>
  <c r="A2326" i="1"/>
  <c r="B2326" i="1"/>
  <c r="A2327" i="1"/>
  <c r="B2327" i="1"/>
  <c r="A2328" i="1"/>
  <c r="B2328" i="1"/>
  <c r="A2329" i="1"/>
  <c r="B2329" i="1"/>
  <c r="A2330" i="1"/>
  <c r="B2330" i="1"/>
  <c r="A2331" i="1"/>
  <c r="B2331" i="1"/>
  <c r="A2332" i="1"/>
  <c r="B2332" i="1"/>
  <c r="A2333" i="1"/>
  <c r="B2333" i="1"/>
  <c r="A2334" i="1"/>
  <c r="B2334" i="1"/>
  <c r="A2335" i="1"/>
  <c r="B2335" i="1"/>
  <c r="A2336" i="1"/>
  <c r="B2336" i="1"/>
  <c r="A2337" i="1"/>
  <c r="B2337" i="1"/>
  <c r="A2338" i="1"/>
  <c r="B2338" i="1"/>
  <c r="A2339" i="1"/>
  <c r="B2339" i="1"/>
  <c r="A2340" i="1"/>
  <c r="B2340" i="1"/>
  <c r="A2341" i="1"/>
  <c r="B2341" i="1"/>
  <c r="A2342" i="1"/>
  <c r="B2342" i="1"/>
  <c r="A2343" i="1"/>
  <c r="B2343" i="1"/>
  <c r="A2344" i="1"/>
  <c r="B2344" i="1"/>
  <c r="A2345" i="1"/>
  <c r="B2345" i="1"/>
  <c r="A2346" i="1"/>
  <c r="B2346" i="1"/>
  <c r="A2347" i="1"/>
  <c r="B2347" i="1"/>
  <c r="A2348" i="1"/>
  <c r="B2348" i="1"/>
  <c r="A2349" i="1"/>
  <c r="B2349" i="1"/>
  <c r="A2350" i="1"/>
  <c r="B2350" i="1"/>
  <c r="A2351" i="1"/>
  <c r="B2351" i="1"/>
  <c r="A2352" i="1"/>
  <c r="B2352" i="1"/>
  <c r="A2353" i="1"/>
  <c r="B2353" i="1"/>
  <c r="A2354" i="1"/>
  <c r="B2354" i="1"/>
  <c r="A2355" i="1"/>
  <c r="B2355" i="1"/>
  <c r="A2356" i="1"/>
  <c r="B2356" i="1"/>
  <c r="A2357" i="1"/>
  <c r="B2357" i="1"/>
  <c r="A2358" i="1"/>
  <c r="B2358" i="1"/>
  <c r="A2359" i="1"/>
  <c r="B2359" i="1"/>
  <c r="A2360" i="1"/>
  <c r="B2360" i="1"/>
  <c r="A2361" i="1"/>
  <c r="B2361" i="1"/>
  <c r="A2362" i="1"/>
  <c r="B2362" i="1"/>
  <c r="A2363" i="1"/>
  <c r="B2363" i="1"/>
  <c r="A2364" i="1"/>
  <c r="B2364" i="1"/>
  <c r="A2365" i="1"/>
  <c r="B2365" i="1"/>
  <c r="A2366" i="1"/>
  <c r="B2366" i="1"/>
  <c r="A2367" i="1"/>
  <c r="B2367" i="1"/>
  <c r="A2368" i="1"/>
  <c r="B2368" i="1"/>
  <c r="A2369" i="1"/>
  <c r="B2369" i="1"/>
  <c r="A2370" i="1"/>
  <c r="B2370" i="1"/>
  <c r="A2371" i="1"/>
  <c r="B2371" i="1"/>
  <c r="A2372" i="1"/>
  <c r="B2372" i="1"/>
  <c r="A2373" i="1"/>
  <c r="B2373" i="1"/>
  <c r="A2374" i="1"/>
  <c r="B2374" i="1"/>
  <c r="A2375" i="1"/>
  <c r="B2375" i="1"/>
  <c r="A2376" i="1"/>
  <c r="B2376" i="1"/>
  <c r="A2377" i="1"/>
  <c r="B2377" i="1"/>
  <c r="A2378" i="1"/>
  <c r="B2378" i="1"/>
  <c r="A2379" i="1"/>
  <c r="B2379" i="1"/>
  <c r="A2380" i="1"/>
  <c r="B2380" i="1"/>
  <c r="A2381" i="1"/>
  <c r="B2381" i="1"/>
  <c r="A2382" i="1"/>
  <c r="B2382" i="1"/>
  <c r="A2383" i="1"/>
  <c r="B2383" i="1"/>
  <c r="A2384" i="1"/>
  <c r="B2384" i="1"/>
  <c r="A2385" i="1"/>
  <c r="B2385" i="1"/>
  <c r="A2386" i="1"/>
  <c r="B2386" i="1"/>
  <c r="A2387" i="1"/>
  <c r="B2387" i="1"/>
  <c r="A2388" i="1"/>
  <c r="B2388" i="1"/>
  <c r="A2389" i="1"/>
  <c r="B2389" i="1"/>
  <c r="A2390" i="1"/>
  <c r="B2390" i="1"/>
  <c r="A2391" i="1"/>
  <c r="B2391" i="1"/>
  <c r="A2392" i="1"/>
  <c r="B2392" i="1"/>
  <c r="A2393" i="1"/>
  <c r="B2393" i="1"/>
  <c r="A2394" i="1"/>
  <c r="B2394" i="1"/>
  <c r="A2395" i="1"/>
  <c r="B2395" i="1"/>
  <c r="A2396" i="1"/>
  <c r="B2396" i="1"/>
  <c r="A2397" i="1"/>
  <c r="B2397" i="1"/>
  <c r="A2398" i="1"/>
  <c r="B2398" i="1"/>
  <c r="A2399" i="1"/>
  <c r="B2399" i="1"/>
  <c r="A2400" i="1"/>
  <c r="B2400" i="1"/>
  <c r="A2401" i="1"/>
  <c r="B2401" i="1"/>
  <c r="A2402" i="1"/>
  <c r="B2402" i="1"/>
  <c r="A2403" i="1"/>
  <c r="B2403" i="1"/>
  <c r="A2404" i="1"/>
  <c r="B2404" i="1"/>
  <c r="A2405" i="1"/>
  <c r="B2405" i="1"/>
  <c r="A2406" i="1"/>
  <c r="B2406" i="1"/>
  <c r="A2407" i="1"/>
  <c r="B2407" i="1"/>
  <c r="A2408" i="1"/>
  <c r="B2408" i="1"/>
  <c r="A2409" i="1"/>
  <c r="B2409" i="1"/>
  <c r="A2410" i="1"/>
  <c r="B2410" i="1"/>
  <c r="A2411" i="1"/>
  <c r="B2411" i="1"/>
  <c r="A2412" i="1"/>
  <c r="B2412" i="1"/>
  <c r="A2413" i="1"/>
  <c r="B2413" i="1"/>
  <c r="A2414" i="1"/>
  <c r="B2414" i="1"/>
  <c r="A2415" i="1"/>
  <c r="B2415" i="1"/>
  <c r="A2416" i="1"/>
  <c r="B2416" i="1"/>
  <c r="A2417" i="1"/>
  <c r="B2417" i="1"/>
  <c r="A2418" i="1"/>
  <c r="B2418" i="1"/>
  <c r="A2419" i="1"/>
  <c r="B2419" i="1"/>
  <c r="A2420" i="1"/>
  <c r="B2420" i="1"/>
  <c r="A2421" i="1"/>
  <c r="B2421" i="1"/>
  <c r="A2422" i="1"/>
  <c r="B2422" i="1"/>
  <c r="A2423" i="1"/>
  <c r="B2423" i="1"/>
  <c r="A2424" i="1"/>
  <c r="B2424" i="1"/>
  <c r="A2425" i="1"/>
  <c r="B2425" i="1"/>
  <c r="A2426" i="1"/>
  <c r="B2426" i="1"/>
  <c r="A2427" i="1"/>
  <c r="B2427" i="1"/>
  <c r="A2428" i="1"/>
  <c r="B2428" i="1"/>
  <c r="A2429" i="1"/>
  <c r="B2429" i="1"/>
  <c r="A2430" i="1"/>
  <c r="B2430" i="1"/>
  <c r="A2431" i="1"/>
  <c r="B2431" i="1"/>
  <c r="A2432" i="1"/>
  <c r="B2432" i="1"/>
  <c r="A2433" i="1"/>
  <c r="B2433" i="1"/>
  <c r="A2434" i="1"/>
  <c r="B2434" i="1"/>
  <c r="A2435" i="1"/>
  <c r="B2435" i="1"/>
  <c r="A2436" i="1"/>
  <c r="B2436" i="1"/>
  <c r="A2437" i="1"/>
  <c r="B2437" i="1"/>
  <c r="A2438" i="1"/>
  <c r="B2438" i="1"/>
  <c r="A2439" i="1"/>
  <c r="B2439" i="1"/>
  <c r="A2440" i="1"/>
  <c r="B2440" i="1"/>
  <c r="A2441" i="1"/>
  <c r="B2441" i="1"/>
  <c r="A2442" i="1"/>
  <c r="B2442" i="1"/>
  <c r="A2443" i="1"/>
  <c r="B2443" i="1"/>
  <c r="A2444" i="1"/>
  <c r="B2444" i="1"/>
  <c r="A2445" i="1"/>
  <c r="B2445" i="1"/>
  <c r="A2446" i="1"/>
  <c r="B2446" i="1"/>
  <c r="A2447" i="1"/>
  <c r="B2447" i="1"/>
  <c r="A2448" i="1"/>
  <c r="B2448" i="1"/>
  <c r="A2449" i="1"/>
  <c r="B2449" i="1"/>
  <c r="A2450" i="1"/>
  <c r="B2450" i="1"/>
  <c r="A2451" i="1"/>
  <c r="B2451" i="1"/>
  <c r="A2452" i="1"/>
  <c r="B2452" i="1"/>
  <c r="A2453" i="1"/>
  <c r="B2453" i="1"/>
  <c r="A2454" i="1"/>
  <c r="B2454" i="1"/>
  <c r="A2455" i="1"/>
  <c r="B2455" i="1"/>
  <c r="A2456" i="1"/>
  <c r="B2456" i="1"/>
  <c r="A2457" i="1"/>
  <c r="B2457" i="1"/>
  <c r="A2458" i="1"/>
  <c r="B2458" i="1"/>
  <c r="A2459" i="1"/>
  <c r="B2459" i="1"/>
  <c r="A2460" i="1"/>
  <c r="B2460" i="1"/>
  <c r="A2461" i="1"/>
  <c r="B2461" i="1"/>
  <c r="A2462" i="1"/>
  <c r="B2462" i="1"/>
  <c r="A2463" i="1"/>
  <c r="B2463" i="1"/>
  <c r="A2464" i="1"/>
  <c r="B2464" i="1"/>
  <c r="A2465" i="1"/>
  <c r="B2465" i="1"/>
  <c r="A2466" i="1"/>
  <c r="B2466" i="1"/>
  <c r="A2467" i="1"/>
  <c r="B2467" i="1"/>
  <c r="A2468" i="1"/>
  <c r="B2468" i="1"/>
  <c r="A2469" i="1"/>
  <c r="B2469" i="1"/>
  <c r="A2470" i="1"/>
  <c r="B2470" i="1"/>
  <c r="A2471" i="1"/>
  <c r="B2471" i="1"/>
  <c r="A2472" i="1"/>
  <c r="B2472" i="1"/>
  <c r="A2473" i="1"/>
  <c r="B2473" i="1"/>
  <c r="A2474" i="1"/>
  <c r="B2474" i="1"/>
  <c r="A2475" i="1"/>
  <c r="B2475" i="1"/>
  <c r="A2476" i="1"/>
  <c r="B2476" i="1"/>
  <c r="A2477" i="1"/>
  <c r="B2477" i="1"/>
  <c r="A2478" i="1"/>
  <c r="B2478" i="1"/>
  <c r="A2479" i="1"/>
  <c r="B2479" i="1"/>
  <c r="A2480" i="1"/>
  <c r="B2480" i="1"/>
  <c r="A2481" i="1"/>
  <c r="B2481" i="1"/>
  <c r="A2482" i="1"/>
  <c r="B2482" i="1"/>
  <c r="A2483" i="1"/>
  <c r="B2483" i="1"/>
  <c r="A2484" i="1"/>
  <c r="B2484" i="1"/>
  <c r="A2485" i="1"/>
  <c r="B2485" i="1"/>
  <c r="A2486" i="1"/>
  <c r="B2486" i="1"/>
  <c r="A2487" i="1"/>
  <c r="B2487" i="1"/>
  <c r="A2488" i="1"/>
  <c r="B2488" i="1"/>
  <c r="A2489" i="1"/>
  <c r="B2489" i="1"/>
  <c r="A2490" i="1"/>
  <c r="B2490" i="1"/>
  <c r="A2491" i="1"/>
  <c r="B2491" i="1"/>
  <c r="A2492" i="1"/>
  <c r="B2492" i="1"/>
  <c r="A2493" i="1"/>
  <c r="B2493" i="1"/>
  <c r="A2494" i="1"/>
  <c r="B2494" i="1"/>
  <c r="A2495" i="1"/>
  <c r="B2495" i="1"/>
  <c r="A2496" i="1"/>
  <c r="B2496" i="1"/>
  <c r="A2497" i="1"/>
  <c r="B2497" i="1"/>
  <c r="A2498" i="1"/>
  <c r="B2498" i="1"/>
  <c r="A2499" i="1"/>
  <c r="B2499" i="1"/>
  <c r="A2500" i="1"/>
  <c r="B2500" i="1"/>
  <c r="A2501" i="1"/>
  <c r="B2501" i="1"/>
  <c r="A2502" i="1"/>
  <c r="B2502" i="1"/>
  <c r="A2503" i="1"/>
  <c r="B2503" i="1"/>
  <c r="A2504" i="1"/>
  <c r="B2504" i="1"/>
  <c r="A2505" i="1"/>
  <c r="B2505" i="1"/>
  <c r="A2506" i="1"/>
  <c r="B2506" i="1"/>
  <c r="A2507" i="1"/>
  <c r="B2507" i="1"/>
  <c r="A2508" i="1"/>
  <c r="B2508" i="1"/>
  <c r="A2509" i="1"/>
  <c r="B2509" i="1"/>
  <c r="A2510" i="1"/>
  <c r="B2510" i="1"/>
  <c r="A2511" i="1"/>
  <c r="B2511" i="1"/>
  <c r="A2512" i="1"/>
  <c r="B2512" i="1"/>
  <c r="A2513" i="1"/>
  <c r="B2513" i="1"/>
  <c r="A2514" i="1"/>
  <c r="B2514" i="1"/>
  <c r="A2515" i="1"/>
  <c r="B2515" i="1"/>
  <c r="A2516" i="1"/>
  <c r="B2516" i="1"/>
  <c r="A2517" i="1"/>
  <c r="B2517" i="1"/>
  <c r="A2518" i="1"/>
  <c r="B2518" i="1"/>
  <c r="A2519" i="1"/>
  <c r="B2519" i="1"/>
  <c r="A2520" i="1"/>
  <c r="B2520" i="1"/>
  <c r="A2521" i="1"/>
  <c r="B2521" i="1"/>
  <c r="A2522" i="1"/>
  <c r="B2522" i="1"/>
  <c r="A2523" i="1"/>
  <c r="B2523" i="1"/>
  <c r="A2524" i="1"/>
  <c r="B2524" i="1"/>
  <c r="A2525" i="1"/>
  <c r="B2525" i="1"/>
  <c r="A2526" i="1"/>
  <c r="B2526" i="1"/>
  <c r="A2527" i="1"/>
  <c r="B2527" i="1"/>
  <c r="A2528" i="1"/>
  <c r="B2528" i="1"/>
  <c r="A2529" i="1"/>
  <c r="B2529" i="1"/>
  <c r="A2530" i="1"/>
  <c r="B2530" i="1"/>
  <c r="A2531" i="1"/>
  <c r="B2531" i="1"/>
  <c r="A2532" i="1"/>
  <c r="B2532" i="1"/>
  <c r="A2533" i="1"/>
  <c r="B2533" i="1"/>
  <c r="A2534" i="1"/>
  <c r="B2534" i="1"/>
  <c r="A2535" i="1"/>
  <c r="B2535" i="1"/>
  <c r="A2536" i="1"/>
  <c r="B2536" i="1"/>
  <c r="A2537" i="1"/>
  <c r="B2537" i="1"/>
  <c r="A2538" i="1"/>
  <c r="B2538" i="1"/>
  <c r="A2539" i="1"/>
  <c r="B2539" i="1"/>
  <c r="A2540" i="1"/>
  <c r="B2540" i="1"/>
  <c r="A2541" i="1"/>
  <c r="B2541" i="1"/>
  <c r="A2542" i="1"/>
  <c r="B2542" i="1"/>
  <c r="A2543" i="1"/>
  <c r="B2543" i="1"/>
  <c r="A2544" i="1"/>
  <c r="B2544" i="1"/>
  <c r="A2545" i="1"/>
  <c r="B2545" i="1"/>
  <c r="A2546" i="1"/>
  <c r="B2546" i="1"/>
  <c r="A2547" i="1"/>
  <c r="B2547" i="1"/>
  <c r="A2548" i="1"/>
  <c r="B2548" i="1"/>
  <c r="A2549" i="1"/>
  <c r="B2549" i="1"/>
  <c r="A2550" i="1"/>
  <c r="B2550" i="1"/>
  <c r="A2551" i="1"/>
  <c r="B2551" i="1"/>
  <c r="A2552" i="1"/>
  <c r="B2552" i="1"/>
  <c r="A2553" i="1"/>
  <c r="B2553" i="1"/>
  <c r="A2554" i="1"/>
  <c r="B2554" i="1"/>
  <c r="A2555" i="1"/>
  <c r="B2555" i="1"/>
  <c r="A2556" i="1"/>
  <c r="B2556" i="1"/>
  <c r="A2557" i="1"/>
  <c r="B2557" i="1"/>
  <c r="A2558" i="1"/>
  <c r="B2558" i="1"/>
  <c r="A2559" i="1"/>
  <c r="B2559" i="1"/>
  <c r="A2560" i="1"/>
  <c r="B2560" i="1"/>
  <c r="A2561" i="1"/>
  <c r="B2561" i="1"/>
  <c r="A2562" i="1"/>
  <c r="B2562" i="1"/>
  <c r="A2563" i="1"/>
  <c r="B2563" i="1"/>
  <c r="A2564" i="1"/>
  <c r="B2564" i="1"/>
  <c r="A2565" i="1"/>
  <c r="B2565" i="1"/>
  <c r="A2566" i="1"/>
  <c r="B2566" i="1"/>
  <c r="A2567" i="1"/>
  <c r="B2567" i="1"/>
  <c r="A2568" i="1"/>
  <c r="B2568" i="1"/>
  <c r="A2569" i="1"/>
  <c r="B2569" i="1"/>
  <c r="A2570" i="1"/>
  <c r="B2570" i="1"/>
  <c r="A2571" i="1"/>
  <c r="B2571" i="1"/>
  <c r="A2572" i="1"/>
  <c r="B2572" i="1"/>
  <c r="A2573" i="1"/>
  <c r="B2573" i="1"/>
  <c r="A2574" i="1"/>
  <c r="B2574" i="1"/>
  <c r="A2575" i="1"/>
  <c r="B2575" i="1"/>
  <c r="A2576" i="1"/>
  <c r="B2576" i="1"/>
  <c r="A2577" i="1"/>
  <c r="B2577" i="1"/>
  <c r="A2578" i="1"/>
  <c r="B2578" i="1"/>
  <c r="A2579" i="1"/>
  <c r="B2579" i="1"/>
  <c r="A2580" i="1"/>
  <c r="B2580" i="1"/>
  <c r="A2581" i="1"/>
  <c r="B2581" i="1"/>
  <c r="A2582" i="1"/>
  <c r="B2582" i="1"/>
  <c r="A2583" i="1"/>
  <c r="B2583" i="1"/>
  <c r="A2584" i="1"/>
  <c r="B2584" i="1"/>
  <c r="A2585" i="1"/>
  <c r="B2585" i="1"/>
  <c r="A2586" i="1"/>
  <c r="B2586" i="1"/>
  <c r="A2587" i="1"/>
  <c r="B2587" i="1"/>
  <c r="A2588" i="1"/>
  <c r="B2588" i="1"/>
  <c r="A2589" i="1"/>
  <c r="B2589" i="1"/>
  <c r="A2590" i="1"/>
  <c r="B2590" i="1"/>
  <c r="A2591" i="1"/>
  <c r="B2591" i="1"/>
  <c r="A2592" i="1"/>
  <c r="B2592" i="1"/>
  <c r="A2593" i="1"/>
  <c r="B2593" i="1"/>
  <c r="A2594" i="1"/>
  <c r="B2594" i="1"/>
  <c r="A2595" i="1"/>
  <c r="B2595" i="1"/>
  <c r="A2596" i="1"/>
  <c r="B2596" i="1"/>
  <c r="A2597" i="1"/>
  <c r="B2597" i="1"/>
  <c r="A2598" i="1"/>
  <c r="B2598" i="1"/>
  <c r="A2599" i="1"/>
  <c r="B2599" i="1"/>
  <c r="A2600" i="1"/>
  <c r="B2600" i="1"/>
  <c r="A2601" i="1"/>
  <c r="B2601" i="1"/>
  <c r="A2602" i="1"/>
  <c r="B2602" i="1"/>
  <c r="A2603" i="1"/>
  <c r="B2603" i="1"/>
  <c r="A2604" i="1"/>
  <c r="B2604" i="1"/>
  <c r="A2605" i="1"/>
  <c r="B2605" i="1"/>
  <c r="A2606" i="1"/>
  <c r="B2606" i="1"/>
  <c r="A2607" i="1"/>
  <c r="B2607" i="1"/>
  <c r="A2608" i="1"/>
  <c r="B2608" i="1"/>
  <c r="A2609" i="1"/>
  <c r="B2609" i="1"/>
  <c r="A2610" i="1"/>
  <c r="B2610" i="1"/>
  <c r="A2611" i="1"/>
  <c r="B2611" i="1"/>
  <c r="A2612" i="1"/>
  <c r="B2612" i="1"/>
  <c r="A2613" i="1"/>
  <c r="B2613" i="1"/>
  <c r="A2614" i="1"/>
  <c r="B2614" i="1"/>
  <c r="A2615" i="1"/>
  <c r="B2615" i="1"/>
  <c r="A2616" i="1"/>
  <c r="B2616" i="1"/>
  <c r="A2617" i="1"/>
  <c r="B2617" i="1"/>
  <c r="A2618" i="1"/>
  <c r="B2618" i="1"/>
  <c r="A2619" i="1"/>
  <c r="B2619" i="1"/>
  <c r="A2620" i="1"/>
  <c r="B2620" i="1"/>
  <c r="A2621" i="1"/>
  <c r="B2621" i="1"/>
  <c r="A2622" i="1"/>
  <c r="B2622" i="1"/>
  <c r="A2623" i="1"/>
  <c r="B2623" i="1"/>
  <c r="A2624" i="1"/>
  <c r="B2624" i="1"/>
  <c r="A2625" i="1"/>
  <c r="B2625" i="1"/>
  <c r="A2626" i="1"/>
  <c r="B2626" i="1"/>
  <c r="A2627" i="1"/>
  <c r="B2627" i="1"/>
  <c r="A2628" i="1"/>
  <c r="B2628" i="1"/>
  <c r="A2629" i="1"/>
  <c r="B2629" i="1"/>
  <c r="A2630" i="1"/>
  <c r="B2630" i="1"/>
  <c r="A2631" i="1"/>
  <c r="B2631" i="1"/>
  <c r="A2632" i="1"/>
  <c r="B2632" i="1"/>
  <c r="A2633" i="1"/>
  <c r="B2633" i="1"/>
  <c r="A2634" i="1"/>
  <c r="B2634" i="1"/>
  <c r="A2635" i="1"/>
  <c r="B2635" i="1"/>
  <c r="A2636" i="1"/>
  <c r="B2636" i="1"/>
  <c r="A2637" i="1"/>
  <c r="B2637" i="1"/>
  <c r="A2638" i="1"/>
  <c r="B2638" i="1"/>
  <c r="A2639" i="1"/>
  <c r="B2639" i="1"/>
  <c r="A2640" i="1"/>
  <c r="B2640" i="1"/>
  <c r="A2641" i="1"/>
  <c r="B2641" i="1"/>
  <c r="A2642" i="1"/>
  <c r="B2642" i="1"/>
  <c r="A2643" i="1"/>
  <c r="B2643" i="1"/>
  <c r="A2644" i="1"/>
  <c r="B2644" i="1"/>
  <c r="A2645" i="1"/>
  <c r="B2645" i="1"/>
  <c r="A2646" i="1"/>
  <c r="B2646" i="1"/>
  <c r="A2647" i="1"/>
  <c r="B2647" i="1"/>
  <c r="A2648" i="1"/>
  <c r="B2648" i="1"/>
  <c r="A2649" i="1"/>
  <c r="B2649" i="1"/>
  <c r="A2650" i="1"/>
  <c r="B2650" i="1"/>
  <c r="A2651" i="1"/>
  <c r="B2651" i="1"/>
  <c r="A2652" i="1"/>
  <c r="B2652" i="1"/>
  <c r="A2653" i="1"/>
  <c r="B2653" i="1"/>
  <c r="A2654" i="1"/>
  <c r="B2654" i="1"/>
  <c r="A2655" i="1"/>
  <c r="B2655" i="1"/>
  <c r="A2656" i="1"/>
  <c r="B2656" i="1"/>
  <c r="A2657" i="1"/>
  <c r="B2657" i="1"/>
  <c r="A2658" i="1"/>
  <c r="B2658" i="1"/>
  <c r="A2659" i="1"/>
  <c r="B2659" i="1"/>
  <c r="A2660" i="1"/>
  <c r="B2660" i="1"/>
  <c r="A2661" i="1"/>
  <c r="B2661" i="1"/>
  <c r="A2662" i="1"/>
  <c r="B2662" i="1"/>
  <c r="A2663" i="1"/>
  <c r="B2663" i="1"/>
  <c r="A2664" i="1"/>
  <c r="B2664" i="1"/>
  <c r="A2665" i="1"/>
  <c r="B2665" i="1"/>
  <c r="A2666" i="1"/>
  <c r="B2666" i="1"/>
  <c r="A2667" i="1"/>
  <c r="B2667" i="1"/>
  <c r="A2668" i="1"/>
  <c r="B2668" i="1"/>
  <c r="A2669" i="1"/>
  <c r="B2669" i="1"/>
  <c r="A2670" i="1"/>
  <c r="B2670" i="1"/>
  <c r="A2671" i="1"/>
  <c r="B2671" i="1"/>
  <c r="A2672" i="1"/>
  <c r="B2672" i="1"/>
  <c r="A2673" i="1"/>
  <c r="B2673" i="1"/>
  <c r="A2674" i="1"/>
  <c r="B2674" i="1"/>
  <c r="A2675" i="1"/>
  <c r="B2675" i="1"/>
  <c r="A2676" i="1"/>
  <c r="B2676" i="1"/>
  <c r="A2677" i="1"/>
  <c r="B2677" i="1"/>
  <c r="A2678" i="1"/>
  <c r="B2678" i="1"/>
  <c r="A2679" i="1"/>
  <c r="B2679" i="1"/>
  <c r="A2680" i="1"/>
  <c r="B2680" i="1"/>
  <c r="A2681" i="1"/>
  <c r="B2681" i="1"/>
  <c r="A2682" i="1"/>
  <c r="B2682" i="1"/>
  <c r="A2683" i="1"/>
  <c r="B2683" i="1"/>
  <c r="A2684" i="1"/>
  <c r="B2684" i="1"/>
  <c r="A2685" i="1"/>
  <c r="B2685" i="1"/>
  <c r="A2686" i="1"/>
  <c r="B2686" i="1"/>
  <c r="A2687" i="1"/>
  <c r="B2687" i="1"/>
  <c r="A2688" i="1"/>
  <c r="B2688" i="1"/>
  <c r="A2689" i="1"/>
  <c r="B2689" i="1"/>
  <c r="A2690" i="1"/>
  <c r="B2690" i="1"/>
  <c r="A2691" i="1"/>
  <c r="B2691" i="1"/>
  <c r="A2692" i="1"/>
  <c r="B2692" i="1"/>
  <c r="A2693" i="1"/>
  <c r="B2693" i="1"/>
  <c r="A2694" i="1"/>
  <c r="B2694" i="1"/>
  <c r="A2695" i="1"/>
  <c r="B2695" i="1"/>
  <c r="A2696" i="1"/>
  <c r="B2696" i="1"/>
  <c r="A2697" i="1"/>
  <c r="B2697" i="1"/>
  <c r="A2698" i="1"/>
  <c r="B2698" i="1"/>
  <c r="A2699" i="1"/>
  <c r="B2699" i="1"/>
  <c r="A2700" i="1"/>
  <c r="B2700" i="1"/>
  <c r="A2701" i="1"/>
  <c r="B2701" i="1"/>
  <c r="A2702" i="1"/>
  <c r="B2702" i="1"/>
  <c r="A2703" i="1"/>
  <c r="B2703" i="1"/>
  <c r="A2704" i="1"/>
  <c r="B2704" i="1"/>
  <c r="A2705" i="1"/>
  <c r="B2705" i="1"/>
  <c r="A2706" i="1"/>
  <c r="B2706" i="1"/>
  <c r="A2707" i="1"/>
  <c r="B2707" i="1"/>
  <c r="A2708" i="1"/>
  <c r="B2708" i="1"/>
  <c r="A2709" i="1"/>
  <c r="B2709" i="1"/>
  <c r="A2710" i="1"/>
  <c r="B2710" i="1"/>
  <c r="A2711" i="1"/>
  <c r="B2711" i="1"/>
  <c r="A2712" i="1"/>
  <c r="B2712" i="1"/>
  <c r="A2713" i="1"/>
  <c r="B2713" i="1"/>
  <c r="A2714" i="1"/>
  <c r="B2714" i="1"/>
  <c r="A2715" i="1"/>
  <c r="B2715" i="1"/>
  <c r="A2716" i="1"/>
  <c r="B2716" i="1"/>
  <c r="A2717" i="1"/>
  <c r="B2717" i="1"/>
  <c r="A2718" i="1"/>
  <c r="B2718" i="1"/>
  <c r="A2719" i="1"/>
  <c r="B2719" i="1"/>
  <c r="A2720" i="1"/>
  <c r="B2720" i="1"/>
  <c r="A2721" i="1"/>
  <c r="B2721" i="1"/>
  <c r="A2722" i="1"/>
  <c r="B2722" i="1"/>
  <c r="A2723" i="1"/>
  <c r="B2723" i="1"/>
  <c r="A2724" i="1"/>
  <c r="B2724" i="1"/>
  <c r="A2725" i="1"/>
  <c r="B2725" i="1"/>
  <c r="A2726" i="1"/>
  <c r="B2726" i="1"/>
  <c r="A2727" i="1"/>
  <c r="B2727" i="1"/>
  <c r="A2728" i="1"/>
  <c r="B2728" i="1"/>
  <c r="A2729" i="1"/>
  <c r="B2729" i="1"/>
  <c r="A2730" i="1"/>
  <c r="B2730" i="1"/>
  <c r="A2731" i="1"/>
  <c r="B2731" i="1"/>
  <c r="A2732" i="1"/>
  <c r="B2732" i="1"/>
  <c r="A2733" i="1"/>
  <c r="B2733" i="1"/>
  <c r="A2734" i="1"/>
  <c r="B2734" i="1"/>
  <c r="A2735" i="1"/>
  <c r="B2735" i="1"/>
  <c r="A2736" i="1"/>
  <c r="B2736" i="1"/>
  <c r="A2737" i="1"/>
  <c r="B2737" i="1"/>
  <c r="A2738" i="1"/>
  <c r="B2738" i="1"/>
  <c r="A2739" i="1"/>
  <c r="B2739" i="1"/>
  <c r="A2740" i="1"/>
  <c r="B2740" i="1"/>
  <c r="A2741" i="1"/>
  <c r="B2741" i="1"/>
  <c r="A2742" i="1"/>
  <c r="B2742" i="1"/>
  <c r="A2743" i="1"/>
  <c r="B2743" i="1"/>
  <c r="A2744" i="1"/>
  <c r="B2744" i="1"/>
  <c r="A2745" i="1"/>
  <c r="B2745" i="1"/>
  <c r="A2746" i="1"/>
  <c r="B2746" i="1"/>
  <c r="A2747" i="1"/>
  <c r="B2747" i="1"/>
  <c r="A2748" i="1"/>
  <c r="B2748" i="1"/>
  <c r="A2749" i="1"/>
  <c r="B2749" i="1"/>
  <c r="A2750" i="1"/>
  <c r="B2750" i="1"/>
  <c r="A2751" i="1"/>
  <c r="B2751" i="1"/>
  <c r="A2752" i="1"/>
  <c r="B2752" i="1"/>
  <c r="A2753" i="1"/>
  <c r="B2753" i="1"/>
  <c r="A2754" i="1"/>
  <c r="B2754" i="1"/>
  <c r="A2755" i="1"/>
  <c r="B2755" i="1"/>
  <c r="A2756" i="1"/>
  <c r="B2756" i="1"/>
  <c r="A2757" i="1"/>
  <c r="B2757" i="1"/>
  <c r="A2758" i="1"/>
  <c r="B2758" i="1"/>
  <c r="A2759" i="1"/>
  <c r="B2759" i="1"/>
  <c r="A2760" i="1"/>
  <c r="B2760" i="1"/>
  <c r="A2761" i="1"/>
  <c r="B2761" i="1"/>
  <c r="A2762" i="1"/>
  <c r="B2762" i="1"/>
  <c r="A2763" i="1"/>
  <c r="B2763" i="1"/>
  <c r="A2764" i="1"/>
  <c r="B2764" i="1"/>
  <c r="A2765" i="1"/>
  <c r="B2765" i="1"/>
  <c r="A2766" i="1"/>
  <c r="B2766" i="1"/>
  <c r="A2767" i="1"/>
  <c r="B2767" i="1"/>
  <c r="A2768" i="1"/>
  <c r="B2768" i="1"/>
  <c r="A2769" i="1"/>
  <c r="B2769" i="1"/>
  <c r="A2770" i="1"/>
  <c r="B2770" i="1"/>
  <c r="A2771" i="1"/>
  <c r="B2771" i="1"/>
  <c r="A2772" i="1"/>
  <c r="B2772" i="1"/>
  <c r="A2773" i="1"/>
  <c r="B2773" i="1"/>
  <c r="A2774" i="1"/>
  <c r="B2774" i="1"/>
  <c r="A2775" i="1"/>
  <c r="B2775" i="1"/>
  <c r="A2776" i="1"/>
  <c r="B2776" i="1"/>
  <c r="A2777" i="1"/>
  <c r="B2777" i="1"/>
  <c r="A2778" i="1"/>
  <c r="B2778" i="1"/>
  <c r="A2779" i="1"/>
  <c r="B2779" i="1"/>
  <c r="A2780" i="1"/>
  <c r="B2780" i="1"/>
  <c r="A2781" i="1"/>
  <c r="B2781" i="1"/>
  <c r="A2782" i="1"/>
  <c r="B2782" i="1"/>
  <c r="A2783" i="1"/>
  <c r="B2783" i="1"/>
  <c r="A2784" i="1"/>
  <c r="B2784" i="1"/>
  <c r="A2785" i="1"/>
  <c r="B2785" i="1"/>
  <c r="A2786" i="1"/>
  <c r="B2786" i="1"/>
  <c r="A2787" i="1"/>
  <c r="B2787" i="1"/>
  <c r="A2788" i="1"/>
  <c r="B2788" i="1"/>
  <c r="A2789" i="1"/>
  <c r="B2789" i="1"/>
  <c r="A2790" i="1"/>
  <c r="B2790" i="1"/>
  <c r="A2791" i="1"/>
  <c r="B2791" i="1"/>
  <c r="A2792" i="1"/>
  <c r="B2792" i="1"/>
  <c r="A2793" i="1"/>
  <c r="B2793" i="1"/>
  <c r="A2794" i="1"/>
  <c r="B2794" i="1"/>
  <c r="A2795" i="1"/>
  <c r="B2795" i="1"/>
  <c r="A2796" i="1"/>
  <c r="B2796" i="1"/>
  <c r="A2797" i="1"/>
  <c r="B2797" i="1"/>
  <c r="A2798" i="1"/>
  <c r="B2798" i="1"/>
  <c r="A2799" i="1"/>
  <c r="B2799" i="1"/>
  <c r="A2800" i="1"/>
  <c r="B2800" i="1"/>
  <c r="A2801" i="1"/>
  <c r="B2801" i="1"/>
  <c r="A2802" i="1"/>
  <c r="B2802" i="1"/>
  <c r="A2803" i="1"/>
  <c r="B2803" i="1"/>
  <c r="A2804" i="1"/>
  <c r="B2804" i="1"/>
  <c r="A2805" i="1"/>
  <c r="B2805" i="1"/>
  <c r="A2806" i="1"/>
  <c r="B2806" i="1"/>
  <c r="A2807" i="1"/>
  <c r="B2807" i="1"/>
  <c r="A2808" i="1"/>
  <c r="B2808" i="1"/>
  <c r="A2809" i="1"/>
  <c r="B2809" i="1"/>
  <c r="A2810" i="1"/>
  <c r="B2810" i="1"/>
  <c r="A2811" i="1"/>
  <c r="B2811" i="1"/>
  <c r="A2812" i="1"/>
  <c r="B2812" i="1"/>
  <c r="A2813" i="1"/>
  <c r="B2813" i="1"/>
  <c r="A2814" i="1"/>
  <c r="B2814" i="1"/>
  <c r="A2815" i="1"/>
  <c r="B2815" i="1"/>
  <c r="A2816" i="1"/>
  <c r="B2816" i="1"/>
  <c r="A2817" i="1"/>
  <c r="B2817" i="1"/>
  <c r="A2818" i="1"/>
  <c r="B2818" i="1"/>
  <c r="A2819" i="1"/>
  <c r="B2819" i="1"/>
  <c r="A2820" i="1"/>
  <c r="B2820" i="1"/>
  <c r="A2821" i="1"/>
  <c r="B2821" i="1"/>
  <c r="A2822" i="1"/>
  <c r="B2822" i="1"/>
  <c r="A2823" i="1"/>
  <c r="B2823" i="1"/>
  <c r="A2824" i="1"/>
  <c r="B2824" i="1"/>
  <c r="A2825" i="1"/>
  <c r="B2825" i="1"/>
  <c r="A2826" i="1"/>
  <c r="B2826" i="1"/>
  <c r="A2827" i="1"/>
  <c r="B2827" i="1"/>
  <c r="A2828" i="1"/>
  <c r="B2828" i="1"/>
  <c r="A2829" i="1"/>
  <c r="B2829" i="1"/>
  <c r="A2830" i="1"/>
  <c r="B2830" i="1"/>
  <c r="A2831" i="1"/>
  <c r="B2831" i="1"/>
  <c r="A2832" i="1"/>
  <c r="B2832" i="1"/>
  <c r="A2833" i="1"/>
  <c r="B2833" i="1"/>
  <c r="A2834" i="1"/>
  <c r="B2834" i="1"/>
  <c r="A2835" i="1"/>
  <c r="B2835" i="1"/>
  <c r="A2836" i="1"/>
  <c r="B2836" i="1"/>
  <c r="A2837" i="1"/>
  <c r="B2837" i="1"/>
  <c r="A2838" i="1"/>
  <c r="B2838" i="1"/>
  <c r="A2839" i="1"/>
  <c r="B2839" i="1"/>
  <c r="A2840" i="1"/>
  <c r="B2840" i="1"/>
  <c r="A2841" i="1"/>
  <c r="B2841" i="1"/>
  <c r="A2842" i="1"/>
  <c r="B2842" i="1"/>
  <c r="A2843" i="1"/>
  <c r="B2843" i="1"/>
  <c r="A2844" i="1"/>
  <c r="B2844" i="1"/>
  <c r="A2845" i="1"/>
  <c r="B2845" i="1"/>
  <c r="A2846" i="1"/>
  <c r="B2846" i="1"/>
  <c r="A2847" i="1"/>
  <c r="B2847" i="1"/>
  <c r="A2848" i="1"/>
  <c r="B2848" i="1"/>
  <c r="A2849" i="1"/>
  <c r="B2849" i="1"/>
  <c r="A2850" i="1"/>
  <c r="B2850" i="1"/>
  <c r="A2851" i="1"/>
  <c r="B2851" i="1"/>
  <c r="A2852" i="1"/>
  <c r="B2852" i="1"/>
  <c r="A2853" i="1"/>
  <c r="B2853" i="1"/>
  <c r="A2854" i="1"/>
  <c r="B2854" i="1"/>
  <c r="A2855" i="1"/>
  <c r="B2855" i="1"/>
  <c r="A2856" i="1"/>
  <c r="B2856" i="1"/>
  <c r="A2857" i="1"/>
  <c r="B2857" i="1"/>
  <c r="A2858" i="1"/>
  <c r="B2858" i="1"/>
  <c r="A2859" i="1"/>
  <c r="B2859" i="1"/>
  <c r="A2860" i="1"/>
  <c r="B2860" i="1"/>
  <c r="A2861" i="1"/>
  <c r="B2861" i="1"/>
  <c r="A2862" i="1"/>
  <c r="B2862" i="1"/>
  <c r="A2863" i="1"/>
  <c r="B2863" i="1"/>
  <c r="A2864" i="1"/>
  <c r="B2864" i="1"/>
  <c r="A2865" i="1"/>
  <c r="B2865" i="1"/>
  <c r="A2866" i="1"/>
  <c r="B2866" i="1"/>
  <c r="A2867" i="1"/>
  <c r="B2867" i="1"/>
  <c r="A2868" i="1"/>
  <c r="B2868" i="1"/>
  <c r="A2869" i="1"/>
  <c r="B2869" i="1"/>
  <c r="A2870" i="1"/>
  <c r="B2870" i="1"/>
  <c r="A2871" i="1"/>
  <c r="B2871" i="1"/>
  <c r="A2872" i="1"/>
  <c r="B2872" i="1"/>
  <c r="A2873" i="1"/>
  <c r="B2873" i="1"/>
  <c r="A2874" i="1"/>
  <c r="B2874" i="1"/>
  <c r="A2875" i="1"/>
  <c r="B2875" i="1"/>
  <c r="A2876" i="1"/>
  <c r="B2876" i="1"/>
  <c r="A2877" i="1"/>
  <c r="B2877" i="1"/>
  <c r="A2878" i="1"/>
  <c r="B2878" i="1"/>
  <c r="A2879" i="1"/>
  <c r="B2879" i="1"/>
  <c r="A2880" i="1"/>
  <c r="B2880" i="1"/>
  <c r="A2881" i="1"/>
  <c r="B2881" i="1"/>
  <c r="A2882" i="1"/>
  <c r="B2882" i="1"/>
  <c r="A2883" i="1"/>
  <c r="B2883" i="1"/>
  <c r="A2884" i="1"/>
  <c r="B2884" i="1"/>
  <c r="A2885" i="1"/>
  <c r="B2885" i="1"/>
  <c r="A2886" i="1"/>
  <c r="B2886" i="1"/>
  <c r="A2887" i="1"/>
  <c r="B2887" i="1"/>
  <c r="A2888" i="1"/>
  <c r="B2888" i="1"/>
  <c r="A2889" i="1"/>
  <c r="B2889" i="1"/>
  <c r="A2890" i="1"/>
  <c r="B2890" i="1"/>
  <c r="A2891" i="1"/>
  <c r="B2891" i="1"/>
  <c r="A2892" i="1"/>
  <c r="B2892" i="1"/>
  <c r="A2893" i="1"/>
  <c r="B2893" i="1"/>
  <c r="A2894" i="1"/>
  <c r="B2894" i="1"/>
  <c r="A2895" i="1"/>
  <c r="B2895" i="1"/>
  <c r="A2896" i="1"/>
  <c r="B2896" i="1"/>
  <c r="A2897" i="1"/>
  <c r="B2897" i="1"/>
  <c r="A2898" i="1"/>
  <c r="B2898" i="1"/>
  <c r="A2899" i="1"/>
  <c r="B2899" i="1"/>
  <c r="A2900" i="1"/>
  <c r="B2900" i="1"/>
  <c r="A2901" i="1"/>
  <c r="B2901" i="1"/>
  <c r="A2902" i="1"/>
  <c r="B2902" i="1"/>
  <c r="A2903" i="1"/>
  <c r="B2903" i="1"/>
  <c r="A2904" i="1"/>
  <c r="B2904" i="1"/>
  <c r="A2905" i="1"/>
  <c r="B2905" i="1"/>
  <c r="A2906" i="1"/>
  <c r="B2906" i="1"/>
  <c r="A2907" i="1"/>
  <c r="B2907" i="1"/>
  <c r="A2908" i="1"/>
  <c r="B2908" i="1"/>
  <c r="A2909" i="1"/>
  <c r="B2909" i="1"/>
  <c r="A2910" i="1"/>
  <c r="B2910" i="1"/>
  <c r="A2911" i="1"/>
  <c r="B2911" i="1"/>
  <c r="A2912" i="1"/>
  <c r="B2912" i="1"/>
  <c r="A2913" i="1"/>
  <c r="B2913" i="1"/>
  <c r="A2914" i="1"/>
  <c r="B2914" i="1"/>
  <c r="A2915" i="1"/>
  <c r="B2915" i="1"/>
  <c r="A2916" i="1"/>
  <c r="B2916" i="1"/>
  <c r="A2917" i="1"/>
  <c r="B2917" i="1"/>
  <c r="A2918" i="1"/>
  <c r="B2918" i="1"/>
  <c r="A2919" i="1"/>
  <c r="B2919" i="1"/>
  <c r="A2920" i="1"/>
  <c r="B2920" i="1"/>
  <c r="A2921" i="1"/>
  <c r="B2921" i="1"/>
  <c r="A2922" i="1"/>
  <c r="B2922" i="1"/>
  <c r="A2923" i="1"/>
  <c r="B2923" i="1"/>
  <c r="A2924" i="1"/>
  <c r="B2924" i="1"/>
  <c r="A2925" i="1"/>
  <c r="B2925" i="1"/>
  <c r="A2926" i="1"/>
  <c r="B2926" i="1"/>
  <c r="A2927" i="1"/>
  <c r="B2927" i="1"/>
  <c r="A2928" i="1"/>
  <c r="B2928" i="1"/>
  <c r="A2929" i="1"/>
  <c r="B2929" i="1"/>
  <c r="A2930" i="1"/>
  <c r="B2930" i="1"/>
  <c r="A2931" i="1"/>
  <c r="B2931" i="1"/>
  <c r="A2932" i="1"/>
  <c r="B2932" i="1"/>
  <c r="A2933" i="1"/>
  <c r="B2933" i="1"/>
  <c r="A2934" i="1"/>
  <c r="B2934" i="1"/>
  <c r="A2935" i="1"/>
  <c r="B2935" i="1"/>
  <c r="A2936" i="1"/>
  <c r="B2936" i="1"/>
  <c r="A2937" i="1"/>
  <c r="B2937" i="1"/>
  <c r="A2938" i="1"/>
  <c r="B2938" i="1"/>
  <c r="A2939" i="1"/>
  <c r="B2939" i="1"/>
  <c r="A2940" i="1"/>
  <c r="B2940" i="1"/>
  <c r="A2941" i="1"/>
  <c r="B2941" i="1"/>
  <c r="A2942" i="1"/>
  <c r="B2942" i="1"/>
  <c r="A2943" i="1"/>
  <c r="B2943" i="1"/>
  <c r="A2944" i="1"/>
  <c r="B2944" i="1"/>
  <c r="A2945" i="1"/>
  <c r="B2945" i="1"/>
  <c r="A2946" i="1"/>
  <c r="B2946" i="1"/>
  <c r="A2947" i="1"/>
  <c r="B2947" i="1"/>
  <c r="A2948" i="1"/>
  <c r="B2948" i="1"/>
  <c r="A2949" i="1"/>
  <c r="B2949" i="1"/>
  <c r="A2950" i="1"/>
  <c r="B2950" i="1"/>
  <c r="A2951" i="1"/>
  <c r="B2951" i="1"/>
  <c r="A2952" i="1"/>
  <c r="B2952" i="1"/>
  <c r="A2953" i="1"/>
  <c r="B2953" i="1"/>
  <c r="A2954" i="1"/>
  <c r="B2954" i="1"/>
  <c r="A2955" i="1"/>
  <c r="B2955" i="1"/>
  <c r="A2956" i="1"/>
  <c r="B2956" i="1"/>
  <c r="A2957" i="1"/>
  <c r="B2957" i="1"/>
  <c r="A2958" i="1"/>
  <c r="B2958" i="1"/>
  <c r="A2959" i="1"/>
  <c r="B2959" i="1"/>
  <c r="A2960" i="1"/>
  <c r="B2960" i="1"/>
  <c r="A2961" i="1"/>
  <c r="B2961" i="1"/>
  <c r="A2962" i="1"/>
  <c r="B2962" i="1"/>
  <c r="A2963" i="1"/>
  <c r="B2963" i="1"/>
  <c r="A2964" i="1"/>
  <c r="B2964" i="1"/>
  <c r="A2965" i="1"/>
  <c r="B2965" i="1"/>
  <c r="A2966" i="1"/>
  <c r="B2966" i="1"/>
  <c r="A2967" i="1"/>
  <c r="B2967" i="1"/>
  <c r="A2968" i="1"/>
  <c r="B2968" i="1"/>
  <c r="A2969" i="1"/>
  <c r="B2969" i="1"/>
  <c r="A2970" i="1"/>
  <c r="B2970" i="1"/>
  <c r="A2971" i="1"/>
  <c r="B2971" i="1"/>
  <c r="A2972" i="1"/>
  <c r="B2972" i="1"/>
  <c r="A2973" i="1"/>
  <c r="B2973" i="1"/>
  <c r="A2974" i="1"/>
  <c r="B2974" i="1"/>
  <c r="A2975" i="1"/>
  <c r="B2975" i="1"/>
  <c r="A2976" i="1"/>
  <c r="B2976" i="1"/>
  <c r="A2977" i="1"/>
  <c r="B2977" i="1"/>
  <c r="A2978" i="1"/>
  <c r="B2978" i="1"/>
  <c r="A2979" i="1"/>
  <c r="B2979" i="1"/>
  <c r="A2980" i="1"/>
  <c r="B2980" i="1"/>
  <c r="A2981" i="1"/>
  <c r="B2981" i="1"/>
  <c r="A2982" i="1"/>
  <c r="B2982" i="1"/>
  <c r="A2983" i="1"/>
  <c r="B2983" i="1"/>
  <c r="A2984" i="1"/>
  <c r="B2984" i="1"/>
  <c r="A2985" i="1"/>
  <c r="B2985" i="1"/>
  <c r="A2986" i="1"/>
  <c r="B2986" i="1"/>
  <c r="B2987" i="1"/>
  <c r="A2988" i="1"/>
  <c r="B2988" i="1"/>
  <c r="A2989" i="1"/>
  <c r="B2989" i="1"/>
  <c r="A2990" i="1"/>
  <c r="B2990" i="1"/>
  <c r="A2991" i="1"/>
  <c r="B2991" i="1"/>
  <c r="A2992" i="1"/>
  <c r="B2992" i="1"/>
  <c r="A2993" i="1"/>
  <c r="B2993" i="1"/>
  <c r="A2994" i="1"/>
  <c r="B2994" i="1"/>
  <c r="A2995" i="1"/>
  <c r="B2995" i="1"/>
  <c r="A2996" i="1"/>
  <c r="B2996" i="1"/>
  <c r="B2997" i="1"/>
  <c r="A2998" i="1"/>
  <c r="B2998" i="1"/>
  <c r="A2999" i="1"/>
  <c r="B2999" i="1"/>
  <c r="A3000" i="1"/>
  <c r="B3000" i="1"/>
  <c r="A3001" i="1"/>
  <c r="B3001" i="1"/>
  <c r="B3002" i="1"/>
  <c r="A3003" i="1"/>
  <c r="B3003" i="1"/>
  <c r="A3004" i="1"/>
  <c r="B3004" i="1"/>
  <c r="A3005" i="1"/>
  <c r="B3005" i="1"/>
  <c r="B3006" i="1"/>
  <c r="A3007" i="1"/>
  <c r="B3007" i="1"/>
  <c r="A3008" i="1"/>
  <c r="B3008" i="1"/>
  <c r="B3009" i="1"/>
  <c r="A3010" i="1"/>
  <c r="B3010" i="1"/>
  <c r="A3011" i="1"/>
  <c r="B3011" i="1"/>
  <c r="B3012" i="1"/>
  <c r="A3013" i="1"/>
  <c r="B3013" i="1"/>
  <c r="A3014" i="1"/>
  <c r="B3014" i="1"/>
  <c r="A3015" i="1"/>
  <c r="B3015" i="1"/>
  <c r="A3016" i="1"/>
  <c r="B3016" i="1"/>
  <c r="A3017" i="1"/>
  <c r="B3017" i="1"/>
  <c r="A3018" i="1"/>
  <c r="B3018" i="1"/>
  <c r="A3019" i="1"/>
  <c r="B3019" i="1"/>
  <c r="A3020" i="1"/>
  <c r="B3020" i="1"/>
  <c r="A3021" i="1"/>
  <c r="B3021" i="1"/>
  <c r="A3022" i="1"/>
  <c r="B3022" i="1"/>
  <c r="A3023" i="1"/>
  <c r="B3023" i="1"/>
  <c r="A3024" i="1"/>
  <c r="B3024" i="1"/>
  <c r="A3025" i="1"/>
  <c r="B3025" i="1"/>
  <c r="A3026" i="1"/>
  <c r="B3026" i="1"/>
  <c r="A3027" i="1"/>
  <c r="B3027" i="1"/>
  <c r="A3028" i="1"/>
  <c r="B3028" i="1"/>
  <c r="A3029" i="1"/>
  <c r="B3029" i="1"/>
  <c r="A3030" i="1"/>
  <c r="B3030" i="1"/>
  <c r="A3031" i="1"/>
  <c r="B3031" i="1"/>
  <c r="A3032" i="1"/>
  <c r="B3032" i="1"/>
  <c r="A3033" i="1"/>
  <c r="B3033" i="1"/>
  <c r="A3034" i="1"/>
  <c r="B3034" i="1"/>
  <c r="A3035" i="1"/>
  <c r="B3035" i="1"/>
  <c r="A3036" i="1"/>
  <c r="B3036" i="1"/>
  <c r="A3037" i="1"/>
  <c r="B3037" i="1"/>
  <c r="A3038" i="1"/>
  <c r="B3038" i="1"/>
  <c r="A3039" i="1"/>
  <c r="B3039" i="1"/>
  <c r="A3040" i="1"/>
  <c r="B3040" i="1"/>
  <c r="B3041" i="1"/>
  <c r="A3042" i="1"/>
  <c r="B3042" i="1"/>
  <c r="A3043" i="1"/>
  <c r="B3043" i="1"/>
  <c r="A3044" i="1"/>
  <c r="B3044" i="1"/>
  <c r="A3045" i="1"/>
  <c r="B3045" i="1"/>
  <c r="A3046" i="1"/>
  <c r="B3046" i="1"/>
  <c r="A3047" i="1"/>
  <c r="B3047" i="1"/>
  <c r="A3048" i="1"/>
  <c r="B3048" i="1"/>
  <c r="A3049" i="1"/>
  <c r="B3049" i="1"/>
  <c r="A3050" i="1"/>
  <c r="B3050" i="1"/>
  <c r="A3051" i="1"/>
  <c r="B3051" i="1"/>
  <c r="A3052" i="1"/>
  <c r="B3052" i="1"/>
  <c r="A3053" i="1"/>
  <c r="B3053" i="1"/>
  <c r="A3054" i="1"/>
  <c r="B3054" i="1"/>
  <c r="A3055" i="1"/>
  <c r="B3055" i="1"/>
  <c r="A3056" i="1"/>
  <c r="B3056" i="1"/>
  <c r="A3057" i="1"/>
  <c r="B3057" i="1"/>
  <c r="A3058" i="1"/>
  <c r="B3058" i="1"/>
  <c r="A3059" i="1"/>
  <c r="B3059" i="1"/>
  <c r="A3060" i="1"/>
  <c r="B3060" i="1"/>
  <c r="A3061" i="1"/>
  <c r="B3061" i="1"/>
  <c r="A3062" i="1"/>
  <c r="B3062" i="1"/>
  <c r="A3063" i="1"/>
  <c r="B3063" i="1"/>
  <c r="A3064" i="1"/>
  <c r="B3064" i="1"/>
  <c r="A3065" i="1"/>
  <c r="B3065" i="1"/>
  <c r="A3066" i="1"/>
  <c r="B3066" i="1"/>
  <c r="A3067" i="1"/>
  <c r="B3067" i="1"/>
  <c r="A3068" i="1"/>
  <c r="B3068" i="1"/>
  <c r="A3069" i="1"/>
  <c r="B3069" i="1"/>
  <c r="A3070" i="1"/>
  <c r="B3070" i="1"/>
  <c r="A3071" i="1"/>
  <c r="B3071" i="1"/>
  <c r="A3072" i="1"/>
  <c r="B3072" i="1"/>
  <c r="A3073" i="1"/>
  <c r="B3073" i="1"/>
  <c r="A3074" i="1"/>
  <c r="B3074" i="1"/>
  <c r="A3075" i="1"/>
  <c r="B3075" i="1"/>
  <c r="A3076" i="1"/>
  <c r="B3076" i="1"/>
  <c r="A3077" i="1"/>
  <c r="B3077" i="1"/>
  <c r="A3078" i="1"/>
  <c r="B3078" i="1"/>
  <c r="A3079" i="1"/>
  <c r="B3079" i="1"/>
  <c r="A3080" i="1"/>
  <c r="B3080" i="1"/>
  <c r="A3081" i="1"/>
  <c r="B3081" i="1"/>
  <c r="A3082" i="1"/>
  <c r="B3082" i="1"/>
  <c r="A3083" i="1"/>
  <c r="B3083" i="1"/>
  <c r="A3084" i="1"/>
  <c r="B3084" i="1"/>
  <c r="A3085" i="1"/>
  <c r="B3085" i="1"/>
  <c r="A3086" i="1"/>
  <c r="B3086" i="1"/>
  <c r="A3087" i="1"/>
  <c r="B3087" i="1"/>
  <c r="A3088" i="1"/>
  <c r="B3088" i="1"/>
  <c r="A3089" i="1"/>
  <c r="B3089" i="1"/>
  <c r="A3090" i="1"/>
  <c r="B3090" i="1"/>
  <c r="A3091" i="1"/>
  <c r="B3091" i="1"/>
  <c r="A3092" i="1"/>
  <c r="B3092" i="1"/>
  <c r="A3093" i="1"/>
  <c r="B3093" i="1"/>
  <c r="A3094" i="1"/>
  <c r="B3094" i="1"/>
  <c r="A3095" i="1"/>
  <c r="B3095" i="1"/>
  <c r="A3096" i="1"/>
  <c r="B3096" i="1"/>
  <c r="A3097" i="1"/>
  <c r="B3097" i="1"/>
  <c r="A3098" i="1"/>
  <c r="B3098" i="1"/>
  <c r="A3099" i="1"/>
  <c r="B3099" i="1"/>
  <c r="A3100" i="1"/>
  <c r="B3100" i="1"/>
  <c r="A3101" i="1"/>
  <c r="B3101" i="1"/>
  <c r="A3102" i="1"/>
  <c r="B3102" i="1"/>
  <c r="A3103" i="1"/>
  <c r="B3103" i="1"/>
  <c r="A3104" i="1"/>
  <c r="B3104" i="1"/>
  <c r="A3105" i="1"/>
  <c r="B3105" i="1"/>
  <c r="A3106" i="1"/>
  <c r="B3106" i="1"/>
  <c r="A3107" i="1"/>
  <c r="B3107" i="1"/>
  <c r="A3108" i="1"/>
  <c r="B3108" i="1"/>
  <c r="A3109" i="1"/>
  <c r="B3109" i="1"/>
  <c r="A3110" i="1"/>
  <c r="B3110" i="1"/>
  <c r="A3111" i="1"/>
  <c r="B3111" i="1"/>
  <c r="A3112" i="1"/>
  <c r="B3112" i="1"/>
  <c r="A3113" i="1"/>
  <c r="B3113" i="1"/>
  <c r="A3114" i="1"/>
  <c r="B3114" i="1"/>
  <c r="A3115" i="1"/>
  <c r="B3115" i="1"/>
  <c r="A3116" i="1"/>
  <c r="B3116" i="1"/>
  <c r="A3117" i="1"/>
  <c r="B3117" i="1"/>
  <c r="A3118" i="1"/>
  <c r="B3118" i="1"/>
  <c r="A3119" i="1"/>
  <c r="B3119" i="1"/>
  <c r="A3120" i="1"/>
  <c r="B3120" i="1"/>
  <c r="A3121" i="1"/>
  <c r="B3121" i="1"/>
  <c r="A3122" i="1"/>
  <c r="B3122" i="1"/>
  <c r="A3123" i="1"/>
  <c r="B3123" i="1"/>
  <c r="A3124" i="1"/>
  <c r="B3124" i="1"/>
  <c r="A3125" i="1"/>
  <c r="B3125" i="1"/>
  <c r="A3126" i="1"/>
  <c r="B3126" i="1"/>
  <c r="A3127" i="1"/>
  <c r="B3127" i="1"/>
  <c r="A3128" i="1"/>
  <c r="B3128" i="1"/>
  <c r="A3129" i="1"/>
  <c r="B3129" i="1"/>
  <c r="A3130" i="1"/>
  <c r="B3130" i="1"/>
  <c r="A3131" i="1"/>
  <c r="B3131" i="1"/>
  <c r="A3132" i="1"/>
  <c r="B3132" i="1"/>
  <c r="A3133" i="1"/>
  <c r="B3133" i="1"/>
  <c r="A3134" i="1"/>
  <c r="B3134" i="1"/>
  <c r="A3135" i="1"/>
  <c r="B3135" i="1"/>
  <c r="A3136" i="1"/>
  <c r="B3136" i="1"/>
  <c r="A3137" i="1"/>
  <c r="B3137" i="1"/>
  <c r="A3138" i="1"/>
  <c r="B3138" i="1"/>
  <c r="A3139" i="1"/>
  <c r="B3139" i="1"/>
  <c r="A3140" i="1"/>
  <c r="B3140" i="1"/>
  <c r="A3141" i="1"/>
  <c r="B3141" i="1"/>
  <c r="A3142" i="1"/>
  <c r="B3142" i="1"/>
  <c r="A3143" i="1"/>
  <c r="B3143" i="1"/>
  <c r="A3144" i="1"/>
  <c r="B3144" i="1"/>
  <c r="A3145" i="1"/>
  <c r="B3145" i="1"/>
  <c r="A3146" i="1"/>
  <c r="B3146" i="1"/>
  <c r="A3147" i="1"/>
  <c r="B3147" i="1"/>
  <c r="A3148" i="1"/>
  <c r="B3148" i="1"/>
  <c r="A3149" i="1"/>
  <c r="B3149" i="1"/>
  <c r="A3150" i="1"/>
  <c r="B3150" i="1"/>
  <c r="A3151" i="1"/>
  <c r="B3151" i="1"/>
  <c r="A3152" i="1"/>
  <c r="B3152" i="1"/>
  <c r="A3153" i="1"/>
  <c r="B3153" i="1"/>
  <c r="A3154" i="1"/>
  <c r="B3154" i="1"/>
  <c r="A3155" i="1"/>
  <c r="B3155" i="1"/>
  <c r="A3156" i="1"/>
  <c r="B3156" i="1"/>
  <c r="A3157" i="1"/>
  <c r="B3157" i="1"/>
  <c r="A3158" i="1"/>
  <c r="B3158" i="1"/>
  <c r="A3159" i="1"/>
  <c r="B3159" i="1"/>
  <c r="A3160" i="1"/>
  <c r="B3160" i="1"/>
  <c r="A3161" i="1"/>
  <c r="B3161" i="1"/>
  <c r="A3162" i="1"/>
  <c r="B3162" i="1"/>
  <c r="A3163" i="1"/>
  <c r="B3163" i="1"/>
  <c r="A3164" i="1"/>
  <c r="B3164" i="1"/>
  <c r="A3165" i="1"/>
  <c r="B3165" i="1"/>
  <c r="A3166" i="1"/>
  <c r="B3166" i="1"/>
  <c r="A3167" i="1"/>
  <c r="B3167" i="1"/>
  <c r="A3168" i="1"/>
  <c r="B3168" i="1"/>
  <c r="A3169" i="1"/>
  <c r="B3169" i="1"/>
  <c r="A3170" i="1"/>
  <c r="B3170" i="1"/>
  <c r="A3171" i="1"/>
  <c r="B3171" i="1"/>
  <c r="A3172" i="1"/>
  <c r="B3172" i="1"/>
  <c r="A3173" i="1"/>
  <c r="B3173" i="1"/>
  <c r="A3174" i="1"/>
  <c r="B3174" i="1"/>
  <c r="A3175" i="1"/>
  <c r="B3175" i="1"/>
  <c r="A3176" i="1"/>
  <c r="B3176" i="1"/>
  <c r="A3177" i="1"/>
  <c r="B3177" i="1"/>
  <c r="A3178" i="1"/>
  <c r="B3178" i="1"/>
  <c r="A3179" i="1"/>
  <c r="B3179" i="1"/>
  <c r="A3180" i="1"/>
  <c r="B3180" i="1"/>
  <c r="A3181" i="1"/>
  <c r="B3181" i="1"/>
  <c r="A3182" i="1"/>
  <c r="B3182" i="1"/>
  <c r="A3183" i="1"/>
  <c r="B3183" i="1"/>
  <c r="A3184" i="1"/>
  <c r="B3184" i="1"/>
  <c r="A3185" i="1"/>
  <c r="B3185" i="1"/>
  <c r="A3186" i="1"/>
  <c r="B3186" i="1"/>
  <c r="A3187" i="1"/>
  <c r="B3187" i="1"/>
  <c r="A3188" i="1"/>
  <c r="B3188" i="1"/>
  <c r="A3189" i="1"/>
  <c r="B3189" i="1"/>
  <c r="A3190" i="1"/>
  <c r="B3190" i="1"/>
  <c r="A3191" i="1"/>
  <c r="B3191" i="1"/>
  <c r="A3192" i="1"/>
  <c r="B3192" i="1"/>
  <c r="A3193" i="1"/>
  <c r="B3193" i="1"/>
  <c r="A3194" i="1"/>
  <c r="B3194" i="1"/>
  <c r="A3195" i="1"/>
  <c r="B3195" i="1"/>
  <c r="A3196" i="1"/>
  <c r="B3196" i="1"/>
  <c r="A3197" i="1"/>
  <c r="B3197" i="1"/>
  <c r="A3198" i="1"/>
  <c r="B3198" i="1"/>
  <c r="A3199" i="1"/>
  <c r="B3199" i="1"/>
  <c r="A3200" i="1"/>
  <c r="B3200" i="1"/>
  <c r="A3201" i="1"/>
  <c r="B3201" i="1"/>
  <c r="A3202" i="1"/>
  <c r="B3202" i="1"/>
  <c r="A3203" i="1"/>
  <c r="B3203" i="1"/>
  <c r="A3204" i="1"/>
  <c r="B3204" i="1"/>
  <c r="A3205" i="1"/>
  <c r="B3205" i="1"/>
  <c r="A3206" i="1"/>
  <c r="B3206" i="1"/>
  <c r="A3207" i="1"/>
  <c r="B3207" i="1"/>
  <c r="A3208" i="1"/>
  <c r="B3208" i="1"/>
  <c r="A3209" i="1"/>
  <c r="B3209" i="1"/>
  <c r="A3210" i="1"/>
  <c r="B3210" i="1"/>
  <c r="A3211" i="1"/>
  <c r="B3211" i="1"/>
  <c r="A3212" i="1"/>
  <c r="B3212" i="1"/>
  <c r="A3213" i="1"/>
  <c r="B3213" i="1"/>
  <c r="A3214" i="1"/>
  <c r="B3214" i="1"/>
  <c r="A3215" i="1"/>
  <c r="B3215" i="1"/>
  <c r="A3216" i="1"/>
  <c r="B3216" i="1"/>
  <c r="A3217" i="1"/>
  <c r="B3217" i="1"/>
  <c r="A3218" i="1"/>
  <c r="B3218" i="1"/>
  <c r="A3219" i="1"/>
  <c r="B3219" i="1"/>
  <c r="A3220" i="1"/>
  <c r="B3220" i="1"/>
  <c r="A3221" i="1"/>
  <c r="B3221" i="1"/>
  <c r="A3222" i="1"/>
  <c r="B3222" i="1"/>
  <c r="A3223" i="1"/>
  <c r="B3223" i="1"/>
  <c r="A3224" i="1"/>
  <c r="B3224" i="1"/>
  <c r="A3225" i="1"/>
  <c r="B3225" i="1"/>
  <c r="A3226" i="1"/>
  <c r="B3226" i="1"/>
  <c r="A3227" i="1"/>
  <c r="B3227" i="1"/>
  <c r="A3228" i="1"/>
  <c r="B3228" i="1"/>
  <c r="A3229" i="1"/>
  <c r="B3229" i="1"/>
  <c r="A3230" i="1"/>
  <c r="B3230" i="1"/>
  <c r="A3231" i="1"/>
  <c r="B3231" i="1"/>
  <c r="A3232" i="1"/>
  <c r="B3232" i="1"/>
  <c r="A3233" i="1"/>
  <c r="B3233" i="1"/>
  <c r="A3234" i="1"/>
  <c r="B3234" i="1"/>
  <c r="A3235" i="1"/>
  <c r="B3235" i="1"/>
  <c r="A3236" i="1"/>
  <c r="B3236" i="1"/>
  <c r="A3237" i="1"/>
  <c r="B3237" i="1"/>
  <c r="A3238" i="1"/>
  <c r="B3238" i="1"/>
  <c r="A3239" i="1"/>
  <c r="B3239" i="1"/>
  <c r="A3240" i="1"/>
  <c r="B3240" i="1"/>
  <c r="A3241" i="1"/>
  <c r="B3241" i="1"/>
  <c r="A3242" i="1"/>
  <c r="B3242" i="1"/>
  <c r="A3243" i="1"/>
  <c r="B3243" i="1"/>
  <c r="A3244" i="1"/>
  <c r="B3244" i="1"/>
  <c r="A3245" i="1"/>
  <c r="B3245" i="1"/>
  <c r="A3246" i="1"/>
  <c r="B3246" i="1"/>
  <c r="A3247" i="1"/>
  <c r="B3247" i="1"/>
  <c r="A3248" i="1"/>
  <c r="B3248" i="1"/>
  <c r="A3249" i="1"/>
  <c r="B3249" i="1"/>
  <c r="A3250" i="1"/>
  <c r="B3250" i="1"/>
  <c r="A3251" i="1"/>
  <c r="B3251" i="1"/>
  <c r="A3252" i="1"/>
  <c r="B3252" i="1"/>
  <c r="A3253" i="1"/>
  <c r="B3253" i="1"/>
  <c r="A3254" i="1"/>
  <c r="B3254" i="1"/>
  <c r="A3255" i="1"/>
  <c r="B3255" i="1"/>
  <c r="A3256" i="1"/>
  <c r="B3256" i="1"/>
  <c r="A3257" i="1"/>
  <c r="B3257" i="1"/>
  <c r="A3258" i="1"/>
  <c r="B3258" i="1"/>
  <c r="A3259" i="1"/>
  <c r="B3259" i="1"/>
  <c r="A3260" i="1"/>
  <c r="B3260" i="1"/>
  <c r="A3261" i="1"/>
  <c r="B3261" i="1"/>
  <c r="A3262" i="1"/>
  <c r="B3262" i="1"/>
  <c r="A3263" i="1"/>
  <c r="B3263" i="1"/>
  <c r="A3264" i="1"/>
  <c r="B3264" i="1"/>
  <c r="A3265" i="1"/>
  <c r="B3265" i="1"/>
  <c r="A3266" i="1"/>
  <c r="B3266" i="1"/>
  <c r="A3267" i="1"/>
  <c r="B3267" i="1"/>
  <c r="A3268" i="1"/>
  <c r="B3268" i="1"/>
  <c r="A3269" i="1"/>
  <c r="B3269" i="1"/>
  <c r="A3270" i="1"/>
  <c r="B3270" i="1"/>
  <c r="A3271" i="1"/>
  <c r="B3271" i="1"/>
  <c r="A3272" i="1"/>
  <c r="B3272" i="1"/>
  <c r="A3273" i="1"/>
  <c r="B3273" i="1"/>
  <c r="A3274" i="1"/>
  <c r="B3274" i="1"/>
  <c r="A3275" i="1"/>
  <c r="B3275" i="1"/>
  <c r="A3276" i="1"/>
  <c r="B3276" i="1"/>
  <c r="A3277" i="1"/>
  <c r="B3277" i="1"/>
  <c r="A3278" i="1"/>
  <c r="B3278" i="1"/>
  <c r="A3279" i="1"/>
  <c r="B3279" i="1"/>
  <c r="A3280" i="1"/>
  <c r="B3280" i="1"/>
  <c r="A3281" i="1"/>
  <c r="B3281" i="1"/>
  <c r="A3282" i="1"/>
  <c r="B3282" i="1"/>
  <c r="A3283" i="1"/>
  <c r="B3283" i="1"/>
  <c r="A3284" i="1"/>
  <c r="B3284" i="1"/>
  <c r="A3285" i="1"/>
  <c r="B3285" i="1"/>
  <c r="A3286" i="1"/>
  <c r="B3286" i="1"/>
  <c r="A3287" i="1"/>
  <c r="B3287" i="1"/>
  <c r="A3288" i="1"/>
  <c r="B3288" i="1"/>
  <c r="A3289" i="1"/>
  <c r="B3289" i="1"/>
  <c r="A3290" i="1"/>
  <c r="B3290" i="1"/>
  <c r="A3291" i="1"/>
  <c r="B3291" i="1"/>
  <c r="A3292" i="1"/>
  <c r="B3292" i="1"/>
  <c r="A3293" i="1"/>
  <c r="B3293" i="1"/>
  <c r="A3294" i="1"/>
  <c r="B3294" i="1"/>
  <c r="A3295" i="1"/>
  <c r="B3295" i="1"/>
  <c r="A3296" i="1"/>
  <c r="B3296" i="1"/>
  <c r="A3297" i="1"/>
  <c r="B3297" i="1"/>
  <c r="A3298" i="1"/>
  <c r="B3298" i="1"/>
  <c r="A3299" i="1"/>
  <c r="B3299" i="1"/>
  <c r="A3300" i="1"/>
  <c r="B3300" i="1"/>
  <c r="A3301" i="1"/>
  <c r="B3301" i="1"/>
  <c r="A3302" i="1"/>
  <c r="B3302" i="1"/>
  <c r="A3303" i="1"/>
  <c r="B3303" i="1"/>
  <c r="A3304" i="1"/>
  <c r="B3304" i="1"/>
  <c r="A3305" i="1"/>
  <c r="B3305" i="1"/>
  <c r="A3306" i="1"/>
  <c r="B3306" i="1"/>
  <c r="A3307" i="1"/>
  <c r="B3307" i="1"/>
  <c r="A3308" i="1"/>
  <c r="B3308" i="1"/>
  <c r="A3309" i="1"/>
  <c r="B3309" i="1"/>
  <c r="A3310" i="1"/>
  <c r="B3310" i="1"/>
  <c r="A3311" i="1"/>
  <c r="B3311" i="1"/>
  <c r="A3312" i="1"/>
  <c r="B3312" i="1"/>
  <c r="A3313" i="1"/>
  <c r="B3313" i="1"/>
  <c r="A3314" i="1"/>
  <c r="B3314" i="1"/>
  <c r="A3315" i="1"/>
  <c r="B3315" i="1"/>
  <c r="A3316" i="1"/>
  <c r="B3316" i="1"/>
  <c r="A3317" i="1"/>
  <c r="B3317" i="1"/>
  <c r="A3318" i="1"/>
  <c r="B3318" i="1"/>
  <c r="A3319" i="1"/>
  <c r="B3319" i="1"/>
  <c r="A3320" i="1"/>
  <c r="B3320" i="1"/>
  <c r="A3321" i="1"/>
  <c r="B3321" i="1"/>
  <c r="A3322" i="1"/>
  <c r="B3322" i="1"/>
  <c r="A3323" i="1"/>
  <c r="B3323" i="1"/>
  <c r="A3324" i="1"/>
  <c r="B3324" i="1"/>
  <c r="A3325" i="1"/>
  <c r="B3325" i="1"/>
  <c r="A3326" i="1"/>
  <c r="B3326" i="1"/>
  <c r="A3327" i="1"/>
  <c r="B3327" i="1"/>
  <c r="A3328" i="1"/>
  <c r="B3328" i="1"/>
  <c r="A3329" i="1"/>
  <c r="B3329" i="1"/>
  <c r="A3330" i="1"/>
  <c r="B3330" i="1"/>
  <c r="A3331" i="1"/>
  <c r="B3331" i="1"/>
  <c r="A3332" i="1"/>
  <c r="B3332" i="1"/>
  <c r="A3333" i="1"/>
  <c r="B3333" i="1"/>
  <c r="A3334" i="1"/>
  <c r="B3334" i="1"/>
  <c r="A3335" i="1"/>
  <c r="B3335" i="1"/>
  <c r="A3336" i="1"/>
  <c r="B3336" i="1"/>
  <c r="A3337" i="1"/>
  <c r="B3337" i="1"/>
  <c r="A3338" i="1"/>
  <c r="B3338" i="1"/>
  <c r="A3339" i="1"/>
  <c r="B3339" i="1"/>
  <c r="A3340" i="1"/>
  <c r="B3340" i="1"/>
  <c r="A3341" i="1"/>
  <c r="B3341" i="1"/>
  <c r="A3342" i="1"/>
  <c r="B3342" i="1"/>
  <c r="A3343" i="1"/>
  <c r="B3343" i="1"/>
  <c r="A3344" i="1"/>
  <c r="B3344" i="1"/>
  <c r="A3345" i="1"/>
  <c r="B3345" i="1"/>
  <c r="A3346" i="1"/>
  <c r="B3346" i="1"/>
  <c r="A3347" i="1"/>
  <c r="B3347" i="1"/>
  <c r="A3348" i="1"/>
  <c r="B3348" i="1"/>
  <c r="A3349" i="1"/>
  <c r="B3349" i="1"/>
  <c r="A3350" i="1"/>
  <c r="B3350" i="1"/>
  <c r="A3351" i="1"/>
  <c r="B3351" i="1"/>
  <c r="A3352" i="1"/>
  <c r="B3352" i="1"/>
  <c r="A3353" i="1"/>
  <c r="B3353" i="1"/>
  <c r="A3354" i="1"/>
  <c r="B3354" i="1"/>
  <c r="A3355" i="1"/>
  <c r="B3355" i="1"/>
  <c r="A3356" i="1"/>
  <c r="B3356" i="1"/>
  <c r="A3357" i="1"/>
  <c r="B3357" i="1"/>
  <c r="A3358" i="1"/>
  <c r="B3358" i="1"/>
  <c r="A3359" i="1"/>
  <c r="B3359" i="1"/>
  <c r="A3360" i="1"/>
  <c r="B3360" i="1"/>
  <c r="A3361" i="1"/>
  <c r="B3361" i="1"/>
  <c r="A3362" i="1"/>
  <c r="B3362" i="1"/>
  <c r="A3363" i="1"/>
  <c r="B3363" i="1"/>
  <c r="A3364" i="1"/>
  <c r="B3364" i="1"/>
  <c r="A3365" i="1"/>
  <c r="B3365" i="1"/>
  <c r="A3366" i="1"/>
  <c r="B3366" i="1"/>
  <c r="A3367" i="1"/>
  <c r="B3367" i="1"/>
  <c r="A3368" i="1"/>
  <c r="B3368" i="1"/>
  <c r="A3369" i="1"/>
  <c r="B3369" i="1"/>
  <c r="A3370" i="1"/>
  <c r="B3370" i="1"/>
  <c r="A3371" i="1"/>
  <c r="B3371" i="1"/>
  <c r="A3372" i="1"/>
  <c r="B3372" i="1"/>
  <c r="A3373" i="1"/>
  <c r="B3373" i="1"/>
  <c r="A3374" i="1"/>
  <c r="B3374" i="1"/>
  <c r="A3375" i="1"/>
  <c r="B3375" i="1"/>
  <c r="A3376" i="1"/>
  <c r="B3376" i="1"/>
  <c r="A3377" i="1"/>
  <c r="B3377" i="1"/>
  <c r="A3378" i="1"/>
  <c r="B3378" i="1"/>
  <c r="A3379" i="1"/>
  <c r="B3379" i="1"/>
  <c r="A3380" i="1"/>
  <c r="B3380" i="1"/>
  <c r="A3381" i="1"/>
  <c r="B3381" i="1"/>
  <c r="A3382" i="1"/>
  <c r="B3382" i="1"/>
  <c r="A3383" i="1"/>
  <c r="B3383" i="1"/>
  <c r="A3384" i="1"/>
  <c r="B3384" i="1"/>
  <c r="A3385" i="1"/>
  <c r="B3385" i="1"/>
  <c r="A3386" i="1"/>
  <c r="B3386" i="1"/>
  <c r="A3387" i="1"/>
  <c r="B3387" i="1"/>
  <c r="A3388" i="1"/>
  <c r="B3388" i="1"/>
  <c r="A3389" i="1"/>
  <c r="B3389" i="1"/>
  <c r="A3390" i="1"/>
  <c r="B3390" i="1"/>
  <c r="A3391" i="1"/>
  <c r="B3391" i="1"/>
  <c r="A3392" i="1"/>
  <c r="B3392" i="1"/>
  <c r="A3393" i="1"/>
  <c r="B3393" i="1"/>
  <c r="A3394" i="1"/>
  <c r="B3394" i="1"/>
  <c r="A3395" i="1"/>
  <c r="B3395" i="1"/>
  <c r="A3396" i="1"/>
  <c r="B3396" i="1"/>
  <c r="A3397" i="1"/>
  <c r="B3397" i="1"/>
  <c r="A3398" i="1"/>
  <c r="B3398" i="1"/>
  <c r="A3399" i="1"/>
  <c r="B3399" i="1"/>
  <c r="A3400" i="1"/>
  <c r="B3400" i="1"/>
  <c r="A3401" i="1"/>
  <c r="B3401" i="1"/>
  <c r="A3402" i="1"/>
  <c r="B3402" i="1"/>
  <c r="A3403" i="1"/>
  <c r="B3403" i="1"/>
  <c r="A3404" i="1"/>
  <c r="B3404" i="1"/>
  <c r="A3405" i="1"/>
  <c r="B3405" i="1"/>
  <c r="A3406" i="1"/>
  <c r="B3406" i="1"/>
  <c r="A3407" i="1"/>
  <c r="B3407" i="1"/>
  <c r="A3408" i="1"/>
  <c r="B3408" i="1"/>
  <c r="A3409" i="1"/>
  <c r="B3409" i="1"/>
  <c r="A3410" i="1"/>
  <c r="B3410" i="1"/>
  <c r="A3411" i="1"/>
  <c r="B3411" i="1"/>
  <c r="A3412" i="1"/>
  <c r="B3412" i="1"/>
  <c r="A3413" i="1"/>
  <c r="B3413" i="1"/>
  <c r="A3414" i="1"/>
  <c r="B3414" i="1"/>
  <c r="A3415" i="1"/>
  <c r="B3415" i="1"/>
  <c r="A3416" i="1"/>
  <c r="B3416" i="1"/>
  <c r="A3417" i="1"/>
  <c r="B3417" i="1"/>
  <c r="A3418" i="1"/>
  <c r="B3418" i="1"/>
  <c r="A3419" i="1"/>
  <c r="B3419" i="1"/>
  <c r="A3420" i="1"/>
  <c r="B3420" i="1"/>
  <c r="A3421" i="1"/>
  <c r="B3421" i="1"/>
  <c r="A3422" i="1"/>
  <c r="B3422" i="1"/>
  <c r="A3423" i="1"/>
  <c r="B3423" i="1"/>
  <c r="A3424" i="1"/>
  <c r="B3424" i="1"/>
  <c r="A3425" i="1"/>
  <c r="B3425" i="1"/>
  <c r="A3426" i="1"/>
  <c r="B3426" i="1"/>
  <c r="A3427" i="1"/>
  <c r="B3427" i="1"/>
  <c r="A3428" i="1"/>
  <c r="B3428" i="1"/>
  <c r="A3429" i="1"/>
  <c r="B3429" i="1"/>
  <c r="A3430" i="1"/>
  <c r="B3430" i="1"/>
  <c r="A3431" i="1"/>
  <c r="B3431" i="1"/>
  <c r="A3432" i="1"/>
  <c r="B3432" i="1"/>
  <c r="A3433" i="1"/>
  <c r="B3433" i="1"/>
  <c r="A3434" i="1"/>
  <c r="B3434" i="1"/>
  <c r="A3435" i="1"/>
  <c r="B3435" i="1"/>
  <c r="A3436" i="1"/>
  <c r="B3436" i="1"/>
  <c r="A3437" i="1"/>
  <c r="B3437" i="1"/>
  <c r="A3438" i="1"/>
  <c r="B3438" i="1"/>
  <c r="A3439" i="1"/>
  <c r="B3439" i="1"/>
  <c r="A3440" i="1"/>
  <c r="B3440" i="1"/>
  <c r="A3441" i="1"/>
  <c r="B3441" i="1"/>
  <c r="A3442" i="1"/>
  <c r="B3442" i="1"/>
  <c r="A3443" i="1"/>
  <c r="B3443" i="1"/>
  <c r="A3444" i="1"/>
  <c r="B3444" i="1"/>
  <c r="A3445" i="1"/>
  <c r="B3445" i="1"/>
  <c r="A3446" i="1"/>
  <c r="B3446" i="1"/>
  <c r="A3447" i="1"/>
  <c r="B3447" i="1"/>
  <c r="A3448" i="1"/>
  <c r="B3448" i="1"/>
  <c r="A3449" i="1"/>
  <c r="B3449" i="1"/>
  <c r="A3450" i="1"/>
  <c r="B3450" i="1"/>
  <c r="A3451" i="1"/>
  <c r="B3451" i="1"/>
  <c r="A3452" i="1"/>
  <c r="B3452" i="1"/>
  <c r="A3453" i="1"/>
  <c r="B3453" i="1"/>
  <c r="A3454" i="1"/>
  <c r="B3454" i="1"/>
  <c r="A3455" i="1"/>
  <c r="B3455" i="1"/>
  <c r="A3456" i="1"/>
  <c r="B3456" i="1"/>
  <c r="A3457" i="1"/>
  <c r="B3457" i="1"/>
  <c r="A3458" i="1"/>
  <c r="B3458" i="1"/>
  <c r="A3459" i="1"/>
  <c r="B3459" i="1"/>
  <c r="A3460" i="1"/>
  <c r="B3460" i="1"/>
  <c r="B3461" i="1"/>
  <c r="A3462" i="1"/>
  <c r="B3462" i="1"/>
  <c r="A3463" i="1"/>
  <c r="B3463" i="1"/>
  <c r="A3464" i="1"/>
  <c r="B3464" i="1"/>
  <c r="A3465" i="1"/>
  <c r="B3465" i="1"/>
  <c r="A3466" i="1"/>
  <c r="B3466" i="1"/>
  <c r="A3467" i="1"/>
  <c r="B3467" i="1"/>
  <c r="A3468" i="1"/>
  <c r="B3468" i="1"/>
  <c r="A3469" i="1"/>
  <c r="B3469" i="1"/>
  <c r="A3470" i="1"/>
  <c r="B3470" i="1"/>
  <c r="A3471" i="1"/>
  <c r="B3471" i="1"/>
  <c r="A3472" i="1"/>
  <c r="B3472" i="1"/>
  <c r="A3473" i="1"/>
  <c r="B3473" i="1"/>
  <c r="A3474" i="1"/>
  <c r="B3474" i="1"/>
  <c r="A3475" i="1"/>
  <c r="B3475" i="1"/>
  <c r="B3476" i="1"/>
  <c r="A3477" i="1"/>
  <c r="B3477" i="1"/>
  <c r="A3478" i="1"/>
  <c r="B3478" i="1"/>
  <c r="A3479" i="1"/>
  <c r="B3479" i="1"/>
  <c r="A3480" i="1"/>
  <c r="B3480" i="1"/>
  <c r="A3481" i="1"/>
  <c r="B3481" i="1"/>
  <c r="A3482" i="1"/>
  <c r="B3482" i="1"/>
  <c r="A3483" i="1"/>
  <c r="B3483" i="1"/>
  <c r="A3484" i="1"/>
  <c r="B3484" i="1"/>
  <c r="A3485" i="1"/>
  <c r="B3485" i="1"/>
  <c r="A3486" i="1"/>
  <c r="B3486" i="1"/>
  <c r="A3487" i="1"/>
  <c r="B3487" i="1"/>
  <c r="A3488" i="1"/>
  <c r="B3488" i="1"/>
  <c r="A3489" i="1"/>
  <c r="B3489" i="1"/>
  <c r="A3490" i="1"/>
  <c r="B3490" i="1"/>
  <c r="A3491" i="1"/>
  <c r="B3491" i="1"/>
  <c r="A3492" i="1"/>
  <c r="B3492" i="1"/>
  <c r="A3493" i="1"/>
  <c r="B3493" i="1"/>
  <c r="A3494" i="1"/>
  <c r="B3494" i="1"/>
  <c r="A3495" i="1"/>
  <c r="B3495" i="1"/>
  <c r="A3496" i="1"/>
  <c r="B3496" i="1"/>
  <c r="A3497" i="1"/>
  <c r="B3497" i="1"/>
  <c r="A3498" i="1"/>
  <c r="B3498" i="1"/>
  <c r="A3499" i="1"/>
  <c r="B3499" i="1"/>
  <c r="A3500" i="1"/>
  <c r="B3500" i="1"/>
  <c r="A3501" i="1"/>
  <c r="B3501" i="1"/>
  <c r="A3502" i="1"/>
  <c r="B3502" i="1"/>
  <c r="A3503" i="1"/>
  <c r="B3503" i="1"/>
  <c r="A3504" i="1"/>
  <c r="B3504" i="1"/>
  <c r="A3505" i="1"/>
  <c r="B3505" i="1"/>
  <c r="A3506" i="1"/>
  <c r="B3506" i="1"/>
  <c r="A3507" i="1"/>
  <c r="B3507" i="1"/>
  <c r="A3508" i="1"/>
  <c r="B3508" i="1"/>
  <c r="A3509" i="1"/>
  <c r="B3509" i="1"/>
  <c r="A3510" i="1"/>
  <c r="B3510" i="1"/>
  <c r="A3511" i="1"/>
  <c r="B3511" i="1"/>
  <c r="A3512" i="1"/>
  <c r="B3512" i="1"/>
  <c r="A3513" i="1"/>
  <c r="B3513" i="1"/>
  <c r="A3514" i="1"/>
  <c r="B3514" i="1"/>
  <c r="A3515" i="1"/>
  <c r="B3515" i="1"/>
  <c r="A3516" i="1"/>
  <c r="B3516" i="1"/>
  <c r="A3517" i="1"/>
  <c r="B3517" i="1"/>
  <c r="A3518" i="1"/>
  <c r="B3518" i="1"/>
  <c r="A3519" i="1"/>
  <c r="B3519" i="1"/>
  <c r="A3520" i="1"/>
  <c r="B3520" i="1"/>
  <c r="A3521" i="1"/>
  <c r="B3521" i="1"/>
  <c r="A3522" i="1"/>
  <c r="B3522" i="1"/>
  <c r="A3523" i="1"/>
  <c r="B3523" i="1"/>
  <c r="A3524" i="1"/>
  <c r="B3524" i="1"/>
  <c r="A3525" i="1"/>
  <c r="B3525" i="1"/>
  <c r="A3526" i="1"/>
  <c r="B3526" i="1"/>
  <c r="A3527" i="1"/>
  <c r="B3527" i="1"/>
  <c r="A3528" i="1"/>
  <c r="B3528" i="1"/>
  <c r="A3529" i="1"/>
  <c r="B3529" i="1"/>
  <c r="A3530" i="1"/>
  <c r="B3530" i="1"/>
  <c r="A3531" i="1"/>
  <c r="B3531" i="1"/>
  <c r="A3532" i="1"/>
  <c r="B3532" i="1"/>
  <c r="A3533" i="1"/>
  <c r="B3533" i="1"/>
  <c r="A3534" i="1"/>
  <c r="B3534" i="1"/>
  <c r="A3535" i="1"/>
  <c r="B3535" i="1"/>
  <c r="A3536" i="1"/>
  <c r="B3536" i="1"/>
  <c r="A3537" i="1"/>
  <c r="B3537" i="1"/>
  <c r="A3538" i="1"/>
  <c r="B3538" i="1"/>
  <c r="A3539" i="1"/>
  <c r="B3539" i="1"/>
  <c r="A3540" i="1"/>
  <c r="B3540" i="1"/>
  <c r="A3541" i="1"/>
  <c r="B3541" i="1"/>
  <c r="A3542" i="1"/>
  <c r="B3542" i="1"/>
  <c r="A3543" i="1"/>
  <c r="B3543" i="1"/>
  <c r="A3544" i="1"/>
  <c r="B3544" i="1"/>
  <c r="A3545" i="1"/>
  <c r="B3545" i="1"/>
  <c r="A3546" i="1"/>
  <c r="B3546" i="1"/>
  <c r="A3547" i="1"/>
  <c r="B3547" i="1"/>
  <c r="A3548" i="1"/>
  <c r="B3548" i="1"/>
  <c r="A3549" i="1"/>
  <c r="B3549" i="1"/>
  <c r="A3550" i="1"/>
  <c r="B3550" i="1"/>
  <c r="A3551" i="1"/>
  <c r="B3551" i="1"/>
  <c r="A3552" i="1"/>
  <c r="B3552" i="1"/>
  <c r="A3553" i="1"/>
  <c r="B3553" i="1"/>
  <c r="A3554" i="1"/>
  <c r="B3554" i="1"/>
  <c r="A3555" i="1"/>
  <c r="B3555" i="1"/>
  <c r="A3556" i="1"/>
  <c r="B3556" i="1"/>
  <c r="A3557" i="1"/>
  <c r="B3557" i="1"/>
  <c r="A3558" i="1"/>
  <c r="B3558" i="1"/>
  <c r="A3559" i="1"/>
  <c r="B3559" i="1"/>
  <c r="A3560" i="1"/>
  <c r="B3560" i="1"/>
  <c r="A3561" i="1"/>
  <c r="B3561" i="1"/>
  <c r="A3562" i="1"/>
  <c r="B3562" i="1"/>
  <c r="A3563" i="1"/>
  <c r="B3563" i="1"/>
  <c r="A3564" i="1"/>
  <c r="B3564" i="1"/>
  <c r="A3565" i="1"/>
  <c r="B3565" i="1"/>
  <c r="A3566" i="1"/>
  <c r="B3566" i="1"/>
  <c r="A3567" i="1"/>
  <c r="B3567" i="1"/>
  <c r="A3568" i="1"/>
  <c r="B3568" i="1"/>
  <c r="A3569" i="1"/>
  <c r="B3569" i="1"/>
  <c r="A3570" i="1"/>
  <c r="B3570" i="1"/>
  <c r="A3571" i="1"/>
  <c r="B3571" i="1"/>
  <c r="A3572" i="1"/>
  <c r="B3572" i="1"/>
  <c r="A3573" i="1"/>
  <c r="B3573" i="1"/>
  <c r="A3574" i="1"/>
  <c r="B3574" i="1"/>
  <c r="A3575" i="1"/>
  <c r="B3575" i="1"/>
  <c r="A3576" i="1"/>
  <c r="B3576" i="1"/>
  <c r="A3577" i="1"/>
  <c r="B3577" i="1"/>
  <c r="A3578" i="1"/>
  <c r="B3578" i="1"/>
  <c r="A3579" i="1"/>
  <c r="B3579" i="1"/>
  <c r="A3580" i="1"/>
  <c r="B3580" i="1"/>
  <c r="A3581" i="1"/>
  <c r="B3581" i="1"/>
  <c r="A3582" i="1"/>
  <c r="B3582" i="1"/>
  <c r="A3583" i="1"/>
  <c r="B3583" i="1"/>
  <c r="A3584" i="1"/>
  <c r="B3584" i="1"/>
  <c r="A3585" i="1"/>
  <c r="B3585" i="1"/>
  <c r="A3586" i="1"/>
  <c r="B3586" i="1"/>
  <c r="A3587" i="1"/>
  <c r="B3587" i="1"/>
  <c r="A3588" i="1"/>
  <c r="B3588" i="1"/>
  <c r="A3589" i="1"/>
  <c r="B3589" i="1"/>
  <c r="A3590" i="1"/>
  <c r="B3590" i="1"/>
  <c r="A3591" i="1"/>
  <c r="B3591" i="1"/>
  <c r="A3592" i="1"/>
  <c r="B3592" i="1"/>
  <c r="A3593" i="1"/>
  <c r="B3593" i="1"/>
  <c r="A3594" i="1"/>
  <c r="B3594" i="1"/>
  <c r="A3595" i="1"/>
  <c r="B3595" i="1"/>
  <c r="B3596" i="1"/>
  <c r="A3597" i="1"/>
  <c r="B3597" i="1"/>
  <c r="A3598" i="1"/>
  <c r="B3598" i="1"/>
  <c r="A3599" i="1"/>
  <c r="B3599" i="1"/>
  <c r="A3600" i="1"/>
  <c r="B3600" i="1"/>
  <c r="B3601" i="1"/>
  <c r="A3602" i="1"/>
  <c r="B3602" i="1"/>
  <c r="A3603" i="1"/>
  <c r="B3603" i="1"/>
  <c r="A3604" i="1"/>
  <c r="B3604" i="1"/>
  <c r="A3605" i="1"/>
  <c r="B3605" i="1"/>
  <c r="A3606" i="1"/>
  <c r="B3606" i="1"/>
  <c r="A3607" i="1"/>
  <c r="B3607" i="1"/>
  <c r="A3608" i="1"/>
  <c r="B3608" i="1"/>
  <c r="A3609" i="1"/>
  <c r="B3609" i="1"/>
  <c r="A3610" i="1"/>
  <c r="B3610" i="1"/>
  <c r="A3611" i="1"/>
  <c r="B3611" i="1"/>
  <c r="A3612" i="1"/>
  <c r="B3612" i="1"/>
  <c r="A3613" i="1"/>
  <c r="B3613" i="1"/>
  <c r="A3614" i="1"/>
  <c r="B3614" i="1"/>
  <c r="A3615" i="1"/>
  <c r="B3615" i="1"/>
  <c r="A3616" i="1"/>
  <c r="B3616" i="1"/>
  <c r="A3617" i="1"/>
  <c r="B3617" i="1"/>
  <c r="A3618" i="1"/>
  <c r="B3618" i="1"/>
  <c r="A3619" i="1"/>
  <c r="B3619" i="1"/>
  <c r="B3620" i="1"/>
  <c r="A3621" i="1"/>
  <c r="B3621" i="1"/>
  <c r="A3622" i="1"/>
  <c r="B3622" i="1"/>
  <c r="A3623" i="1"/>
  <c r="B3623" i="1"/>
  <c r="A3624" i="1"/>
  <c r="B3624" i="1"/>
  <c r="A3625" i="1"/>
  <c r="B3625" i="1"/>
  <c r="A3626" i="1"/>
  <c r="B3626" i="1"/>
  <c r="A3627" i="1"/>
  <c r="B3627" i="1"/>
  <c r="A3628" i="1"/>
  <c r="B3628" i="1"/>
  <c r="A3629" i="1"/>
  <c r="B3629" i="1"/>
  <c r="A3630" i="1"/>
  <c r="B3630" i="1"/>
  <c r="A3631" i="1"/>
  <c r="B3631" i="1"/>
  <c r="A3632" i="1"/>
  <c r="B3632" i="1"/>
  <c r="A3633" i="1"/>
  <c r="B3633" i="1"/>
  <c r="A3634" i="1"/>
  <c r="B3634" i="1"/>
  <c r="A3635" i="1"/>
  <c r="B3635" i="1"/>
  <c r="A3636" i="1"/>
  <c r="B3636" i="1"/>
  <c r="A3637" i="1"/>
  <c r="B3637" i="1"/>
  <c r="A3638" i="1"/>
  <c r="B3638" i="1"/>
  <c r="A3639" i="1"/>
  <c r="B3639" i="1"/>
  <c r="B3640" i="1"/>
  <c r="A3641" i="1"/>
  <c r="B3641" i="1"/>
  <c r="A3642" i="1"/>
  <c r="B3642" i="1"/>
  <c r="A3643" i="1"/>
  <c r="B3643" i="1"/>
  <c r="A3644" i="1"/>
  <c r="B3644" i="1"/>
  <c r="A3645" i="1"/>
  <c r="B3645" i="1"/>
  <c r="A3646" i="1"/>
  <c r="B3646" i="1"/>
  <c r="B3647" i="1"/>
  <c r="A3648" i="1"/>
  <c r="B3648" i="1"/>
  <c r="A3649" i="1"/>
  <c r="B3649" i="1"/>
  <c r="B3650" i="1"/>
  <c r="A3651" i="1"/>
  <c r="B3651" i="1"/>
  <c r="A3652" i="1"/>
  <c r="B3652" i="1"/>
  <c r="A3653" i="1"/>
  <c r="B3653" i="1"/>
  <c r="A3654" i="1"/>
  <c r="B3654" i="1"/>
  <c r="A3655" i="1"/>
  <c r="B3655" i="1"/>
  <c r="A3656" i="1"/>
  <c r="B3656" i="1"/>
  <c r="A3657" i="1"/>
  <c r="B3657" i="1"/>
  <c r="A3658" i="1"/>
  <c r="B3658" i="1"/>
  <c r="A3659" i="1"/>
  <c r="B3659" i="1"/>
  <c r="A3660" i="1"/>
  <c r="B3660" i="1"/>
  <c r="A3661" i="1"/>
  <c r="B3661" i="1"/>
  <c r="A3662" i="1"/>
  <c r="B3662" i="1"/>
  <c r="A3663" i="1"/>
  <c r="B3663" i="1"/>
  <c r="A3664" i="1"/>
  <c r="B3664" i="1"/>
  <c r="A3665" i="1"/>
  <c r="B3665" i="1"/>
  <c r="A3666" i="1"/>
  <c r="B3666" i="1"/>
  <c r="A3667" i="1"/>
  <c r="B3667" i="1"/>
  <c r="A3668" i="1"/>
  <c r="B3668" i="1"/>
  <c r="A3669" i="1"/>
  <c r="B3669" i="1"/>
  <c r="A3670" i="1"/>
  <c r="B3670" i="1"/>
  <c r="A3671" i="1"/>
  <c r="B3671" i="1"/>
  <c r="A3672" i="1"/>
  <c r="B3672" i="1"/>
  <c r="A3673" i="1"/>
  <c r="B3673" i="1"/>
  <c r="A3674" i="1"/>
  <c r="B3674" i="1"/>
  <c r="A3675" i="1"/>
  <c r="B3675" i="1"/>
  <c r="A3676" i="1"/>
  <c r="B3676" i="1"/>
  <c r="A3677" i="1"/>
  <c r="B3677" i="1"/>
  <c r="A3678" i="1"/>
  <c r="B3678" i="1"/>
  <c r="A3679" i="1"/>
  <c r="B3679" i="1"/>
  <c r="A3680" i="1"/>
  <c r="B3680" i="1"/>
  <c r="A3681" i="1"/>
  <c r="B3681" i="1"/>
  <c r="A3682" i="1"/>
  <c r="B3682" i="1"/>
  <c r="A3683" i="1"/>
  <c r="B3683" i="1"/>
  <c r="A3684" i="1"/>
  <c r="B3684" i="1"/>
  <c r="A3685" i="1"/>
  <c r="B3685" i="1"/>
  <c r="A3686" i="1"/>
  <c r="B3686" i="1"/>
  <c r="A3687" i="1"/>
  <c r="B3687" i="1"/>
  <c r="A3688" i="1"/>
  <c r="B3688" i="1"/>
  <c r="A3689" i="1"/>
  <c r="B3689" i="1"/>
  <c r="A3690" i="1"/>
  <c r="B3690" i="1"/>
  <c r="A3691" i="1"/>
  <c r="B3691" i="1"/>
  <c r="A3692" i="1"/>
  <c r="B3692" i="1"/>
  <c r="A3693" i="1"/>
  <c r="B3693" i="1"/>
  <c r="A3694" i="1"/>
  <c r="B3694" i="1"/>
  <c r="A3695" i="1"/>
  <c r="B3695" i="1"/>
  <c r="A3696" i="1"/>
  <c r="B3696" i="1"/>
  <c r="A3697" i="1"/>
  <c r="B3697" i="1"/>
  <c r="A3698" i="1"/>
  <c r="B3698" i="1"/>
  <c r="A3699" i="1"/>
  <c r="B3699" i="1"/>
  <c r="A3700" i="1"/>
  <c r="B3700" i="1"/>
  <c r="A3701" i="1"/>
  <c r="B3701" i="1"/>
  <c r="A3702" i="1"/>
  <c r="B3702" i="1"/>
  <c r="A3703" i="1"/>
  <c r="B3703" i="1"/>
  <c r="A3704" i="1"/>
  <c r="B3704" i="1"/>
  <c r="A3705" i="1"/>
  <c r="B3705" i="1"/>
  <c r="A3706" i="1"/>
  <c r="B3706" i="1"/>
  <c r="B3707" i="1"/>
  <c r="A3708" i="1"/>
  <c r="B3708" i="1"/>
  <c r="A3709" i="1"/>
  <c r="B3709" i="1"/>
  <c r="B3710" i="1"/>
  <c r="A3711" i="1"/>
  <c r="B3711" i="1"/>
  <c r="A3712" i="1"/>
  <c r="B3712" i="1"/>
  <c r="A3713" i="1"/>
  <c r="B3713" i="1"/>
  <c r="A3714" i="1"/>
  <c r="B3714" i="1"/>
  <c r="A3715" i="1"/>
  <c r="B3715" i="1"/>
  <c r="A3716" i="1"/>
  <c r="B3716" i="1"/>
  <c r="A3717" i="1"/>
  <c r="B3717" i="1"/>
  <c r="A3718" i="1"/>
  <c r="B3718" i="1"/>
  <c r="A3719" i="1"/>
  <c r="B3719" i="1"/>
  <c r="A3720" i="1"/>
  <c r="B3720" i="1"/>
  <c r="A3721" i="1"/>
  <c r="B3721" i="1"/>
  <c r="A3722" i="1"/>
  <c r="B3722" i="1"/>
  <c r="A3723" i="1"/>
  <c r="B3723" i="1"/>
  <c r="A3724" i="1"/>
  <c r="B3724" i="1"/>
  <c r="A3725" i="1"/>
  <c r="B3725" i="1"/>
  <c r="A3726" i="1"/>
  <c r="B3726" i="1"/>
  <c r="A3727" i="1"/>
  <c r="B3727" i="1"/>
  <c r="A3728" i="1"/>
  <c r="B3728" i="1"/>
  <c r="A3729" i="1"/>
  <c r="B3729" i="1"/>
  <c r="A3730" i="1"/>
  <c r="B3730" i="1"/>
  <c r="A3731" i="1"/>
  <c r="B3731" i="1"/>
  <c r="A3732" i="1"/>
  <c r="B3732" i="1"/>
  <c r="A3733" i="1"/>
  <c r="B3733" i="1"/>
  <c r="A3734" i="1"/>
  <c r="B3734" i="1"/>
  <c r="A3735" i="1"/>
  <c r="B3735" i="1"/>
  <c r="A3736" i="1"/>
  <c r="B3736" i="1"/>
  <c r="A3737" i="1"/>
  <c r="B3737" i="1"/>
  <c r="A3738" i="1"/>
  <c r="B3738" i="1"/>
  <c r="A3739" i="1"/>
  <c r="B3739" i="1"/>
  <c r="A3740" i="1"/>
  <c r="B3740" i="1"/>
  <c r="A3741" i="1"/>
  <c r="B3741" i="1"/>
  <c r="A3742" i="1"/>
  <c r="B3742" i="1"/>
  <c r="A3743" i="1"/>
  <c r="B3743" i="1"/>
  <c r="A3744" i="1"/>
  <c r="B3744" i="1"/>
  <c r="A3745" i="1"/>
  <c r="B3745" i="1"/>
  <c r="A3746" i="1"/>
  <c r="B3746" i="1"/>
  <c r="A3747" i="1"/>
  <c r="B3747" i="1"/>
  <c r="A3748" i="1"/>
  <c r="B3748" i="1"/>
  <c r="A3749" i="1"/>
  <c r="B3749" i="1"/>
  <c r="A3750" i="1"/>
  <c r="B3750" i="1"/>
  <c r="A3751" i="1"/>
  <c r="B3751" i="1"/>
  <c r="A3752" i="1"/>
  <c r="B3752" i="1"/>
  <c r="A3753" i="1"/>
  <c r="B3753" i="1"/>
  <c r="A3754" i="1"/>
  <c r="B3754" i="1"/>
  <c r="A3755" i="1"/>
  <c r="B3755" i="1"/>
  <c r="A3756" i="1"/>
  <c r="B3756" i="1"/>
  <c r="A3757" i="1"/>
  <c r="B3757" i="1"/>
  <c r="A3758" i="1"/>
  <c r="B3758" i="1"/>
  <c r="A3759" i="1"/>
  <c r="B3759" i="1"/>
  <c r="A3760" i="1"/>
  <c r="B3760" i="1"/>
  <c r="A3761" i="1"/>
  <c r="B3761" i="1"/>
  <c r="A3762" i="1"/>
  <c r="B3762" i="1"/>
  <c r="A3763" i="1"/>
  <c r="B3763" i="1"/>
  <c r="A3764" i="1"/>
  <c r="B3764" i="1"/>
  <c r="A3765" i="1"/>
  <c r="B3765" i="1"/>
  <c r="A3766" i="1"/>
  <c r="B3766" i="1"/>
  <c r="A3767" i="1"/>
  <c r="B3767" i="1"/>
  <c r="A3768" i="1"/>
  <c r="B3768" i="1"/>
  <c r="A3769" i="1"/>
  <c r="B3769" i="1"/>
  <c r="A3770" i="1"/>
  <c r="B3770" i="1"/>
  <c r="A3771" i="1"/>
  <c r="B3771" i="1"/>
  <c r="A3772" i="1"/>
  <c r="B3772" i="1"/>
  <c r="A3773" i="1"/>
  <c r="B3773" i="1"/>
  <c r="A3774" i="1"/>
  <c r="B3774" i="1"/>
  <c r="A3775" i="1"/>
  <c r="B3775" i="1"/>
  <c r="A3776" i="1"/>
  <c r="B3776" i="1"/>
  <c r="A3777" i="1"/>
  <c r="B3777" i="1"/>
  <c r="A3778" i="1"/>
  <c r="B3778" i="1"/>
  <c r="A3779" i="1"/>
  <c r="B3779" i="1"/>
  <c r="A3780" i="1"/>
  <c r="B3780" i="1"/>
  <c r="A3781" i="1"/>
  <c r="B3781" i="1"/>
  <c r="A3782" i="1"/>
  <c r="B3782" i="1"/>
  <c r="A3783" i="1"/>
  <c r="B3783" i="1"/>
  <c r="A3784" i="1"/>
  <c r="B3784" i="1"/>
  <c r="A3785" i="1"/>
  <c r="B3785" i="1"/>
  <c r="A3786" i="1"/>
  <c r="B3786" i="1"/>
  <c r="A3787" i="1"/>
  <c r="B3787" i="1"/>
  <c r="A3788" i="1"/>
  <c r="B3788" i="1"/>
  <c r="A3789" i="1"/>
  <c r="B3789" i="1"/>
  <c r="A3790" i="1"/>
  <c r="B3790" i="1"/>
  <c r="A3791" i="1"/>
  <c r="B3791" i="1"/>
  <c r="A3792" i="1"/>
  <c r="B3792" i="1"/>
  <c r="A3793" i="1"/>
  <c r="B3793" i="1"/>
  <c r="A3794" i="1"/>
  <c r="B3794" i="1"/>
  <c r="A3795" i="1"/>
  <c r="B3795" i="1"/>
  <c r="A3796" i="1"/>
  <c r="B3796" i="1"/>
  <c r="A3797" i="1"/>
  <c r="B3797" i="1"/>
  <c r="A3798" i="1"/>
  <c r="B3798" i="1"/>
  <c r="A3799" i="1"/>
  <c r="B3799" i="1"/>
  <c r="A3800" i="1"/>
  <c r="B3800" i="1"/>
  <c r="A3801" i="1"/>
  <c r="B3801" i="1"/>
  <c r="A3802" i="1"/>
  <c r="B3802" i="1"/>
  <c r="A3803" i="1"/>
  <c r="B3803" i="1"/>
  <c r="A3804" i="1"/>
  <c r="B3804" i="1"/>
  <c r="A3805" i="1"/>
  <c r="B3805" i="1"/>
  <c r="A3806" i="1"/>
  <c r="B3806" i="1"/>
  <c r="A3807" i="1"/>
  <c r="B3807" i="1"/>
  <c r="A3808" i="1"/>
  <c r="B3808" i="1"/>
  <c r="A3809" i="1"/>
  <c r="B3809" i="1"/>
  <c r="A3810" i="1"/>
  <c r="B3810" i="1"/>
  <c r="A3811" i="1"/>
  <c r="B3811" i="1"/>
  <c r="A3812" i="1"/>
  <c r="B3812" i="1"/>
  <c r="A3813" i="1"/>
  <c r="B3813" i="1"/>
  <c r="A3814" i="1"/>
  <c r="B3814" i="1"/>
  <c r="A3815" i="1"/>
  <c r="B3815" i="1"/>
  <c r="A3816" i="1"/>
  <c r="B3816" i="1"/>
  <c r="A3817" i="1"/>
  <c r="B3817" i="1"/>
  <c r="A3818" i="1"/>
  <c r="B3818" i="1"/>
  <c r="A3819" i="1"/>
  <c r="B3819" i="1"/>
  <c r="A3820" i="1"/>
  <c r="B3820" i="1"/>
  <c r="A3821" i="1"/>
  <c r="B3821" i="1"/>
  <c r="A3822" i="1"/>
  <c r="B3822" i="1"/>
  <c r="A3823" i="1"/>
  <c r="B3823" i="1"/>
  <c r="A3824" i="1"/>
  <c r="B3824" i="1"/>
  <c r="A3825" i="1"/>
  <c r="B3825" i="1"/>
  <c r="A3826" i="1"/>
  <c r="B3826" i="1"/>
  <c r="A3827" i="1"/>
  <c r="B3827" i="1"/>
  <c r="A3828" i="1"/>
  <c r="B3828" i="1"/>
  <c r="A3829" i="1"/>
  <c r="B3829" i="1"/>
  <c r="A3830" i="1"/>
  <c r="B3830" i="1"/>
  <c r="A3831" i="1"/>
  <c r="B3831" i="1"/>
  <c r="A3832" i="1"/>
  <c r="B3832" i="1"/>
  <c r="A3833" i="1"/>
  <c r="B3833" i="1"/>
  <c r="A3834" i="1"/>
  <c r="B3834" i="1"/>
  <c r="A3835" i="1"/>
  <c r="B3835" i="1"/>
  <c r="A3836" i="1"/>
  <c r="B3836" i="1"/>
  <c r="A3837" i="1"/>
  <c r="B3837" i="1"/>
  <c r="A3838" i="1"/>
  <c r="B3838" i="1"/>
  <c r="A3839" i="1"/>
  <c r="B3839" i="1"/>
  <c r="A3840" i="1"/>
  <c r="B3840" i="1"/>
  <c r="A3841" i="1"/>
  <c r="B3841" i="1"/>
  <c r="A3842" i="1"/>
  <c r="B3842" i="1"/>
  <c r="A3843" i="1"/>
  <c r="B3843" i="1"/>
  <c r="A3844" i="1"/>
  <c r="B3844" i="1"/>
  <c r="A3845" i="1"/>
  <c r="B3845" i="1"/>
  <c r="A3846" i="1"/>
  <c r="B3846" i="1"/>
  <c r="A3847" i="1"/>
  <c r="B3847" i="1"/>
  <c r="A3848" i="1"/>
  <c r="B3848" i="1"/>
  <c r="A3849" i="1"/>
  <c r="B3849" i="1"/>
  <c r="A3850" i="1"/>
  <c r="B3850" i="1"/>
  <c r="A3851" i="1"/>
  <c r="B3851" i="1"/>
  <c r="A3852" i="1"/>
  <c r="B3852" i="1"/>
  <c r="A3853" i="1"/>
  <c r="B3853" i="1"/>
  <c r="A3854" i="1"/>
  <c r="B3854" i="1"/>
  <c r="A3855" i="1"/>
  <c r="B3855" i="1"/>
  <c r="A3856" i="1"/>
  <c r="B3856" i="1"/>
  <c r="A3857" i="1"/>
  <c r="B3857" i="1"/>
  <c r="A3858" i="1"/>
  <c r="B3858" i="1"/>
  <c r="A3859" i="1"/>
  <c r="B3859" i="1"/>
  <c r="A3860" i="1"/>
  <c r="B3860" i="1"/>
  <c r="A3861" i="1"/>
  <c r="B3861" i="1"/>
  <c r="A3862" i="1"/>
  <c r="B3862" i="1"/>
  <c r="A3863" i="1"/>
  <c r="B3863" i="1"/>
  <c r="A3864" i="1"/>
  <c r="B3864" i="1"/>
  <c r="A3865" i="1"/>
  <c r="B3865" i="1"/>
  <c r="A3866" i="1"/>
  <c r="B3866" i="1"/>
  <c r="A3867" i="1"/>
  <c r="B3867" i="1"/>
  <c r="A3868" i="1"/>
  <c r="B3868" i="1"/>
  <c r="A3869" i="1"/>
  <c r="B3869" i="1"/>
  <c r="A3870" i="1"/>
  <c r="B3870" i="1"/>
  <c r="A3871" i="1"/>
  <c r="B3871" i="1"/>
  <c r="A3872" i="1"/>
  <c r="B3872" i="1"/>
  <c r="A3873" i="1"/>
  <c r="B3873" i="1"/>
  <c r="A3874" i="1"/>
  <c r="B3874" i="1"/>
  <c r="A3875" i="1"/>
  <c r="B3875" i="1"/>
  <c r="A3876" i="1"/>
  <c r="B3876" i="1"/>
  <c r="A3877" i="1"/>
  <c r="B3877" i="1"/>
  <c r="A3878" i="1"/>
  <c r="B3878" i="1"/>
  <c r="A3879" i="1"/>
  <c r="B3879" i="1"/>
  <c r="A3880" i="1"/>
  <c r="B3880" i="1"/>
  <c r="A3881" i="1"/>
  <c r="B3881" i="1"/>
  <c r="A3882" i="1"/>
  <c r="B3882" i="1"/>
  <c r="A3883" i="1"/>
  <c r="B3883" i="1"/>
  <c r="A3884" i="1"/>
  <c r="B3884" i="1"/>
  <c r="A3885" i="1"/>
  <c r="B3885" i="1"/>
  <c r="A3886" i="1"/>
  <c r="B3886" i="1"/>
  <c r="A3887" i="1"/>
  <c r="B3887" i="1"/>
  <c r="A3888" i="1"/>
  <c r="B3888" i="1"/>
  <c r="A3889" i="1"/>
  <c r="B3889" i="1"/>
  <c r="A3890" i="1"/>
  <c r="B3890" i="1"/>
  <c r="A3891" i="1"/>
  <c r="B3891" i="1"/>
  <c r="A3892" i="1"/>
  <c r="B3892" i="1"/>
  <c r="A3893" i="1"/>
  <c r="B3893" i="1"/>
  <c r="A3894" i="1"/>
  <c r="B3894" i="1"/>
  <c r="A3895" i="1"/>
  <c r="B3895" i="1"/>
  <c r="A3896" i="1"/>
  <c r="B3896" i="1"/>
  <c r="A3897" i="1"/>
  <c r="B3897" i="1"/>
  <c r="A3898" i="1"/>
  <c r="B3898" i="1"/>
  <c r="A3899" i="1"/>
  <c r="B3899" i="1"/>
  <c r="A3900" i="1"/>
  <c r="B3900" i="1"/>
  <c r="A3901" i="1"/>
  <c r="B3901" i="1"/>
  <c r="A3902" i="1"/>
  <c r="B3902" i="1"/>
  <c r="A3903" i="1"/>
  <c r="B3903" i="1"/>
  <c r="A3904" i="1"/>
  <c r="B3904" i="1"/>
  <c r="A3905" i="1"/>
  <c r="B3905" i="1"/>
  <c r="A3906" i="1"/>
  <c r="B3906" i="1"/>
  <c r="A3907" i="1"/>
  <c r="B3907" i="1"/>
  <c r="A3908" i="1"/>
  <c r="B3908" i="1"/>
  <c r="A3909" i="1"/>
  <c r="B3909" i="1"/>
  <c r="A3910" i="1"/>
  <c r="B3910" i="1"/>
  <c r="A3911" i="1"/>
  <c r="B3911" i="1"/>
  <c r="A3912" i="1"/>
  <c r="B3912" i="1"/>
  <c r="A3913" i="1"/>
  <c r="B3913" i="1"/>
  <c r="A3914" i="1"/>
  <c r="B3914" i="1"/>
  <c r="A3915" i="1"/>
  <c r="B3915" i="1"/>
  <c r="A3916" i="1"/>
  <c r="B3916" i="1"/>
  <c r="A3917" i="1"/>
  <c r="B3917" i="1"/>
  <c r="A3918" i="1"/>
  <c r="B3918" i="1"/>
  <c r="A3919" i="1"/>
  <c r="B3919" i="1"/>
  <c r="A3920" i="1"/>
  <c r="B3920" i="1"/>
  <c r="A3921" i="1"/>
  <c r="B3921" i="1"/>
  <c r="A3922" i="1"/>
  <c r="B3922" i="1"/>
  <c r="A3923" i="1"/>
  <c r="B3923" i="1"/>
  <c r="A3924" i="1"/>
  <c r="B3924" i="1"/>
  <c r="A3925" i="1"/>
  <c r="B3925" i="1"/>
  <c r="A3926" i="1"/>
  <c r="B3926" i="1"/>
  <c r="A3927" i="1"/>
  <c r="B3927" i="1"/>
  <c r="A3928" i="1"/>
  <c r="B3928" i="1"/>
  <c r="A3929" i="1"/>
  <c r="B3929" i="1"/>
  <c r="A3930" i="1"/>
  <c r="B3930" i="1"/>
  <c r="A3931" i="1"/>
  <c r="B3931" i="1"/>
  <c r="A3932" i="1"/>
  <c r="B3932" i="1"/>
  <c r="A3933" i="1"/>
  <c r="B3933" i="1"/>
  <c r="A3934" i="1"/>
  <c r="B3934" i="1"/>
  <c r="A3935" i="1"/>
  <c r="B3935" i="1"/>
  <c r="A3936" i="1"/>
  <c r="B3936" i="1"/>
  <c r="A3937" i="1"/>
  <c r="B3937" i="1"/>
  <c r="A3938" i="1"/>
  <c r="B3938" i="1"/>
  <c r="A3939" i="1"/>
  <c r="B3939" i="1"/>
  <c r="A3940" i="1"/>
  <c r="B3940" i="1"/>
  <c r="A3941" i="1"/>
  <c r="B3941" i="1"/>
  <c r="A3942" i="1"/>
  <c r="B3942" i="1"/>
  <c r="A3943" i="1"/>
  <c r="B3943" i="1"/>
  <c r="A3944" i="1"/>
  <c r="B3944" i="1"/>
  <c r="A3945" i="1"/>
  <c r="B3945" i="1"/>
  <c r="A3946" i="1"/>
  <c r="B3946" i="1"/>
  <c r="A3947" i="1"/>
  <c r="B3947" i="1"/>
  <c r="A3948" i="1"/>
  <c r="B3948" i="1"/>
  <c r="A3949" i="1"/>
  <c r="B3949" i="1"/>
  <c r="A3950" i="1"/>
  <c r="B3950" i="1"/>
  <c r="A3951" i="1"/>
  <c r="B3951" i="1"/>
  <c r="A3952" i="1"/>
  <c r="B3952" i="1"/>
  <c r="A3953" i="1"/>
  <c r="B3953" i="1"/>
  <c r="A3954" i="1"/>
  <c r="B3954" i="1"/>
  <c r="A3955" i="1"/>
  <c r="B3955" i="1"/>
  <c r="A3956" i="1"/>
  <c r="B3956" i="1"/>
  <c r="A3957" i="1"/>
  <c r="B3957" i="1"/>
  <c r="A3958" i="1"/>
  <c r="B3958" i="1"/>
  <c r="A3959" i="1"/>
  <c r="B3959" i="1"/>
  <c r="A3960" i="1"/>
  <c r="B3960" i="1"/>
  <c r="A3961" i="1"/>
  <c r="B3961" i="1"/>
  <c r="A3962" i="1"/>
  <c r="B3962" i="1"/>
  <c r="A3963" i="1"/>
  <c r="B3963" i="1"/>
  <c r="A3964" i="1"/>
  <c r="B3964" i="1"/>
  <c r="A3965" i="1"/>
  <c r="B3965" i="1"/>
  <c r="A3966" i="1"/>
  <c r="B3966" i="1"/>
  <c r="A3967" i="1"/>
  <c r="B3967" i="1"/>
  <c r="A3968" i="1"/>
  <c r="B3968" i="1"/>
  <c r="A3969" i="1"/>
  <c r="B3969" i="1"/>
  <c r="A3970" i="1"/>
  <c r="B3970" i="1"/>
  <c r="A3971" i="1"/>
  <c r="B3971" i="1"/>
  <c r="A3972" i="1"/>
  <c r="B3972" i="1"/>
  <c r="A3973" i="1"/>
  <c r="B3973" i="1"/>
  <c r="A3974" i="1"/>
  <c r="B3974" i="1"/>
  <c r="A3975" i="1"/>
  <c r="B3975" i="1"/>
  <c r="A3976" i="1"/>
  <c r="B3976" i="1"/>
  <c r="A3977" i="1"/>
  <c r="B3977" i="1"/>
  <c r="A3978" i="1"/>
  <c r="B3978" i="1"/>
  <c r="A3979" i="1"/>
  <c r="B3979" i="1"/>
  <c r="A3980" i="1"/>
  <c r="B3980" i="1"/>
  <c r="A3981" i="1"/>
  <c r="B3981" i="1"/>
  <c r="A3982" i="1"/>
  <c r="B3982" i="1"/>
  <c r="A3983" i="1"/>
  <c r="B3983" i="1"/>
  <c r="A3984" i="1"/>
  <c r="B3984" i="1"/>
  <c r="A3985" i="1"/>
  <c r="B3985" i="1"/>
  <c r="A3986" i="1"/>
  <c r="B3986" i="1"/>
  <c r="A3987" i="1"/>
  <c r="B3987" i="1"/>
  <c r="A3988" i="1"/>
  <c r="B3988" i="1"/>
  <c r="A3989" i="1"/>
  <c r="B3989" i="1"/>
  <c r="A3990" i="1"/>
  <c r="B3990" i="1"/>
  <c r="A3991" i="1"/>
  <c r="B3991" i="1"/>
  <c r="A3992" i="1"/>
  <c r="B3992" i="1"/>
  <c r="A3993" i="1"/>
  <c r="B3993" i="1"/>
  <c r="A3994" i="1"/>
  <c r="B3994" i="1"/>
  <c r="A3995" i="1"/>
  <c r="B3995" i="1"/>
  <c r="A3996" i="1"/>
  <c r="B3996" i="1"/>
  <c r="A3997" i="1"/>
  <c r="B3997" i="1"/>
  <c r="A3998" i="1"/>
  <c r="B3998" i="1"/>
  <c r="A3999" i="1"/>
  <c r="B3999" i="1"/>
  <c r="A4000" i="1"/>
  <c r="B4000" i="1"/>
  <c r="A4001" i="1"/>
  <c r="B4001" i="1"/>
  <c r="A4002" i="1"/>
  <c r="B4002" i="1"/>
  <c r="A4003" i="1"/>
  <c r="B4003" i="1"/>
  <c r="A4004" i="1"/>
  <c r="B4004" i="1"/>
  <c r="A4005" i="1"/>
  <c r="B4005" i="1"/>
  <c r="A4006" i="1"/>
  <c r="B4006" i="1"/>
  <c r="A4007" i="1"/>
  <c r="B4007" i="1"/>
  <c r="A4008" i="1"/>
  <c r="B4008" i="1"/>
  <c r="A4009" i="1"/>
  <c r="B4009" i="1"/>
  <c r="A4010" i="1"/>
  <c r="B4010" i="1"/>
  <c r="A4011" i="1"/>
  <c r="B4011" i="1"/>
  <c r="A4012" i="1"/>
  <c r="B4012" i="1"/>
  <c r="A4013" i="1"/>
  <c r="B4013" i="1"/>
  <c r="A4014" i="1"/>
  <c r="B4014" i="1"/>
  <c r="A4015" i="1"/>
  <c r="B4015" i="1"/>
  <c r="A4016" i="1"/>
  <c r="B4016" i="1"/>
  <c r="B4017" i="1"/>
  <c r="A4018" i="1"/>
  <c r="B4018" i="1"/>
  <c r="A4019" i="1"/>
  <c r="B4019" i="1"/>
  <c r="A4020" i="1"/>
  <c r="B4020" i="1"/>
  <c r="A4021" i="1"/>
  <c r="B4021" i="1"/>
  <c r="A4022" i="1"/>
  <c r="B4022" i="1"/>
  <c r="A4023" i="1"/>
  <c r="B4023" i="1"/>
  <c r="A4024" i="1"/>
  <c r="B4024" i="1"/>
  <c r="A4025" i="1"/>
  <c r="B4025" i="1"/>
  <c r="A4026" i="1"/>
  <c r="B4026" i="1"/>
  <c r="A4027" i="1"/>
  <c r="B4027" i="1"/>
  <c r="A4028" i="1"/>
  <c r="B4028" i="1"/>
  <c r="A4029" i="1"/>
  <c r="B4029" i="1"/>
  <c r="A4030" i="1"/>
  <c r="B4030" i="1"/>
  <c r="A4031" i="1"/>
  <c r="B4031" i="1"/>
  <c r="A4032" i="1"/>
  <c r="B4032" i="1"/>
  <c r="A4033" i="1"/>
  <c r="B4033" i="1"/>
  <c r="A4034" i="1"/>
  <c r="B4034" i="1"/>
  <c r="A4035" i="1"/>
  <c r="B4035" i="1"/>
  <c r="A4036" i="1"/>
  <c r="B4036" i="1"/>
  <c r="A4037" i="1"/>
  <c r="B4037" i="1"/>
  <c r="A4038" i="1"/>
  <c r="B4038" i="1"/>
  <c r="B4039" i="1"/>
  <c r="A4040" i="1"/>
  <c r="B4040" i="1"/>
  <c r="A4041" i="1"/>
  <c r="B4041" i="1"/>
  <c r="A4042" i="1"/>
  <c r="B4042" i="1"/>
  <c r="A4043" i="1"/>
  <c r="B4043" i="1"/>
  <c r="A4044" i="1"/>
  <c r="B4044" i="1"/>
  <c r="A4045" i="1"/>
  <c r="B4045" i="1"/>
  <c r="A4046" i="1"/>
  <c r="B4046" i="1"/>
  <c r="A4047" i="1"/>
  <c r="B4047" i="1"/>
  <c r="A4048" i="1"/>
  <c r="B4048" i="1"/>
  <c r="A4049" i="1"/>
  <c r="B4049" i="1"/>
  <c r="A4050" i="1"/>
  <c r="B4050" i="1"/>
  <c r="A4051" i="1"/>
  <c r="B4051" i="1"/>
  <c r="A4052" i="1"/>
  <c r="B4052" i="1"/>
  <c r="A4053" i="1"/>
  <c r="B4053" i="1"/>
  <c r="A4054" i="1"/>
  <c r="B4054" i="1"/>
  <c r="A4055" i="1"/>
  <c r="B4055" i="1"/>
  <c r="A4056" i="1"/>
  <c r="B4056" i="1"/>
  <c r="A4057" i="1"/>
  <c r="B4057" i="1"/>
  <c r="A4058" i="1"/>
  <c r="B4058" i="1"/>
  <c r="A4059" i="1"/>
  <c r="B4059" i="1"/>
  <c r="A4060" i="1"/>
  <c r="B4060" i="1"/>
  <c r="A4061" i="1"/>
  <c r="B4061" i="1"/>
  <c r="A4062" i="1"/>
  <c r="B4062" i="1"/>
  <c r="A4063" i="1"/>
  <c r="B4063" i="1"/>
  <c r="A4064" i="1"/>
  <c r="B4064" i="1"/>
  <c r="A4065" i="1"/>
  <c r="B4065" i="1"/>
  <c r="A4066" i="1"/>
  <c r="B4066" i="1"/>
  <c r="A4067" i="1"/>
  <c r="B4067" i="1"/>
  <c r="A4068" i="1"/>
  <c r="B4068" i="1"/>
  <c r="B4069" i="1"/>
  <c r="A4070" i="1"/>
  <c r="B4070" i="1"/>
  <c r="A4071" i="1"/>
  <c r="B4071" i="1"/>
  <c r="B4072" i="1"/>
  <c r="A4073" i="1"/>
  <c r="B4073" i="1"/>
  <c r="A4074" i="1"/>
  <c r="B4074" i="1"/>
  <c r="A4075" i="1"/>
  <c r="B4075" i="1"/>
  <c r="A4076" i="1"/>
  <c r="B4076" i="1"/>
  <c r="A4077" i="1"/>
  <c r="B4077" i="1"/>
  <c r="A4078" i="1"/>
  <c r="B4078" i="1"/>
  <c r="A4079" i="1"/>
  <c r="B4079" i="1"/>
  <c r="A4080" i="1"/>
  <c r="B4080" i="1"/>
  <c r="A4081" i="1"/>
  <c r="B4081" i="1"/>
  <c r="A4082" i="1"/>
  <c r="B4082" i="1"/>
  <c r="A4083" i="1"/>
  <c r="B4083" i="1"/>
  <c r="A4084" i="1"/>
  <c r="B4084" i="1"/>
  <c r="A4085" i="1"/>
  <c r="B4085" i="1"/>
  <c r="A4086" i="1"/>
  <c r="B4086" i="1"/>
  <c r="A4087" i="1"/>
  <c r="B4087" i="1"/>
  <c r="A4088" i="1"/>
  <c r="B4088" i="1"/>
  <c r="A4089" i="1"/>
  <c r="B4089" i="1"/>
  <c r="A4090" i="1"/>
  <c r="B4090" i="1"/>
  <c r="A4091" i="1"/>
  <c r="B4091" i="1"/>
  <c r="A4092" i="1"/>
  <c r="B4092" i="1"/>
  <c r="A4093" i="1"/>
  <c r="B4093" i="1"/>
  <c r="A4094" i="1"/>
  <c r="B4094" i="1"/>
  <c r="A4095" i="1"/>
  <c r="B4095" i="1"/>
  <c r="A4096" i="1"/>
  <c r="B4096" i="1"/>
  <c r="A4097" i="1"/>
  <c r="B4097" i="1"/>
  <c r="A4098" i="1"/>
  <c r="B4098" i="1"/>
  <c r="A4099" i="1"/>
  <c r="B4099" i="1"/>
  <c r="A4100" i="1"/>
  <c r="B4100" i="1"/>
  <c r="A4101" i="1"/>
  <c r="B4101" i="1"/>
  <c r="A4102" i="1"/>
  <c r="B4102" i="1"/>
  <c r="A4103" i="1"/>
  <c r="B4103" i="1"/>
  <c r="A4104" i="1"/>
  <c r="B4104" i="1"/>
  <c r="A4105" i="1"/>
  <c r="B4105" i="1"/>
  <c r="A4106" i="1"/>
  <c r="B4106" i="1"/>
  <c r="A4107" i="1"/>
  <c r="B4107" i="1"/>
  <c r="A4108" i="1"/>
  <c r="B4108" i="1"/>
  <c r="A4109" i="1"/>
  <c r="B4109" i="1"/>
  <c r="A4110" i="1"/>
  <c r="B4110" i="1"/>
  <c r="A4111" i="1"/>
  <c r="B4111" i="1"/>
  <c r="A4112" i="1"/>
  <c r="B4112" i="1"/>
  <c r="A4113" i="1"/>
  <c r="B4113" i="1"/>
  <c r="A4114" i="1"/>
  <c r="B4114" i="1"/>
  <c r="A4115" i="1"/>
  <c r="B4115" i="1"/>
  <c r="A4116" i="1"/>
  <c r="B4116" i="1"/>
  <c r="A4117" i="1"/>
  <c r="B4117" i="1"/>
  <c r="A4118" i="1"/>
  <c r="B4118" i="1"/>
  <c r="A4119" i="1"/>
  <c r="B4119" i="1"/>
  <c r="A4120" i="1"/>
  <c r="B4120" i="1"/>
  <c r="A4121" i="1"/>
  <c r="B4121" i="1"/>
  <c r="A4122" i="1"/>
  <c r="B4122" i="1"/>
  <c r="A4123" i="1"/>
  <c r="B4123" i="1"/>
  <c r="A4124" i="1"/>
  <c r="B4124" i="1"/>
  <c r="A4125" i="1"/>
  <c r="B4125" i="1"/>
  <c r="A4126" i="1"/>
  <c r="B4126" i="1"/>
  <c r="A4127" i="1"/>
  <c r="B4127" i="1"/>
  <c r="A4128" i="1"/>
  <c r="B4128" i="1"/>
  <c r="A4129" i="1"/>
  <c r="B4129" i="1"/>
  <c r="A4130" i="1"/>
  <c r="B4130" i="1"/>
  <c r="A4131" i="1"/>
  <c r="B4131" i="1"/>
  <c r="A4132" i="1"/>
  <c r="B4132" i="1"/>
  <c r="A4133" i="1"/>
  <c r="B4133" i="1"/>
  <c r="A4134" i="1"/>
  <c r="B4134" i="1"/>
  <c r="A4135" i="1"/>
  <c r="B4135" i="1"/>
  <c r="A4136" i="1"/>
  <c r="B4136" i="1"/>
  <c r="A4137" i="1"/>
  <c r="B4137" i="1"/>
  <c r="A4138" i="1"/>
  <c r="B4138" i="1"/>
  <c r="A4139" i="1"/>
  <c r="B4139" i="1"/>
  <c r="A4140" i="1"/>
  <c r="B4140" i="1"/>
  <c r="A4141" i="1"/>
  <c r="B4141" i="1"/>
  <c r="A4142" i="1"/>
  <c r="B4142" i="1"/>
  <c r="A4143" i="1"/>
  <c r="B4143" i="1"/>
  <c r="A4144" i="1"/>
  <c r="B4144" i="1"/>
  <c r="A4145" i="1"/>
  <c r="B4145" i="1"/>
  <c r="A4146" i="1"/>
  <c r="B4146" i="1"/>
  <c r="A4147" i="1"/>
  <c r="B4147" i="1"/>
  <c r="A4148" i="1"/>
  <c r="B4148" i="1"/>
  <c r="A4149" i="1"/>
  <c r="B4149" i="1"/>
  <c r="A4150" i="1"/>
  <c r="B4150" i="1"/>
  <c r="A4151" i="1"/>
  <c r="B4151" i="1"/>
  <c r="A4152" i="1"/>
  <c r="B4152" i="1"/>
  <c r="A4153" i="1"/>
  <c r="B4153" i="1"/>
  <c r="A4154" i="1"/>
  <c r="B4154" i="1"/>
  <c r="A4155" i="1"/>
  <c r="B4155" i="1"/>
  <c r="A4156" i="1"/>
  <c r="B4156" i="1"/>
  <c r="A4157" i="1"/>
  <c r="B4157" i="1"/>
  <c r="A4158" i="1"/>
  <c r="B4158" i="1"/>
  <c r="A4159" i="1"/>
  <c r="B4159" i="1"/>
  <c r="A4160" i="1"/>
  <c r="B4160" i="1"/>
  <c r="A4161" i="1"/>
  <c r="B4161" i="1"/>
  <c r="A4162" i="1"/>
  <c r="B4162" i="1"/>
  <c r="A4163" i="1"/>
  <c r="B4163" i="1"/>
  <c r="A4164" i="1"/>
  <c r="B4164" i="1"/>
  <c r="A4165" i="1"/>
  <c r="B4165" i="1"/>
  <c r="A4166" i="1"/>
  <c r="B4166" i="1"/>
  <c r="A4167" i="1"/>
  <c r="B4167" i="1"/>
  <c r="A4168" i="1"/>
  <c r="B4168" i="1"/>
  <c r="A4169" i="1"/>
  <c r="B4169" i="1"/>
  <c r="A4170" i="1"/>
  <c r="B4170" i="1"/>
  <c r="A4171" i="1"/>
  <c r="B4171" i="1"/>
  <c r="A4172" i="1"/>
  <c r="B4172" i="1"/>
  <c r="A4173" i="1"/>
  <c r="B4173" i="1"/>
  <c r="A4174" i="1"/>
  <c r="B4174" i="1"/>
  <c r="A4175" i="1"/>
  <c r="B4175" i="1"/>
  <c r="A4176" i="1"/>
  <c r="B4176" i="1"/>
  <c r="A4177" i="1"/>
  <c r="B4177" i="1"/>
  <c r="A4178" i="1"/>
  <c r="B4178" i="1"/>
  <c r="A4179" i="1"/>
  <c r="B4179" i="1"/>
  <c r="A4180" i="1"/>
  <c r="B4180" i="1"/>
  <c r="A4181" i="1"/>
  <c r="B4181" i="1"/>
  <c r="A4182" i="1"/>
  <c r="B4182" i="1"/>
  <c r="A4183" i="1"/>
  <c r="B4183" i="1"/>
  <c r="A4184" i="1"/>
  <c r="B4184" i="1"/>
  <c r="A4185" i="1"/>
  <c r="B4185" i="1"/>
  <c r="A4186" i="1"/>
  <c r="B4186" i="1"/>
  <c r="A4187" i="1"/>
  <c r="B4187" i="1"/>
  <c r="A4188" i="1"/>
  <c r="B4188" i="1"/>
  <c r="A4189" i="1"/>
  <c r="B4189" i="1"/>
  <c r="A4190" i="1"/>
  <c r="B4190" i="1"/>
  <c r="A4191" i="1"/>
  <c r="B4191" i="1"/>
  <c r="A4192" i="1"/>
  <c r="B4192" i="1"/>
  <c r="A4193" i="1"/>
  <c r="B4193" i="1"/>
  <c r="A4194" i="1"/>
  <c r="B4194" i="1"/>
  <c r="A4195" i="1"/>
  <c r="B4195" i="1"/>
  <c r="A4196" i="1"/>
  <c r="B4196" i="1"/>
  <c r="A4197" i="1"/>
  <c r="B4197" i="1"/>
  <c r="A4198" i="1"/>
  <c r="B4198" i="1"/>
  <c r="A4199" i="1"/>
  <c r="B4199" i="1"/>
  <c r="A4200" i="1"/>
  <c r="B4200" i="1"/>
  <c r="A4201" i="1"/>
  <c r="B4201" i="1"/>
  <c r="A4202" i="1"/>
  <c r="B4202" i="1"/>
  <c r="A4203" i="1"/>
  <c r="B4203" i="1"/>
  <c r="A4204" i="1"/>
  <c r="B4204" i="1"/>
  <c r="A4205" i="1"/>
  <c r="B4205" i="1"/>
  <c r="A4206" i="1"/>
  <c r="B4206" i="1"/>
  <c r="A4207" i="1"/>
  <c r="B4207" i="1"/>
  <c r="A4208" i="1"/>
  <c r="B4208" i="1"/>
  <c r="A4209" i="1"/>
  <c r="B4209" i="1"/>
  <c r="A4210" i="1"/>
  <c r="B4210" i="1"/>
  <c r="A4211" i="1"/>
  <c r="B4211" i="1"/>
  <c r="A4212" i="1"/>
  <c r="B4212" i="1"/>
  <c r="A4213" i="1"/>
  <c r="B4213" i="1"/>
  <c r="A4214" i="1"/>
  <c r="B4214" i="1"/>
  <c r="A4215" i="1"/>
  <c r="B4215" i="1"/>
  <c r="A4216" i="1"/>
  <c r="B4216" i="1"/>
  <c r="A4217" i="1"/>
  <c r="B4217" i="1"/>
  <c r="A4218" i="1"/>
  <c r="B4218" i="1"/>
  <c r="A4219" i="1"/>
  <c r="B4219" i="1"/>
  <c r="A4220" i="1"/>
  <c r="B4220" i="1"/>
  <c r="A4221" i="1"/>
  <c r="B4221" i="1"/>
  <c r="A4222" i="1"/>
  <c r="B4222" i="1"/>
  <c r="A4223" i="1"/>
  <c r="B4223" i="1"/>
  <c r="A4224" i="1"/>
  <c r="B4224" i="1"/>
  <c r="A4225" i="1"/>
  <c r="B4225" i="1"/>
  <c r="A4226" i="1"/>
  <c r="B4226" i="1"/>
  <c r="A4227" i="1"/>
  <c r="B4227" i="1"/>
  <c r="A4228" i="1"/>
  <c r="B4228" i="1"/>
  <c r="A4229" i="1"/>
  <c r="B4229" i="1"/>
  <c r="A4230" i="1"/>
  <c r="B4230" i="1"/>
  <c r="A4231" i="1"/>
  <c r="B4231" i="1"/>
  <c r="A4232" i="1"/>
  <c r="B4232" i="1"/>
  <c r="A4233" i="1"/>
  <c r="B4233" i="1"/>
  <c r="A4234" i="1"/>
  <c r="B4234" i="1"/>
  <c r="A4235" i="1"/>
  <c r="B4235" i="1"/>
  <c r="A4236" i="1"/>
  <c r="B4236" i="1"/>
  <c r="A4237" i="1"/>
  <c r="B4237" i="1"/>
  <c r="A4238" i="1"/>
  <c r="B4238" i="1"/>
  <c r="A4239" i="1"/>
  <c r="B4239" i="1"/>
  <c r="A4240" i="1"/>
  <c r="B4240" i="1"/>
  <c r="A4241" i="1"/>
  <c r="B4241" i="1"/>
  <c r="A4242" i="1"/>
  <c r="B4242" i="1"/>
  <c r="A4243" i="1"/>
  <c r="B4243" i="1"/>
  <c r="A4244" i="1"/>
  <c r="B4244" i="1"/>
  <c r="A4245" i="1"/>
  <c r="B4245" i="1"/>
  <c r="A4246" i="1"/>
  <c r="B4246" i="1"/>
  <c r="A4247" i="1"/>
  <c r="B4247" i="1"/>
  <c r="A4248" i="1"/>
  <c r="B4248" i="1"/>
  <c r="A4249" i="1"/>
  <c r="B4249" i="1"/>
  <c r="A4250" i="1"/>
  <c r="B4250" i="1"/>
  <c r="A4251" i="1"/>
  <c r="B4251" i="1"/>
  <c r="A4252" i="1"/>
  <c r="B4252" i="1"/>
  <c r="A4253" i="1"/>
  <c r="B4253" i="1"/>
  <c r="A4254" i="1"/>
  <c r="B4254" i="1"/>
  <c r="A4255" i="1"/>
  <c r="B4255" i="1"/>
  <c r="A4256" i="1"/>
  <c r="B4256" i="1"/>
  <c r="A4257" i="1"/>
  <c r="B4257" i="1"/>
  <c r="A4258" i="1"/>
  <c r="B4258" i="1"/>
  <c r="A4259" i="1"/>
  <c r="B4259" i="1"/>
  <c r="A4260" i="1"/>
  <c r="B4260" i="1"/>
  <c r="A4261" i="1"/>
  <c r="B4261" i="1"/>
  <c r="A4262" i="1"/>
  <c r="B4262" i="1"/>
  <c r="A4263" i="1"/>
  <c r="B4263" i="1"/>
  <c r="A4264" i="1"/>
  <c r="B4264" i="1"/>
  <c r="A4265" i="1"/>
  <c r="B4265" i="1"/>
  <c r="A4266" i="1"/>
  <c r="B4266" i="1"/>
  <c r="A4267" i="1"/>
  <c r="B4267" i="1"/>
  <c r="A4268" i="1"/>
  <c r="B4268" i="1"/>
  <c r="A4269" i="1"/>
  <c r="B4269" i="1"/>
  <c r="A4270" i="1"/>
  <c r="B4270" i="1"/>
  <c r="A4271" i="1"/>
  <c r="B4271" i="1"/>
  <c r="A4272" i="1"/>
  <c r="B4272" i="1"/>
  <c r="A4273" i="1"/>
  <c r="B4273" i="1"/>
  <c r="A4274" i="1"/>
  <c r="B4274" i="1"/>
  <c r="A4275" i="1"/>
  <c r="B4275" i="1"/>
  <c r="A4276" i="1"/>
  <c r="B4276" i="1"/>
  <c r="A4277" i="1"/>
  <c r="B4277" i="1"/>
  <c r="A4278" i="1"/>
  <c r="B4278" i="1"/>
  <c r="A4279" i="1"/>
  <c r="B4279" i="1"/>
  <c r="A4280" i="1"/>
  <c r="B4280" i="1"/>
  <c r="A4281" i="1"/>
  <c r="B4281" i="1"/>
  <c r="A4282" i="1"/>
  <c r="B4282" i="1"/>
  <c r="A4283" i="1"/>
  <c r="B4283" i="1"/>
  <c r="A4284" i="1"/>
  <c r="B4284" i="1"/>
  <c r="A4285" i="1"/>
  <c r="B4285" i="1"/>
  <c r="A4286" i="1"/>
  <c r="B4286" i="1"/>
  <c r="A4287" i="1"/>
  <c r="B4287" i="1"/>
  <c r="A4288" i="1"/>
  <c r="B4288" i="1"/>
  <c r="A4289" i="1"/>
  <c r="B4289" i="1"/>
  <c r="A4290" i="1"/>
  <c r="B4290" i="1"/>
  <c r="A4291" i="1"/>
  <c r="B4291" i="1"/>
  <c r="A4292" i="1"/>
  <c r="B4292" i="1"/>
  <c r="A4293" i="1"/>
  <c r="B4293" i="1"/>
  <c r="A4294" i="1"/>
  <c r="B4294" i="1"/>
  <c r="A4295" i="1"/>
  <c r="B4295" i="1"/>
  <c r="A4296" i="1"/>
  <c r="B4296" i="1"/>
  <c r="A4297" i="1"/>
  <c r="B4297" i="1"/>
  <c r="A4298" i="1"/>
  <c r="B4298" i="1"/>
  <c r="A4299" i="1"/>
  <c r="B4299" i="1"/>
  <c r="A4300" i="1"/>
  <c r="B4300" i="1"/>
  <c r="A4301" i="1"/>
  <c r="B4301" i="1"/>
  <c r="A4302" i="1"/>
  <c r="B4302" i="1"/>
  <c r="A4303" i="1"/>
  <c r="B4303" i="1"/>
  <c r="A4304" i="1"/>
  <c r="B4304" i="1"/>
  <c r="A4305" i="1"/>
  <c r="B4305" i="1"/>
  <c r="A4306" i="1"/>
  <c r="B4306" i="1"/>
  <c r="A4307" i="1"/>
  <c r="B4307" i="1"/>
  <c r="A4308" i="1"/>
  <c r="B4308" i="1"/>
  <c r="A4309" i="1"/>
  <c r="B4309" i="1"/>
  <c r="A4310" i="1"/>
  <c r="B4310" i="1"/>
  <c r="A4311" i="1"/>
  <c r="B4311" i="1"/>
  <c r="A4312" i="1"/>
  <c r="B4312" i="1"/>
  <c r="A4313" i="1"/>
  <c r="B4313" i="1"/>
  <c r="A4314" i="1"/>
  <c r="B4314" i="1"/>
  <c r="A4315" i="1"/>
  <c r="B4315" i="1"/>
  <c r="A4316" i="1"/>
  <c r="B4316" i="1"/>
  <c r="A4317" i="1"/>
  <c r="B4317" i="1"/>
  <c r="A4318" i="1"/>
  <c r="B4318" i="1"/>
  <c r="A4319" i="1"/>
  <c r="B4319" i="1"/>
  <c r="A4320" i="1"/>
  <c r="B4320" i="1"/>
  <c r="A4321" i="1"/>
  <c r="B4321" i="1"/>
  <c r="A4322" i="1"/>
  <c r="B4322" i="1"/>
  <c r="A4323" i="1"/>
  <c r="B4323" i="1"/>
  <c r="A4324" i="1"/>
  <c r="B4324" i="1"/>
  <c r="A4325" i="1"/>
  <c r="B4325" i="1"/>
  <c r="A4326" i="1"/>
  <c r="B4326" i="1"/>
  <c r="A4327" i="1"/>
  <c r="B4327" i="1"/>
  <c r="A4328" i="1"/>
  <c r="B4328" i="1"/>
  <c r="A4329" i="1"/>
  <c r="B4329" i="1"/>
  <c r="A4330" i="1"/>
  <c r="B4330" i="1"/>
  <c r="A4331" i="1"/>
  <c r="B4331" i="1"/>
  <c r="A4332" i="1"/>
  <c r="B4332" i="1"/>
  <c r="A4333" i="1"/>
  <c r="B4333" i="1"/>
  <c r="A4334" i="1"/>
  <c r="B4334" i="1"/>
  <c r="A4335" i="1"/>
  <c r="B4335" i="1"/>
  <c r="A4336" i="1"/>
  <c r="B4336" i="1"/>
  <c r="A4337" i="1"/>
  <c r="B4337" i="1"/>
  <c r="A4338" i="1"/>
  <c r="B4338" i="1"/>
  <c r="A4339" i="1"/>
  <c r="B4339" i="1"/>
  <c r="A4340" i="1"/>
  <c r="B4340" i="1"/>
  <c r="A4341" i="1"/>
  <c r="B4341" i="1"/>
  <c r="A4342" i="1"/>
  <c r="B4342" i="1"/>
  <c r="A4343" i="1"/>
  <c r="B4343" i="1"/>
  <c r="A4344" i="1"/>
  <c r="B4344" i="1"/>
  <c r="A4345" i="1"/>
  <c r="B4345" i="1"/>
  <c r="A4346" i="1"/>
  <c r="B4346" i="1"/>
  <c r="A4347" i="1"/>
  <c r="B4347" i="1"/>
  <c r="A4348" i="1"/>
  <c r="B4348" i="1"/>
  <c r="A4349" i="1"/>
  <c r="B4349" i="1"/>
  <c r="A4350" i="1"/>
  <c r="B4350" i="1"/>
  <c r="A4351" i="1"/>
  <c r="B4351" i="1"/>
  <c r="A4352" i="1"/>
  <c r="B4352" i="1"/>
  <c r="A4353" i="1"/>
  <c r="B4353" i="1"/>
  <c r="A4354" i="1"/>
  <c r="B4354" i="1"/>
  <c r="A4355" i="1"/>
  <c r="B4355" i="1"/>
  <c r="A4356" i="1"/>
  <c r="B4356" i="1"/>
  <c r="A4357" i="1"/>
  <c r="B4357" i="1"/>
  <c r="A4358" i="1"/>
  <c r="B4358" i="1"/>
  <c r="A4359" i="1"/>
  <c r="B4359" i="1"/>
  <c r="A4360" i="1"/>
  <c r="B4360" i="1"/>
  <c r="A4361" i="1"/>
  <c r="B4361" i="1"/>
  <c r="A4362" i="1"/>
  <c r="B4362" i="1"/>
  <c r="A4363" i="1"/>
  <c r="B4363" i="1"/>
  <c r="A4364" i="1"/>
  <c r="B4364" i="1"/>
  <c r="A4365" i="1"/>
  <c r="B4365" i="1"/>
  <c r="A4366" i="1"/>
  <c r="B4366" i="1"/>
  <c r="A4367" i="1"/>
  <c r="B4367" i="1"/>
  <c r="A4368" i="1"/>
  <c r="B4368" i="1"/>
  <c r="A4369" i="1"/>
  <c r="B4369" i="1"/>
  <c r="A4370" i="1"/>
  <c r="B4370" i="1"/>
  <c r="A4371" i="1"/>
  <c r="B4371" i="1"/>
  <c r="A4372" i="1"/>
  <c r="B4372" i="1"/>
  <c r="A4373" i="1"/>
  <c r="B4373" i="1"/>
  <c r="A4374" i="1"/>
  <c r="B4374" i="1"/>
  <c r="A4375" i="1"/>
  <c r="B4375" i="1"/>
  <c r="A4376" i="1"/>
  <c r="B4376" i="1"/>
  <c r="A4377" i="1"/>
  <c r="B4377" i="1"/>
  <c r="A4378" i="1"/>
  <c r="B4378" i="1"/>
  <c r="A4379" i="1"/>
  <c r="B4379" i="1"/>
  <c r="A4380" i="1"/>
  <c r="B4380" i="1"/>
  <c r="A4381" i="1"/>
  <c r="B4381" i="1"/>
  <c r="A4382" i="1"/>
  <c r="B4382" i="1"/>
  <c r="A4383" i="1"/>
  <c r="B4383" i="1"/>
  <c r="A4384" i="1"/>
  <c r="B4384" i="1"/>
  <c r="A4385" i="1"/>
  <c r="B4385" i="1"/>
  <c r="A4386" i="1"/>
  <c r="B4386" i="1"/>
  <c r="A4387" i="1"/>
  <c r="B4387" i="1"/>
  <c r="A4388" i="1"/>
  <c r="B4388" i="1"/>
  <c r="A4389" i="1"/>
  <c r="B4389" i="1"/>
  <c r="A4390" i="1"/>
  <c r="B4390" i="1"/>
  <c r="A4391" i="1"/>
  <c r="B4391" i="1"/>
  <c r="A4392" i="1"/>
  <c r="B4392" i="1"/>
  <c r="A4393" i="1"/>
  <c r="B4393" i="1"/>
  <c r="A4394" i="1"/>
  <c r="B4394" i="1"/>
  <c r="A4395" i="1"/>
  <c r="B4395" i="1"/>
  <c r="A4396" i="1"/>
  <c r="B4396" i="1"/>
  <c r="A4397" i="1"/>
  <c r="B4397" i="1"/>
  <c r="A4398" i="1"/>
  <c r="B4398" i="1"/>
  <c r="A4399" i="1"/>
  <c r="B4399" i="1"/>
  <c r="A4400" i="1"/>
  <c r="B4400" i="1"/>
  <c r="A4401" i="1"/>
  <c r="B4401" i="1"/>
  <c r="A4402" i="1"/>
  <c r="B4402" i="1"/>
  <c r="A4403" i="1"/>
  <c r="B4403" i="1"/>
  <c r="A4404" i="1"/>
  <c r="B4404" i="1"/>
  <c r="A4405" i="1"/>
  <c r="B4405" i="1"/>
  <c r="A4406" i="1"/>
  <c r="B4406" i="1"/>
  <c r="A4407" i="1"/>
  <c r="B4407" i="1"/>
  <c r="A4408" i="1"/>
  <c r="B4408" i="1"/>
  <c r="A4409" i="1"/>
  <c r="B4409" i="1"/>
  <c r="A4410" i="1"/>
  <c r="B4410" i="1"/>
  <c r="A4411" i="1"/>
  <c r="B4411" i="1"/>
  <c r="A4412" i="1"/>
  <c r="B4412" i="1"/>
  <c r="A4413" i="1"/>
  <c r="B4413" i="1"/>
  <c r="A4414" i="1"/>
  <c r="B4414" i="1"/>
  <c r="A4415" i="1"/>
  <c r="B4415" i="1"/>
  <c r="A4416" i="1"/>
  <c r="B4416" i="1"/>
  <c r="A4417" i="1"/>
  <c r="B4417" i="1"/>
  <c r="A4418" i="1"/>
  <c r="B4418" i="1"/>
  <c r="A4419" i="1"/>
  <c r="B4419" i="1"/>
  <c r="A4420" i="1"/>
  <c r="B4420" i="1"/>
  <c r="A4421" i="1"/>
  <c r="B4421" i="1"/>
  <c r="A4422" i="1"/>
  <c r="B4422" i="1"/>
  <c r="A4423" i="1"/>
  <c r="B4423" i="1"/>
  <c r="A4424" i="1"/>
  <c r="B4424" i="1"/>
  <c r="A4425" i="1"/>
  <c r="B4425" i="1"/>
  <c r="A4426" i="1"/>
  <c r="B4426" i="1"/>
  <c r="A4427" i="1"/>
  <c r="B4427" i="1"/>
  <c r="A4428" i="1"/>
  <c r="B4428" i="1"/>
  <c r="A4429" i="1"/>
  <c r="B4429" i="1"/>
  <c r="A4430" i="1"/>
  <c r="B4430" i="1"/>
  <c r="A4431" i="1"/>
  <c r="B4431" i="1"/>
  <c r="A4432" i="1"/>
  <c r="B4432" i="1"/>
  <c r="A4433" i="1"/>
  <c r="B4433" i="1"/>
  <c r="A4434" i="1"/>
  <c r="B4434" i="1"/>
  <c r="A4435" i="1"/>
  <c r="B4435" i="1"/>
  <c r="A4436" i="1"/>
  <c r="B4436" i="1"/>
  <c r="A4437" i="1"/>
  <c r="B4437" i="1"/>
  <c r="A4438" i="1"/>
  <c r="B4438" i="1"/>
  <c r="A4439" i="1"/>
  <c r="B4439" i="1"/>
  <c r="A4440" i="1"/>
  <c r="B4440" i="1"/>
  <c r="A4441" i="1"/>
  <c r="B4441" i="1"/>
  <c r="A4442" i="1"/>
  <c r="B4442" i="1"/>
  <c r="A4443" i="1"/>
  <c r="B4443" i="1"/>
  <c r="A4444" i="1"/>
  <c r="B4444" i="1"/>
  <c r="A4445" i="1"/>
  <c r="B4445" i="1"/>
  <c r="A4446" i="1"/>
  <c r="B4446" i="1"/>
  <c r="A4447" i="1"/>
  <c r="B4447" i="1"/>
  <c r="A4448" i="1"/>
  <c r="B4448" i="1"/>
  <c r="A4449" i="1"/>
  <c r="B4449" i="1"/>
  <c r="A4450" i="1"/>
  <c r="B4450" i="1"/>
  <c r="A4451" i="1"/>
  <c r="B4451" i="1"/>
  <c r="A4452" i="1"/>
  <c r="B4452" i="1"/>
  <c r="A4453" i="1"/>
  <c r="B4453" i="1"/>
  <c r="A4454" i="1"/>
  <c r="B4454" i="1"/>
  <c r="A4455" i="1"/>
  <c r="B4455" i="1"/>
  <c r="A4456" i="1"/>
  <c r="B4456" i="1"/>
  <c r="A4457" i="1"/>
  <c r="B4457" i="1"/>
  <c r="A4458" i="1"/>
  <c r="B4458" i="1"/>
  <c r="A4459" i="1"/>
  <c r="B4459" i="1"/>
  <c r="A4460" i="1"/>
  <c r="B4460" i="1"/>
  <c r="A4461" i="1"/>
  <c r="B4461" i="1"/>
  <c r="A4462" i="1"/>
  <c r="B4462" i="1"/>
  <c r="A4463" i="1"/>
  <c r="B4463" i="1"/>
  <c r="A4464" i="1"/>
  <c r="B4464" i="1"/>
  <c r="A4465" i="1"/>
  <c r="B4465" i="1"/>
  <c r="A4466" i="1"/>
  <c r="B4466" i="1"/>
  <c r="A4467" i="1"/>
  <c r="B4467" i="1"/>
  <c r="A4468" i="1"/>
  <c r="B4468" i="1"/>
  <c r="A4469" i="1"/>
  <c r="B4469" i="1"/>
  <c r="A4470" i="1"/>
  <c r="B4470" i="1"/>
  <c r="A4471" i="1"/>
  <c r="B4471" i="1"/>
  <c r="A4472" i="1"/>
  <c r="B4472" i="1"/>
  <c r="A4473" i="1"/>
  <c r="B4473" i="1"/>
  <c r="A4474" i="1"/>
  <c r="B4474" i="1"/>
  <c r="A4475" i="1"/>
  <c r="B4475" i="1"/>
  <c r="A4476" i="1"/>
  <c r="B4476" i="1"/>
  <c r="A4477" i="1"/>
  <c r="B4477" i="1"/>
  <c r="A4478" i="1"/>
  <c r="B4478" i="1"/>
  <c r="A4479" i="1"/>
  <c r="B4479" i="1"/>
  <c r="A4480" i="1"/>
  <c r="B4480" i="1"/>
  <c r="A4481" i="1"/>
  <c r="B4481" i="1"/>
  <c r="A4482" i="1"/>
  <c r="B4482" i="1"/>
  <c r="A4483" i="1"/>
  <c r="B4483" i="1"/>
  <c r="A4484" i="1"/>
  <c r="B4484" i="1"/>
  <c r="A4485" i="1"/>
  <c r="B4485" i="1"/>
  <c r="A4486" i="1"/>
  <c r="B4486" i="1"/>
  <c r="A4487" i="1"/>
  <c r="B4487" i="1"/>
  <c r="A4488" i="1"/>
  <c r="B4488" i="1"/>
  <c r="A4489" i="1"/>
  <c r="B4489" i="1"/>
  <c r="A4490" i="1"/>
  <c r="B4490" i="1"/>
  <c r="A4491" i="1"/>
  <c r="B4491" i="1"/>
  <c r="A4492" i="1"/>
  <c r="B4492" i="1"/>
  <c r="A4493" i="1"/>
  <c r="B4493" i="1"/>
  <c r="A4494" i="1"/>
  <c r="B4494" i="1"/>
  <c r="A4495" i="1"/>
  <c r="B4495" i="1"/>
  <c r="A4496" i="1"/>
  <c r="B4496" i="1"/>
  <c r="A4497" i="1"/>
  <c r="B4497" i="1"/>
  <c r="A4498" i="1"/>
  <c r="B4498" i="1"/>
  <c r="A4499" i="1"/>
  <c r="B4499" i="1"/>
  <c r="A4500" i="1"/>
  <c r="B4500" i="1"/>
  <c r="A4501" i="1"/>
  <c r="B4501" i="1"/>
  <c r="A4502" i="1"/>
  <c r="B4502" i="1"/>
  <c r="A4503" i="1"/>
  <c r="B4503" i="1"/>
  <c r="A4504" i="1"/>
  <c r="B4504" i="1"/>
  <c r="A4505" i="1"/>
  <c r="B4505" i="1"/>
  <c r="A4506" i="1"/>
  <c r="B4506" i="1"/>
  <c r="A4507" i="1"/>
  <c r="B4507" i="1"/>
  <c r="A4508" i="1"/>
  <c r="B4508" i="1"/>
  <c r="A4509" i="1"/>
  <c r="B4509" i="1"/>
  <c r="A4510" i="1"/>
  <c r="B4510" i="1"/>
  <c r="A4511" i="1"/>
  <c r="B4511" i="1"/>
  <c r="A4512" i="1"/>
  <c r="B4512" i="1"/>
  <c r="A4513" i="1"/>
  <c r="B4513" i="1"/>
  <c r="A4514" i="1"/>
  <c r="B4514" i="1"/>
  <c r="A4515" i="1"/>
  <c r="B4515" i="1"/>
  <c r="A4516" i="1"/>
  <c r="B4516" i="1"/>
  <c r="A4517" i="1"/>
  <c r="B4517" i="1"/>
  <c r="A4518" i="1"/>
  <c r="B4518" i="1"/>
  <c r="A4519" i="1"/>
  <c r="B4519" i="1"/>
  <c r="A4520" i="1"/>
  <c r="B4520" i="1"/>
  <c r="A4521" i="1"/>
  <c r="B4521" i="1"/>
  <c r="A4522" i="1"/>
  <c r="B4522" i="1"/>
  <c r="A4523" i="1"/>
  <c r="B4523" i="1"/>
  <c r="A4524" i="1"/>
  <c r="B4524" i="1"/>
  <c r="A4525" i="1"/>
  <c r="B4525" i="1"/>
  <c r="A4526" i="1"/>
  <c r="B4526" i="1"/>
  <c r="A4527" i="1"/>
  <c r="B4527" i="1"/>
  <c r="A4528" i="1"/>
  <c r="B4528" i="1"/>
  <c r="A4529" i="1"/>
  <c r="B4529" i="1"/>
  <c r="A4530" i="1"/>
  <c r="B4530" i="1"/>
  <c r="A4531" i="1"/>
  <c r="B4531" i="1"/>
  <c r="A4532" i="1"/>
  <c r="B4532" i="1"/>
  <c r="A4533" i="1"/>
  <c r="B4533" i="1"/>
  <c r="A4534" i="1"/>
  <c r="B4534" i="1"/>
  <c r="A4535" i="1"/>
  <c r="B4535" i="1"/>
  <c r="A4536" i="1"/>
  <c r="B4536" i="1"/>
  <c r="A4537" i="1"/>
  <c r="B4537" i="1"/>
  <c r="A4538" i="1"/>
  <c r="B4538" i="1"/>
  <c r="A4539" i="1"/>
  <c r="B4539" i="1"/>
  <c r="A4540" i="1"/>
  <c r="B4540" i="1"/>
  <c r="A4541" i="1"/>
  <c r="B4541" i="1"/>
  <c r="A4542" i="1"/>
  <c r="B4542" i="1"/>
  <c r="A4543" i="1"/>
  <c r="B4543" i="1"/>
  <c r="A4544" i="1"/>
  <c r="B4544" i="1"/>
  <c r="A4545" i="1"/>
  <c r="B4545" i="1"/>
  <c r="A4546" i="1"/>
  <c r="B4546" i="1"/>
  <c r="A4547" i="1"/>
  <c r="B4547" i="1"/>
  <c r="A4548" i="1"/>
  <c r="B4548" i="1"/>
  <c r="A4549" i="1"/>
  <c r="B4549" i="1"/>
  <c r="A4550" i="1"/>
  <c r="B4550" i="1"/>
  <c r="A4551" i="1"/>
  <c r="B4551" i="1"/>
  <c r="A4552" i="1"/>
  <c r="B4552" i="1"/>
  <c r="A4553" i="1"/>
  <c r="B4553" i="1"/>
  <c r="A4554" i="1"/>
  <c r="B4554" i="1"/>
  <c r="A4555" i="1"/>
  <c r="B4555" i="1"/>
  <c r="A4556" i="1"/>
  <c r="B4556" i="1"/>
  <c r="A4557" i="1"/>
  <c r="B4557" i="1"/>
  <c r="A4558" i="1"/>
  <c r="B4558" i="1"/>
  <c r="A4559" i="1"/>
  <c r="B4559" i="1"/>
  <c r="A4560" i="1"/>
  <c r="B4560" i="1"/>
  <c r="A4561" i="1"/>
  <c r="B4561" i="1"/>
  <c r="A4562" i="1"/>
  <c r="B4562" i="1"/>
  <c r="A4563" i="1"/>
  <c r="B4563" i="1"/>
  <c r="A4564" i="1"/>
  <c r="B4564" i="1"/>
  <c r="A4565" i="1"/>
  <c r="B4565" i="1"/>
  <c r="A4566" i="1"/>
  <c r="B4566" i="1"/>
  <c r="A4567" i="1"/>
  <c r="B4567" i="1"/>
  <c r="A4568" i="1"/>
  <c r="B4568" i="1"/>
  <c r="A4569" i="1"/>
  <c r="B4569" i="1"/>
  <c r="A4570" i="1"/>
  <c r="B4570" i="1"/>
  <c r="A4571" i="1"/>
  <c r="B4571" i="1"/>
  <c r="A4572" i="1"/>
  <c r="B4572" i="1"/>
  <c r="A4573" i="1"/>
  <c r="B4573" i="1"/>
  <c r="A4574" i="1"/>
  <c r="B4574" i="1"/>
  <c r="A4575" i="1"/>
  <c r="B4575" i="1"/>
  <c r="A4576" i="1"/>
  <c r="B4576" i="1"/>
  <c r="A4577" i="1"/>
  <c r="B4577" i="1"/>
  <c r="A4578" i="1"/>
  <c r="B4578" i="1"/>
  <c r="A4579" i="1"/>
  <c r="B4579" i="1"/>
  <c r="A4580" i="1"/>
  <c r="B4580" i="1"/>
  <c r="A4581" i="1"/>
  <c r="B4581" i="1"/>
  <c r="A4582" i="1"/>
  <c r="B4582" i="1"/>
  <c r="A4583" i="1"/>
  <c r="B4583" i="1"/>
  <c r="A4584" i="1"/>
  <c r="B4584" i="1"/>
  <c r="A4585" i="1"/>
  <c r="B4585" i="1"/>
  <c r="A4586" i="1"/>
  <c r="B4586" i="1"/>
  <c r="A4587" i="1"/>
  <c r="B4587" i="1"/>
  <c r="A4588" i="1"/>
  <c r="B4588" i="1"/>
  <c r="A4589" i="1"/>
  <c r="B4589" i="1"/>
  <c r="A4590" i="1"/>
  <c r="B4590" i="1"/>
  <c r="A4591" i="1"/>
  <c r="B4591" i="1"/>
  <c r="A4592" i="1"/>
  <c r="B4592" i="1"/>
  <c r="A4593" i="1"/>
  <c r="B4593" i="1"/>
  <c r="A4594" i="1"/>
  <c r="B4594" i="1"/>
  <c r="A4595" i="1"/>
  <c r="B4595" i="1"/>
  <c r="A4596" i="1"/>
  <c r="B4596" i="1"/>
  <c r="A4597" i="1"/>
  <c r="B4597" i="1"/>
  <c r="A4598" i="1"/>
  <c r="B4598" i="1"/>
  <c r="A4599" i="1"/>
  <c r="B4599" i="1"/>
  <c r="A4600" i="1"/>
  <c r="B4600" i="1"/>
  <c r="A4601" i="1"/>
  <c r="B4601" i="1"/>
  <c r="A4602" i="1"/>
  <c r="B4602" i="1"/>
  <c r="A4603" i="1"/>
  <c r="B4603" i="1"/>
  <c r="A4604" i="1"/>
  <c r="B4604" i="1"/>
  <c r="A4605" i="1"/>
  <c r="B4605" i="1"/>
  <c r="A4606" i="1"/>
  <c r="B4606" i="1"/>
  <c r="A4607" i="1"/>
  <c r="B4607" i="1"/>
  <c r="A4608" i="1"/>
  <c r="B4608" i="1"/>
  <c r="A4609" i="1"/>
  <c r="B4609" i="1"/>
  <c r="A4610" i="1"/>
  <c r="B4610" i="1"/>
  <c r="A4611" i="1"/>
  <c r="B4611" i="1"/>
  <c r="A4612" i="1"/>
  <c r="B4612" i="1"/>
  <c r="A4613" i="1"/>
  <c r="B4613" i="1"/>
  <c r="A4614" i="1"/>
  <c r="B4614" i="1"/>
  <c r="A4615" i="1"/>
  <c r="B4615" i="1"/>
  <c r="A4616" i="1"/>
  <c r="B4616" i="1"/>
  <c r="A4617" i="1"/>
  <c r="B4617" i="1"/>
  <c r="A4618" i="1"/>
  <c r="B4618" i="1"/>
  <c r="A4619" i="1"/>
  <c r="B4619" i="1"/>
  <c r="A4620" i="1"/>
  <c r="B4620" i="1"/>
  <c r="A4621" i="1"/>
  <c r="B4621" i="1"/>
  <c r="A4622" i="1"/>
  <c r="B4622" i="1"/>
  <c r="A4623" i="1"/>
  <c r="B4623" i="1"/>
  <c r="A4624" i="1"/>
  <c r="B4624" i="1"/>
  <c r="A4625" i="1"/>
  <c r="B4625" i="1"/>
  <c r="A4626" i="1"/>
  <c r="B4626" i="1"/>
  <c r="A4627" i="1"/>
  <c r="B4627" i="1"/>
  <c r="A4628" i="1"/>
  <c r="B4628" i="1"/>
  <c r="A4629" i="1"/>
  <c r="B4629" i="1"/>
  <c r="A4630" i="1"/>
  <c r="B4630" i="1"/>
  <c r="A4631" i="1"/>
  <c r="B4631" i="1"/>
  <c r="A4632" i="1"/>
  <c r="B4632" i="1"/>
  <c r="A4633" i="1"/>
  <c r="B4633" i="1"/>
  <c r="A4634" i="1"/>
  <c r="B4634" i="1"/>
  <c r="A4635" i="1"/>
  <c r="B4635" i="1"/>
  <c r="A4636" i="1"/>
  <c r="B4636" i="1"/>
  <c r="A4637" i="1"/>
  <c r="B4637" i="1"/>
  <c r="A4638" i="1"/>
  <c r="B4638" i="1"/>
  <c r="A4639" i="1"/>
  <c r="B4639" i="1"/>
  <c r="A4640" i="1"/>
  <c r="B4640" i="1"/>
  <c r="A4641" i="1"/>
  <c r="B4641" i="1"/>
  <c r="A4642" i="1"/>
  <c r="B4642" i="1"/>
  <c r="A4643" i="1"/>
  <c r="B4643" i="1"/>
  <c r="A4644" i="1"/>
  <c r="B4644" i="1"/>
  <c r="A4645" i="1"/>
  <c r="B4645" i="1"/>
  <c r="A4646" i="1"/>
  <c r="B4646" i="1"/>
  <c r="A4647" i="1"/>
  <c r="B4647" i="1"/>
  <c r="A4648" i="1"/>
  <c r="B4648" i="1"/>
  <c r="A4649" i="1"/>
  <c r="B4649" i="1"/>
  <c r="A4650" i="1"/>
  <c r="B4650" i="1"/>
  <c r="A4651" i="1"/>
  <c r="B4651" i="1"/>
  <c r="A4652" i="1"/>
  <c r="B4652" i="1"/>
  <c r="A4653" i="1"/>
  <c r="B4653" i="1"/>
  <c r="A4654" i="1"/>
  <c r="B4654" i="1"/>
  <c r="A4655" i="1"/>
  <c r="B4655" i="1"/>
  <c r="A4656" i="1"/>
  <c r="B4656" i="1"/>
  <c r="A4657" i="1"/>
  <c r="B4657" i="1"/>
  <c r="A4658" i="1"/>
  <c r="B4658" i="1"/>
  <c r="A4659" i="1"/>
  <c r="B4659" i="1"/>
  <c r="A4660" i="1"/>
  <c r="B4660" i="1"/>
  <c r="A4661" i="1"/>
  <c r="B4661" i="1"/>
  <c r="A4662" i="1"/>
  <c r="B4662" i="1"/>
  <c r="A4663" i="1"/>
  <c r="B4663" i="1"/>
  <c r="A4664" i="1"/>
  <c r="B4664" i="1"/>
  <c r="A4665" i="1"/>
  <c r="B4665" i="1"/>
  <c r="A4666" i="1"/>
  <c r="B4666" i="1"/>
  <c r="A4667" i="1"/>
  <c r="B4667" i="1"/>
  <c r="A4668" i="1"/>
  <c r="B4668" i="1"/>
  <c r="A4669" i="1"/>
  <c r="B4669" i="1"/>
  <c r="A4670" i="1"/>
  <c r="B4670" i="1"/>
  <c r="A4671" i="1"/>
  <c r="B4671" i="1"/>
  <c r="A4672" i="1"/>
  <c r="B4672" i="1"/>
  <c r="A4673" i="1"/>
  <c r="B4673" i="1"/>
  <c r="A4674" i="1"/>
  <c r="B4674" i="1"/>
  <c r="A4675" i="1"/>
  <c r="B4675" i="1"/>
  <c r="A4676" i="1"/>
  <c r="B4676" i="1"/>
  <c r="A4677" i="1"/>
  <c r="B4677" i="1"/>
  <c r="A4678" i="1"/>
  <c r="B4678" i="1"/>
  <c r="A4679" i="1"/>
  <c r="B4679" i="1"/>
  <c r="A4680" i="1"/>
  <c r="B4680" i="1"/>
  <c r="A4681" i="1"/>
  <c r="B4681" i="1"/>
  <c r="A4682" i="1"/>
  <c r="B4682" i="1"/>
  <c r="A4683" i="1"/>
  <c r="B4683" i="1"/>
  <c r="A4684" i="1"/>
  <c r="B4684" i="1"/>
  <c r="A4685" i="1"/>
  <c r="B4685" i="1"/>
  <c r="A4686" i="1"/>
  <c r="B4686" i="1"/>
  <c r="A4687" i="1"/>
  <c r="B4687" i="1"/>
  <c r="A4688" i="1"/>
  <c r="B4688" i="1"/>
  <c r="A4689" i="1"/>
  <c r="B4689" i="1"/>
  <c r="A4690" i="1"/>
  <c r="B4690" i="1"/>
  <c r="A4691" i="1"/>
  <c r="B4691" i="1"/>
  <c r="A4692" i="1"/>
  <c r="B4692" i="1"/>
  <c r="A4693" i="1"/>
  <c r="B4693" i="1"/>
  <c r="A4694" i="1"/>
  <c r="B4694" i="1"/>
  <c r="A4695" i="1"/>
  <c r="B4695" i="1"/>
  <c r="A4696" i="1"/>
  <c r="B4696" i="1"/>
  <c r="A4697" i="1"/>
  <c r="B4697" i="1"/>
  <c r="A4698" i="1"/>
  <c r="B4698" i="1"/>
  <c r="A4699" i="1"/>
  <c r="B4699" i="1"/>
  <c r="A4700" i="1"/>
  <c r="B4700" i="1"/>
  <c r="A4701" i="1"/>
  <c r="B4701" i="1"/>
  <c r="A4702" i="1"/>
  <c r="B4702" i="1"/>
  <c r="A4703" i="1"/>
  <c r="B4703" i="1"/>
  <c r="A4704" i="1"/>
  <c r="B4704" i="1"/>
  <c r="A4705" i="1"/>
  <c r="B4705" i="1"/>
  <c r="A4706" i="1"/>
  <c r="B4706" i="1"/>
  <c r="A4707" i="1"/>
  <c r="B4707" i="1"/>
  <c r="A4708" i="1"/>
  <c r="B4708" i="1"/>
  <c r="A4709" i="1"/>
  <c r="B4709" i="1"/>
  <c r="A4710" i="1"/>
  <c r="B4710" i="1"/>
  <c r="A4711" i="1"/>
  <c r="B4711" i="1"/>
  <c r="A4712" i="1"/>
  <c r="B4712" i="1"/>
  <c r="A4713" i="1"/>
  <c r="B4713" i="1"/>
  <c r="A4714" i="1"/>
  <c r="B4714" i="1"/>
  <c r="A4715" i="1"/>
  <c r="B4715" i="1"/>
  <c r="A4716" i="1"/>
  <c r="B4716" i="1"/>
  <c r="A4717" i="1"/>
  <c r="B4717" i="1"/>
  <c r="A4718" i="1"/>
  <c r="B4718" i="1"/>
  <c r="A4719" i="1"/>
  <c r="B4719" i="1"/>
  <c r="A4720" i="1"/>
  <c r="B4720" i="1"/>
  <c r="A4721" i="1"/>
  <c r="B4721" i="1"/>
  <c r="A4722" i="1"/>
  <c r="B4722" i="1"/>
  <c r="A4723" i="1"/>
  <c r="B4723" i="1"/>
  <c r="A4724" i="1"/>
  <c r="B4724" i="1"/>
  <c r="A4725" i="1"/>
  <c r="B4725" i="1"/>
  <c r="A4726" i="1"/>
  <c r="B4726" i="1"/>
  <c r="A4727" i="1"/>
  <c r="B4727" i="1"/>
  <c r="A4728" i="1"/>
  <c r="B4728" i="1"/>
  <c r="A4729" i="1"/>
  <c r="B4729" i="1"/>
  <c r="A4730" i="1"/>
  <c r="B4730" i="1"/>
  <c r="A4731" i="1"/>
  <c r="B4731" i="1"/>
  <c r="A4732" i="1"/>
  <c r="B4732" i="1"/>
  <c r="A4733" i="1"/>
  <c r="B4733" i="1"/>
  <c r="A4734" i="1"/>
  <c r="B4734" i="1"/>
  <c r="A4735" i="1"/>
  <c r="B4735" i="1"/>
  <c r="A4736" i="1"/>
  <c r="B4736" i="1"/>
  <c r="A4737" i="1"/>
  <c r="B4737" i="1"/>
  <c r="A4738" i="1"/>
  <c r="B4738" i="1"/>
  <c r="A4739" i="1"/>
  <c r="B4739" i="1"/>
  <c r="A4740" i="1"/>
  <c r="B4740" i="1"/>
  <c r="A4741" i="1"/>
  <c r="B4741" i="1"/>
  <c r="A4742" i="1"/>
  <c r="B4742" i="1"/>
  <c r="A4743" i="1"/>
  <c r="B4743" i="1"/>
  <c r="A4744" i="1"/>
  <c r="B4744" i="1"/>
  <c r="A4745" i="1"/>
  <c r="B4745" i="1"/>
  <c r="A4746" i="1"/>
  <c r="B4746" i="1"/>
  <c r="A4747" i="1"/>
  <c r="B4747" i="1"/>
  <c r="A4748" i="1"/>
  <c r="B4748" i="1"/>
  <c r="A4749" i="1"/>
  <c r="B4749" i="1"/>
  <c r="A4750" i="1"/>
  <c r="B4750" i="1"/>
  <c r="A4751" i="1"/>
  <c r="B4751" i="1"/>
  <c r="A4752" i="1"/>
  <c r="B4752" i="1"/>
  <c r="A4753" i="1"/>
  <c r="B4753" i="1"/>
  <c r="A4754" i="1"/>
  <c r="B4754" i="1"/>
  <c r="A4755" i="1"/>
  <c r="B4755" i="1"/>
  <c r="A4756" i="1"/>
  <c r="B4756" i="1"/>
  <c r="A4757" i="1"/>
  <c r="B4757" i="1"/>
  <c r="A4758" i="1"/>
  <c r="B4758" i="1"/>
  <c r="A4759" i="1"/>
  <c r="B4759" i="1"/>
  <c r="A4760" i="1"/>
  <c r="B4760" i="1"/>
  <c r="A4761" i="1"/>
  <c r="B4761" i="1"/>
  <c r="A4762" i="1"/>
  <c r="B4762" i="1"/>
  <c r="A4763" i="1"/>
  <c r="B4763" i="1"/>
  <c r="A4764" i="1"/>
  <c r="B4764" i="1"/>
  <c r="A4765" i="1"/>
  <c r="B4765" i="1"/>
  <c r="A4766" i="1"/>
  <c r="B4766" i="1"/>
  <c r="A4767" i="1"/>
  <c r="B4767" i="1"/>
  <c r="A4768" i="1"/>
  <c r="B4768" i="1"/>
  <c r="A4769" i="1"/>
  <c r="B4769" i="1"/>
  <c r="A4770" i="1"/>
  <c r="B4770" i="1"/>
  <c r="A4771" i="1"/>
  <c r="B4771" i="1"/>
  <c r="A4772" i="1"/>
  <c r="B4772" i="1"/>
  <c r="A4773" i="1"/>
  <c r="B4773" i="1"/>
  <c r="A4774" i="1"/>
  <c r="B4774" i="1"/>
  <c r="A4775" i="1"/>
  <c r="B4775" i="1"/>
  <c r="A4776" i="1"/>
  <c r="B4776" i="1"/>
  <c r="A4777" i="1"/>
  <c r="B4777" i="1"/>
  <c r="A4778" i="1"/>
  <c r="B4778" i="1"/>
  <c r="A4779" i="1"/>
  <c r="B4779" i="1"/>
  <c r="A4780" i="1"/>
  <c r="B4780" i="1"/>
  <c r="A4781" i="1"/>
  <c r="B4781" i="1"/>
  <c r="A4782" i="1"/>
  <c r="B4782" i="1"/>
  <c r="A4783" i="1"/>
  <c r="B4783" i="1"/>
  <c r="A4784" i="1"/>
  <c r="B4784" i="1"/>
  <c r="A4785" i="1"/>
  <c r="B4785" i="1"/>
  <c r="A4786" i="1"/>
  <c r="B4786" i="1"/>
  <c r="A4787" i="1"/>
  <c r="B4787" i="1"/>
  <c r="A4788" i="1"/>
  <c r="B4788" i="1"/>
  <c r="A4789" i="1"/>
  <c r="B4789" i="1"/>
  <c r="A4790" i="1"/>
  <c r="B4790" i="1"/>
  <c r="A4791" i="1"/>
  <c r="B4791" i="1"/>
  <c r="A4792" i="1"/>
  <c r="B4792" i="1"/>
  <c r="A4793" i="1"/>
  <c r="B4793" i="1"/>
  <c r="A4794" i="1"/>
  <c r="B4794" i="1"/>
  <c r="A4795" i="1"/>
  <c r="B4795" i="1"/>
  <c r="A4796" i="1"/>
  <c r="B4796" i="1"/>
  <c r="A4797" i="1"/>
  <c r="B4797" i="1"/>
  <c r="A4798" i="1"/>
  <c r="B4798" i="1"/>
  <c r="A4799" i="1"/>
  <c r="B4799" i="1"/>
  <c r="A4800" i="1"/>
  <c r="B4800" i="1"/>
  <c r="A4801" i="1"/>
  <c r="B4801" i="1"/>
  <c r="A4802" i="1"/>
  <c r="B4802" i="1"/>
  <c r="A4803" i="1"/>
  <c r="B4803" i="1"/>
  <c r="A4804" i="1"/>
  <c r="B4804" i="1"/>
  <c r="A4805" i="1"/>
  <c r="B4805" i="1"/>
  <c r="A4806" i="1"/>
  <c r="B4806" i="1"/>
  <c r="A4807" i="1"/>
  <c r="B4807" i="1"/>
  <c r="A4808" i="1"/>
  <c r="B4808" i="1"/>
  <c r="A4809" i="1"/>
  <c r="B4809" i="1"/>
  <c r="A4810" i="1"/>
  <c r="B4810" i="1"/>
  <c r="A4811" i="1"/>
  <c r="B4811" i="1"/>
  <c r="A4812" i="1"/>
  <c r="B4812" i="1"/>
  <c r="A4813" i="1"/>
  <c r="B4813" i="1"/>
  <c r="A4814" i="1"/>
  <c r="B4814" i="1"/>
  <c r="A4815" i="1"/>
  <c r="B4815" i="1"/>
  <c r="A4816" i="1"/>
  <c r="B4816" i="1"/>
  <c r="A4817" i="1"/>
  <c r="B4817" i="1"/>
  <c r="A4818" i="1"/>
  <c r="B4818" i="1"/>
  <c r="A4819" i="1"/>
  <c r="B4819" i="1"/>
  <c r="A4820" i="1"/>
  <c r="B4820" i="1"/>
  <c r="A4821" i="1"/>
  <c r="B4821" i="1"/>
  <c r="A4822" i="1"/>
  <c r="B4822" i="1"/>
  <c r="A4823" i="1"/>
  <c r="B4823" i="1"/>
  <c r="A4824" i="1"/>
  <c r="B4824" i="1"/>
  <c r="A4825" i="1"/>
  <c r="B4825" i="1"/>
  <c r="A4826" i="1"/>
  <c r="B4826" i="1"/>
  <c r="A4827" i="1"/>
  <c r="B4827" i="1"/>
  <c r="A4828" i="1"/>
  <c r="B4828" i="1"/>
  <c r="A4829" i="1"/>
  <c r="B4829" i="1"/>
  <c r="A4830" i="1"/>
  <c r="B4830" i="1"/>
  <c r="A4831" i="1"/>
  <c r="B4831" i="1"/>
  <c r="A4832" i="1"/>
  <c r="B4832" i="1"/>
  <c r="A4833" i="1"/>
  <c r="B4833" i="1"/>
  <c r="A4834" i="1"/>
  <c r="B4834" i="1"/>
  <c r="A4835" i="1"/>
  <c r="B4835" i="1"/>
  <c r="A4836" i="1"/>
  <c r="B4836" i="1"/>
  <c r="A4837" i="1"/>
  <c r="B4837" i="1"/>
  <c r="A4838" i="1"/>
  <c r="B4838" i="1"/>
  <c r="A4839" i="1"/>
  <c r="B4839" i="1"/>
  <c r="A4840" i="1"/>
  <c r="B4840" i="1"/>
  <c r="A4841" i="1"/>
  <c r="B4841" i="1"/>
  <c r="A4842" i="1"/>
  <c r="B4842" i="1"/>
  <c r="A4843" i="1"/>
  <c r="B4843" i="1"/>
  <c r="A4844" i="1"/>
  <c r="B4844" i="1"/>
  <c r="A4845" i="1"/>
  <c r="B4845" i="1"/>
  <c r="A4846" i="1"/>
  <c r="B4846" i="1"/>
  <c r="A4847" i="1"/>
  <c r="B4847" i="1"/>
  <c r="A4848" i="1"/>
  <c r="B4848" i="1"/>
  <c r="A4849" i="1"/>
  <c r="B4849" i="1"/>
  <c r="A4850" i="1"/>
  <c r="B4850" i="1"/>
  <c r="A4851" i="1"/>
  <c r="B4851" i="1"/>
  <c r="A4852" i="1"/>
  <c r="B4852" i="1"/>
  <c r="A4853" i="1"/>
  <c r="B4853" i="1"/>
  <c r="A4854" i="1"/>
  <c r="B4854" i="1"/>
  <c r="A4855" i="1"/>
  <c r="B4855" i="1"/>
  <c r="A4856" i="1"/>
  <c r="B4856" i="1"/>
  <c r="A4857" i="1"/>
  <c r="B4857" i="1"/>
  <c r="A4858" i="1"/>
  <c r="B4858" i="1"/>
  <c r="A4859" i="1"/>
  <c r="B4859" i="1"/>
  <c r="A4860" i="1"/>
  <c r="B4860" i="1"/>
  <c r="A4861" i="1"/>
  <c r="B4861" i="1"/>
  <c r="A4862" i="1"/>
  <c r="B4862" i="1"/>
  <c r="A4863" i="1"/>
  <c r="B4863" i="1"/>
  <c r="A4864" i="1"/>
  <c r="B4864" i="1"/>
  <c r="A4865" i="1"/>
  <c r="B4865" i="1"/>
  <c r="A4866" i="1"/>
  <c r="B4866" i="1"/>
  <c r="A4867" i="1"/>
  <c r="B4867" i="1"/>
  <c r="A4868" i="1"/>
  <c r="B4868" i="1"/>
  <c r="A4869" i="1"/>
  <c r="B4869" i="1"/>
  <c r="A4870" i="1"/>
  <c r="B4870" i="1"/>
  <c r="A4871" i="1"/>
  <c r="B4871" i="1"/>
  <c r="A4872" i="1"/>
  <c r="B4872" i="1"/>
  <c r="A4873" i="1"/>
  <c r="B4873" i="1"/>
  <c r="A4874" i="1"/>
  <c r="B4874" i="1"/>
  <c r="A4875" i="1"/>
  <c r="B4875" i="1"/>
  <c r="A4876" i="1"/>
  <c r="B4876" i="1"/>
  <c r="A4877" i="1"/>
  <c r="B4877" i="1"/>
  <c r="A4878" i="1"/>
  <c r="B4878" i="1"/>
  <c r="A4879" i="1"/>
  <c r="B4879" i="1"/>
  <c r="A4880" i="1"/>
  <c r="B4880" i="1"/>
  <c r="A4881" i="1"/>
  <c r="B4881" i="1"/>
  <c r="A4882" i="1"/>
  <c r="B4882" i="1"/>
  <c r="A4883" i="1"/>
  <c r="B4883" i="1"/>
  <c r="A4884" i="1"/>
  <c r="B4884" i="1"/>
  <c r="A4885" i="1"/>
  <c r="B4885" i="1"/>
  <c r="A4886" i="1"/>
  <c r="B4886" i="1"/>
  <c r="A4887" i="1"/>
  <c r="B4887" i="1"/>
  <c r="A4888" i="1"/>
  <c r="B4888" i="1"/>
  <c r="A4889" i="1"/>
  <c r="B4889" i="1"/>
  <c r="A4890" i="1"/>
  <c r="B4890" i="1"/>
  <c r="A4891" i="1"/>
  <c r="B4891" i="1"/>
  <c r="A4892" i="1"/>
  <c r="B4892" i="1"/>
  <c r="A4893" i="1"/>
  <c r="B4893" i="1"/>
  <c r="A4894" i="1"/>
  <c r="B4894" i="1"/>
  <c r="A4895" i="1"/>
  <c r="B4895" i="1"/>
  <c r="A4896" i="1"/>
  <c r="B4896" i="1"/>
  <c r="A4897" i="1"/>
  <c r="B4897" i="1"/>
  <c r="A4898" i="1"/>
  <c r="B4898" i="1"/>
  <c r="A4899" i="1"/>
  <c r="B4899" i="1"/>
  <c r="A4900" i="1"/>
  <c r="B4900" i="1"/>
  <c r="A4901" i="1"/>
  <c r="B4901" i="1"/>
  <c r="A4902" i="1"/>
  <c r="B4902" i="1"/>
  <c r="A4903" i="1"/>
  <c r="B4903" i="1"/>
  <c r="A4904" i="1"/>
  <c r="B4904" i="1"/>
  <c r="A4905" i="1"/>
  <c r="B4905" i="1"/>
  <c r="A4906" i="1"/>
  <c r="B4906" i="1"/>
  <c r="A4907" i="1"/>
  <c r="B4907" i="1"/>
  <c r="A4908" i="1"/>
  <c r="B4908" i="1"/>
  <c r="A4909" i="1"/>
  <c r="B4909" i="1"/>
  <c r="A4910" i="1"/>
  <c r="B4910" i="1"/>
  <c r="A4911" i="1"/>
  <c r="B4911" i="1"/>
  <c r="A4912" i="1"/>
  <c r="B4912" i="1"/>
  <c r="A4913" i="1"/>
  <c r="B4913" i="1"/>
  <c r="A4914" i="1"/>
  <c r="B4914" i="1"/>
  <c r="A4915" i="1"/>
  <c r="B4915" i="1"/>
  <c r="A4916" i="1"/>
  <c r="B4916" i="1"/>
  <c r="A4917" i="1"/>
  <c r="B4917" i="1"/>
  <c r="A4918" i="1"/>
  <c r="B4918" i="1"/>
  <c r="A4919" i="1"/>
  <c r="B4919" i="1"/>
  <c r="A4920" i="1"/>
  <c r="B4920" i="1"/>
  <c r="A4921" i="1"/>
  <c r="B4921" i="1"/>
  <c r="A4922" i="1"/>
  <c r="B4922" i="1"/>
  <c r="A4923" i="1"/>
  <c r="B4923" i="1"/>
  <c r="A4924" i="1"/>
  <c r="B4924" i="1"/>
  <c r="A4925" i="1"/>
  <c r="B4925" i="1"/>
  <c r="A4926" i="1"/>
  <c r="B4926" i="1"/>
  <c r="A4927" i="1"/>
  <c r="B4927" i="1"/>
  <c r="A4928" i="1"/>
  <c r="B4928" i="1"/>
  <c r="A4929" i="1"/>
  <c r="B4929" i="1"/>
  <c r="A4930" i="1"/>
  <c r="B4930" i="1"/>
  <c r="A4931" i="1"/>
  <c r="B4931" i="1"/>
  <c r="A4932" i="1"/>
  <c r="B4932" i="1"/>
  <c r="A4933" i="1"/>
  <c r="B4933" i="1"/>
  <c r="A4934" i="1"/>
  <c r="B4934" i="1"/>
  <c r="A4935" i="1"/>
  <c r="B4935" i="1"/>
  <c r="A4936" i="1"/>
  <c r="B4936" i="1"/>
  <c r="A4937" i="1"/>
  <c r="B4937" i="1"/>
  <c r="A4938" i="1"/>
  <c r="B4938" i="1"/>
  <c r="A4939" i="1"/>
  <c r="B4939" i="1"/>
  <c r="A4940" i="1"/>
  <c r="B4940" i="1"/>
  <c r="A4941" i="1"/>
  <c r="B4941" i="1"/>
  <c r="A4942" i="1"/>
  <c r="B4942" i="1"/>
  <c r="A4943" i="1"/>
  <c r="B4943" i="1"/>
  <c r="A4944" i="1"/>
  <c r="B4944" i="1"/>
  <c r="A4945" i="1"/>
  <c r="B4945" i="1"/>
  <c r="A4946" i="1"/>
  <c r="B4946" i="1"/>
  <c r="A4947" i="1"/>
  <c r="B4947" i="1"/>
  <c r="A4948" i="1"/>
  <c r="B4948" i="1"/>
  <c r="A4949" i="1"/>
  <c r="B4949" i="1"/>
  <c r="A4950" i="1"/>
  <c r="B4950" i="1"/>
  <c r="A4951" i="1"/>
  <c r="B4951" i="1"/>
  <c r="A4952" i="1"/>
  <c r="B4952" i="1"/>
  <c r="A4953" i="1"/>
  <c r="B4953" i="1"/>
  <c r="A4954" i="1"/>
  <c r="B4954" i="1"/>
  <c r="A4955" i="1"/>
  <c r="B4955" i="1"/>
  <c r="A4956" i="1"/>
  <c r="B4956" i="1"/>
  <c r="A4957" i="1"/>
  <c r="B4957" i="1"/>
  <c r="A4958" i="1"/>
  <c r="B4958" i="1"/>
  <c r="A4959" i="1"/>
  <c r="B4959" i="1"/>
  <c r="A4960" i="1"/>
  <c r="B4960" i="1"/>
  <c r="A4961" i="1"/>
  <c r="B4961" i="1"/>
  <c r="A4962" i="1"/>
  <c r="B4962" i="1"/>
  <c r="A4963" i="1"/>
  <c r="B4963" i="1"/>
  <c r="A4964" i="1"/>
  <c r="B4964" i="1"/>
  <c r="A4965" i="1"/>
  <c r="B4965" i="1"/>
  <c r="A4966" i="1"/>
  <c r="B4966" i="1"/>
  <c r="A4967" i="1"/>
  <c r="B4967" i="1"/>
  <c r="A4968" i="1"/>
  <c r="B4968" i="1"/>
  <c r="A4969" i="1"/>
  <c r="B4969" i="1"/>
  <c r="A4970" i="1"/>
  <c r="B4970" i="1"/>
  <c r="A4971" i="1"/>
  <c r="B4971" i="1"/>
  <c r="A4972" i="1"/>
  <c r="B4972" i="1"/>
  <c r="A4973" i="1"/>
  <c r="B4973" i="1"/>
  <c r="A4974" i="1"/>
  <c r="B4974" i="1"/>
  <c r="A4975" i="1"/>
  <c r="B4975" i="1"/>
  <c r="A4976" i="1"/>
  <c r="B4976" i="1"/>
  <c r="A4977" i="1"/>
  <c r="B4977" i="1"/>
  <c r="A4978" i="1"/>
  <c r="B4978" i="1"/>
  <c r="A4979" i="1"/>
  <c r="B4979" i="1"/>
  <c r="A4980" i="1"/>
  <c r="B4980" i="1"/>
  <c r="A4981" i="1"/>
  <c r="B4981" i="1"/>
  <c r="A4982" i="1"/>
  <c r="B4982" i="1"/>
  <c r="A4983" i="1"/>
  <c r="B4983" i="1"/>
  <c r="A4984" i="1"/>
  <c r="B4984" i="1"/>
  <c r="A4985" i="1"/>
  <c r="B4985" i="1"/>
  <c r="A4986" i="1"/>
  <c r="B4986" i="1"/>
  <c r="A4987" i="1"/>
  <c r="B4987" i="1"/>
  <c r="A4988" i="1"/>
  <c r="B4988" i="1"/>
  <c r="A4989" i="1"/>
  <c r="B4989" i="1"/>
  <c r="A4990" i="1"/>
  <c r="B4990" i="1"/>
  <c r="A4991" i="1"/>
  <c r="B4991" i="1"/>
  <c r="A4992" i="1"/>
  <c r="B4992" i="1"/>
  <c r="A4993" i="1"/>
  <c r="B4993" i="1"/>
  <c r="A4994" i="1"/>
  <c r="B4994" i="1"/>
  <c r="A4995" i="1"/>
  <c r="B4995" i="1"/>
  <c r="A4996" i="1"/>
  <c r="B4996" i="1"/>
  <c r="A4997" i="1"/>
  <c r="B4997" i="1"/>
  <c r="A4998" i="1"/>
  <c r="B4998" i="1"/>
  <c r="A4999" i="1"/>
  <c r="B4999" i="1"/>
  <c r="A5000" i="1"/>
  <c r="B5000" i="1"/>
  <c r="A5001" i="1"/>
  <c r="B5001" i="1"/>
  <c r="A5002" i="1"/>
  <c r="B5002" i="1"/>
  <c r="A5003" i="1"/>
  <c r="B5003" i="1"/>
  <c r="A5004" i="1"/>
  <c r="B5004" i="1"/>
  <c r="A5005" i="1"/>
  <c r="B5005" i="1"/>
  <c r="A5006" i="1"/>
  <c r="B5006" i="1"/>
  <c r="A5007" i="1"/>
  <c r="B5007" i="1"/>
  <c r="A5008" i="1"/>
  <c r="B5008" i="1"/>
  <c r="A5009" i="1"/>
  <c r="B5009" i="1"/>
  <c r="A5010" i="1"/>
  <c r="B5010" i="1"/>
  <c r="A5011" i="1"/>
  <c r="B5011" i="1"/>
  <c r="A5012" i="1"/>
  <c r="B5012" i="1"/>
  <c r="A5013" i="1"/>
  <c r="B5013" i="1"/>
  <c r="A5014" i="1"/>
  <c r="B5014" i="1"/>
  <c r="A5015" i="1"/>
  <c r="B5015" i="1"/>
  <c r="A5016" i="1"/>
  <c r="B5016" i="1"/>
  <c r="A5017" i="1"/>
  <c r="B5017" i="1"/>
  <c r="A5018" i="1"/>
  <c r="B5018" i="1"/>
  <c r="A5019" i="1"/>
  <c r="B5019" i="1"/>
  <c r="A5020" i="1"/>
  <c r="B5020" i="1"/>
  <c r="A5021" i="1"/>
  <c r="B5021" i="1"/>
  <c r="A5022" i="1"/>
  <c r="B5022" i="1"/>
  <c r="A5023" i="1"/>
  <c r="B5023" i="1"/>
  <c r="A5024" i="1"/>
  <c r="B5024" i="1"/>
  <c r="A5025" i="1"/>
  <c r="B5025" i="1"/>
  <c r="A5026" i="1"/>
  <c r="B5026" i="1"/>
  <c r="A5027" i="1"/>
  <c r="B5027" i="1"/>
  <c r="A5028" i="1"/>
  <c r="B5028" i="1"/>
  <c r="A5029" i="1"/>
  <c r="B5029" i="1"/>
  <c r="A5030" i="1"/>
  <c r="B5030" i="1"/>
  <c r="A5031" i="1"/>
  <c r="B5031" i="1"/>
  <c r="A5032" i="1"/>
  <c r="B5032" i="1"/>
  <c r="A5033" i="1"/>
  <c r="B5033" i="1"/>
  <c r="A5034" i="1"/>
  <c r="B5034" i="1"/>
  <c r="A5035" i="1"/>
  <c r="B5035" i="1"/>
  <c r="A5036" i="1"/>
  <c r="B5036" i="1"/>
  <c r="A5037" i="1"/>
  <c r="B5037" i="1"/>
  <c r="A5038" i="1"/>
  <c r="B5038" i="1"/>
  <c r="A5039" i="1"/>
  <c r="B5039" i="1"/>
  <c r="A5040" i="1"/>
  <c r="B5040" i="1"/>
  <c r="A5041" i="1"/>
  <c r="B5041" i="1"/>
  <c r="A5042" i="1"/>
  <c r="B5042" i="1"/>
  <c r="A5043" i="1"/>
  <c r="B5043" i="1"/>
  <c r="A5044" i="1"/>
  <c r="B5044" i="1"/>
  <c r="A5045" i="1"/>
  <c r="B5045" i="1"/>
  <c r="A5046" i="1"/>
  <c r="B5046" i="1"/>
  <c r="A5047" i="1"/>
  <c r="B5047" i="1"/>
  <c r="A5048" i="1"/>
  <c r="B5048" i="1"/>
  <c r="A5049" i="1"/>
  <c r="B5049" i="1"/>
  <c r="A5050" i="1"/>
  <c r="B5050" i="1"/>
  <c r="A5051" i="1"/>
  <c r="B5051" i="1"/>
  <c r="A5052" i="1"/>
  <c r="B5052" i="1"/>
  <c r="A5053" i="1"/>
  <c r="B5053" i="1"/>
  <c r="A5054" i="1"/>
  <c r="B5054" i="1"/>
  <c r="A5055" i="1"/>
  <c r="B5055" i="1"/>
  <c r="A5056" i="1"/>
  <c r="B5056" i="1"/>
  <c r="A5057" i="1"/>
  <c r="B5057" i="1"/>
  <c r="A5058" i="1"/>
  <c r="B5058" i="1"/>
  <c r="A5059" i="1"/>
  <c r="B5059" i="1"/>
  <c r="A5060" i="1"/>
  <c r="B5060" i="1"/>
  <c r="A5061" i="1"/>
  <c r="B5061" i="1"/>
  <c r="A5062" i="1"/>
  <c r="B5062" i="1"/>
  <c r="A5063" i="1"/>
  <c r="B5063" i="1"/>
  <c r="A5064" i="1"/>
  <c r="B5064" i="1"/>
  <c r="A5065" i="1"/>
  <c r="B5065" i="1"/>
  <c r="A5066" i="1"/>
  <c r="B5066" i="1"/>
  <c r="A5067" i="1"/>
  <c r="B5067" i="1"/>
  <c r="A5068" i="1"/>
  <c r="B5068" i="1"/>
  <c r="A5069" i="1"/>
  <c r="B5069" i="1"/>
  <c r="A5070" i="1"/>
  <c r="B5070" i="1"/>
  <c r="A5071" i="1"/>
  <c r="B5071" i="1"/>
  <c r="A5072" i="1"/>
  <c r="B5072" i="1"/>
  <c r="A5073" i="1"/>
  <c r="B5073" i="1"/>
  <c r="A5074" i="1"/>
  <c r="B5074" i="1"/>
  <c r="A5075" i="1"/>
  <c r="B5075" i="1"/>
  <c r="A5076" i="1"/>
  <c r="B5076" i="1"/>
  <c r="A5077" i="1"/>
  <c r="B5077" i="1"/>
  <c r="A5078" i="1"/>
  <c r="B5078" i="1"/>
  <c r="A5079" i="1"/>
  <c r="B5079" i="1"/>
  <c r="A5080" i="1"/>
  <c r="B5080" i="1"/>
  <c r="A5081" i="1"/>
  <c r="B5081" i="1"/>
  <c r="A5082" i="1"/>
  <c r="B5082" i="1"/>
  <c r="A5083" i="1"/>
  <c r="B5083" i="1"/>
  <c r="A5084" i="1"/>
  <c r="B5084" i="1"/>
  <c r="A5085" i="1"/>
  <c r="B5085" i="1"/>
  <c r="A5086" i="1"/>
  <c r="B5086" i="1"/>
  <c r="A5087" i="1"/>
  <c r="B5087" i="1"/>
  <c r="A5088" i="1"/>
  <c r="B5088" i="1"/>
  <c r="A5089" i="1"/>
  <c r="B5089" i="1"/>
  <c r="A5090" i="1"/>
  <c r="B5090" i="1"/>
  <c r="A5091" i="1"/>
  <c r="B5091" i="1"/>
  <c r="A5092" i="1"/>
  <c r="B5092" i="1"/>
  <c r="A5093" i="1"/>
  <c r="B5093" i="1"/>
  <c r="A5094" i="1"/>
  <c r="B5094" i="1"/>
  <c r="A5095" i="1"/>
  <c r="B5095" i="1"/>
  <c r="A5096" i="1"/>
  <c r="B5096" i="1"/>
  <c r="A5097" i="1"/>
  <c r="B5097" i="1"/>
  <c r="A5098" i="1"/>
  <c r="B5098" i="1"/>
  <c r="A5099" i="1"/>
  <c r="B5099" i="1"/>
  <c r="A5100" i="1"/>
  <c r="B5100" i="1"/>
  <c r="A5101" i="1"/>
  <c r="B5101" i="1"/>
  <c r="A5102" i="1"/>
  <c r="B5102" i="1"/>
  <c r="A5103" i="1"/>
  <c r="B5103" i="1"/>
  <c r="A5104" i="1"/>
  <c r="B5104" i="1"/>
  <c r="A5105" i="1"/>
  <c r="B5105" i="1"/>
  <c r="A5106" i="1"/>
  <c r="B5106" i="1"/>
  <c r="A5107" i="1"/>
  <c r="B5107" i="1"/>
  <c r="A5108" i="1"/>
  <c r="B5108" i="1"/>
  <c r="A5109" i="1"/>
  <c r="B5109" i="1"/>
  <c r="A5110" i="1"/>
  <c r="B5110" i="1"/>
  <c r="A5111" i="1"/>
  <c r="B5111" i="1"/>
  <c r="A5112" i="1"/>
  <c r="B5112" i="1"/>
  <c r="A5113" i="1"/>
  <c r="B5113" i="1"/>
  <c r="A5114" i="1"/>
  <c r="B5114" i="1"/>
  <c r="A5115" i="1"/>
  <c r="B5115" i="1"/>
  <c r="A5116" i="1"/>
  <c r="B5116" i="1"/>
  <c r="A5117" i="1"/>
  <c r="B5117" i="1"/>
  <c r="A5118" i="1"/>
  <c r="B5118" i="1"/>
  <c r="A5119" i="1"/>
  <c r="B5119" i="1"/>
  <c r="A5120" i="1"/>
  <c r="B5120" i="1"/>
  <c r="A5121" i="1"/>
  <c r="B5121" i="1"/>
  <c r="A5122" i="1"/>
  <c r="B5122" i="1"/>
  <c r="A5123" i="1"/>
  <c r="B5123" i="1"/>
  <c r="A5124" i="1"/>
  <c r="B5124" i="1"/>
  <c r="A5125" i="1"/>
  <c r="B5125" i="1"/>
  <c r="A5126" i="1"/>
  <c r="B5126" i="1"/>
  <c r="A5127" i="1"/>
  <c r="B5127" i="1"/>
  <c r="A5128" i="1"/>
  <c r="B5128" i="1"/>
  <c r="A5129" i="1"/>
  <c r="B5129" i="1"/>
  <c r="A5130" i="1"/>
  <c r="B5130" i="1"/>
  <c r="A5131" i="1"/>
  <c r="B5131" i="1"/>
  <c r="A5132" i="1"/>
  <c r="B5132" i="1"/>
  <c r="A5133" i="1"/>
  <c r="B5133" i="1"/>
  <c r="A5134" i="1"/>
  <c r="B5134" i="1"/>
  <c r="A5135" i="1"/>
  <c r="B5135" i="1"/>
  <c r="A5136" i="1"/>
  <c r="B5136" i="1"/>
  <c r="A5137" i="1"/>
  <c r="B5137" i="1"/>
  <c r="A5138" i="1"/>
  <c r="B5138" i="1"/>
  <c r="A5139" i="1"/>
  <c r="B5139" i="1"/>
  <c r="A5140" i="1"/>
  <c r="B5140" i="1"/>
  <c r="A5141" i="1"/>
  <c r="B5141" i="1"/>
  <c r="A5142" i="1"/>
  <c r="B5142" i="1"/>
  <c r="A5143" i="1"/>
  <c r="B5143" i="1"/>
  <c r="A5144" i="1"/>
  <c r="B5144" i="1"/>
  <c r="A5145" i="1"/>
  <c r="B5145" i="1"/>
  <c r="A5146" i="1"/>
  <c r="B5146" i="1"/>
  <c r="A5147" i="1"/>
  <c r="B5147" i="1"/>
  <c r="A5148" i="1"/>
  <c r="B5148" i="1"/>
  <c r="A5149" i="1"/>
  <c r="B5149" i="1"/>
  <c r="A5150" i="1"/>
  <c r="B5150" i="1"/>
  <c r="A5151" i="1"/>
  <c r="B5151" i="1"/>
  <c r="A5152" i="1"/>
  <c r="B5152" i="1"/>
  <c r="A5153" i="1"/>
  <c r="B5153" i="1"/>
  <c r="A5154" i="1"/>
  <c r="B5154" i="1"/>
  <c r="A5155" i="1"/>
  <c r="B5155" i="1"/>
  <c r="A5156" i="1"/>
  <c r="B5156" i="1"/>
  <c r="A5157" i="1"/>
  <c r="B5157" i="1"/>
  <c r="A5158" i="1"/>
  <c r="B5158" i="1"/>
  <c r="A5159" i="1"/>
  <c r="B5159" i="1"/>
  <c r="A5160" i="1"/>
  <c r="B5160" i="1"/>
  <c r="A5161" i="1"/>
  <c r="B5161" i="1"/>
  <c r="A5162" i="1"/>
  <c r="B5162" i="1"/>
  <c r="A5163" i="1"/>
  <c r="B5163" i="1"/>
  <c r="A5164" i="1"/>
  <c r="B5164" i="1"/>
  <c r="A5165" i="1"/>
  <c r="B5165" i="1"/>
  <c r="A5166" i="1"/>
  <c r="B5166" i="1"/>
  <c r="A5167" i="1"/>
  <c r="B5167" i="1"/>
  <c r="A5168" i="1"/>
  <c r="B5168" i="1"/>
  <c r="A5169" i="1"/>
  <c r="B5169" i="1"/>
  <c r="A5170" i="1"/>
  <c r="B5170" i="1"/>
  <c r="A5171" i="1"/>
  <c r="B5171" i="1"/>
  <c r="A5172" i="1"/>
  <c r="B5172" i="1"/>
  <c r="A5173" i="1"/>
  <c r="B5173" i="1"/>
  <c r="A5174" i="1"/>
  <c r="B5174" i="1"/>
  <c r="A5175" i="1"/>
  <c r="B5175" i="1"/>
  <c r="A5176" i="1"/>
  <c r="B5176" i="1"/>
  <c r="A5177" i="1"/>
  <c r="B5177" i="1"/>
  <c r="A5178" i="1"/>
  <c r="B5178" i="1"/>
  <c r="A5179" i="1"/>
  <c r="B5179" i="1"/>
  <c r="A5180" i="1"/>
  <c r="B5180" i="1"/>
  <c r="A5181" i="1"/>
  <c r="B5181" i="1"/>
  <c r="A5182" i="1"/>
  <c r="B5182" i="1"/>
  <c r="A5183" i="1"/>
  <c r="B5183" i="1"/>
  <c r="A5184" i="1"/>
  <c r="B5184" i="1"/>
  <c r="A5185" i="1"/>
  <c r="B5185" i="1"/>
  <c r="A5186" i="1"/>
  <c r="B5186" i="1"/>
  <c r="A5187" i="1"/>
  <c r="B5187" i="1"/>
  <c r="A5188" i="1"/>
  <c r="B5188" i="1"/>
  <c r="A5189" i="1"/>
  <c r="B5189" i="1"/>
  <c r="A5190" i="1"/>
  <c r="B5190" i="1"/>
  <c r="A5191" i="1"/>
  <c r="B5191" i="1"/>
  <c r="A5192" i="1"/>
  <c r="B5192" i="1"/>
  <c r="A5193" i="1"/>
  <c r="B5193" i="1"/>
  <c r="A5194" i="1"/>
  <c r="B5194" i="1"/>
  <c r="A5195" i="1"/>
  <c r="B5195" i="1"/>
  <c r="A5196" i="1"/>
  <c r="B5196" i="1"/>
  <c r="A5197" i="1"/>
  <c r="B5197" i="1"/>
  <c r="A5198" i="1"/>
  <c r="B5198" i="1"/>
  <c r="A5199" i="1"/>
  <c r="B5199" i="1"/>
  <c r="A5200" i="1"/>
  <c r="B5200" i="1"/>
  <c r="A5201" i="1"/>
  <c r="B5201" i="1"/>
  <c r="A5202" i="1"/>
  <c r="B5202" i="1"/>
  <c r="A5203" i="1"/>
  <c r="B5203" i="1"/>
  <c r="A5204" i="1"/>
  <c r="B5204" i="1"/>
  <c r="A5205" i="1"/>
  <c r="B5205" i="1"/>
  <c r="A5206" i="1"/>
  <c r="B5206" i="1"/>
  <c r="A5207" i="1"/>
  <c r="B5207" i="1"/>
  <c r="A5208" i="1"/>
  <c r="B5208" i="1"/>
  <c r="A5209" i="1"/>
  <c r="B5209" i="1"/>
  <c r="A5210" i="1"/>
  <c r="B5210" i="1"/>
  <c r="A5211" i="1"/>
  <c r="B5211" i="1"/>
  <c r="A5212" i="1"/>
  <c r="B5212" i="1"/>
  <c r="A5213" i="1"/>
  <c r="B5213" i="1"/>
  <c r="A5214" i="1"/>
  <c r="B5214" i="1"/>
  <c r="A5215" i="1"/>
  <c r="B5215" i="1"/>
  <c r="A5216" i="1"/>
  <c r="B5216" i="1"/>
  <c r="A5217" i="1"/>
  <c r="B5217" i="1"/>
  <c r="A5218" i="1"/>
  <c r="B5218" i="1"/>
  <c r="A5219" i="1"/>
  <c r="B5219" i="1"/>
  <c r="A5220" i="1"/>
  <c r="B5220" i="1"/>
  <c r="A5221" i="1"/>
  <c r="B5221" i="1"/>
  <c r="A5222" i="1"/>
  <c r="B5222" i="1"/>
  <c r="A5223" i="1"/>
  <c r="B5223" i="1"/>
  <c r="A5224" i="1"/>
  <c r="B5224" i="1"/>
  <c r="A5225" i="1"/>
  <c r="B5225" i="1"/>
  <c r="A5226" i="1"/>
  <c r="B5226" i="1"/>
  <c r="A5227" i="1"/>
  <c r="B5227" i="1"/>
  <c r="A5228" i="1"/>
  <c r="B5228" i="1"/>
  <c r="A5229" i="1"/>
  <c r="B5229" i="1"/>
  <c r="A5230" i="1"/>
  <c r="B5230" i="1"/>
  <c r="A5231" i="1"/>
  <c r="B5231" i="1"/>
  <c r="A5232" i="1"/>
  <c r="B5232" i="1"/>
  <c r="A5233" i="1"/>
  <c r="B5233" i="1"/>
  <c r="A5234" i="1"/>
  <c r="B5234" i="1"/>
  <c r="A5235" i="1"/>
  <c r="B5235" i="1"/>
  <c r="A5236" i="1"/>
  <c r="B5236" i="1"/>
  <c r="A5237" i="1"/>
  <c r="B5237" i="1"/>
  <c r="A5238" i="1"/>
  <c r="B5238" i="1"/>
  <c r="A5239" i="1"/>
  <c r="B5239" i="1"/>
  <c r="A5240" i="1"/>
  <c r="B5240" i="1"/>
  <c r="A5241" i="1"/>
  <c r="B5241" i="1"/>
  <c r="A5242" i="1"/>
  <c r="B5242" i="1"/>
  <c r="A5243" i="1"/>
  <c r="B5243" i="1"/>
  <c r="A5244" i="1"/>
  <c r="B5244" i="1"/>
  <c r="A5245" i="1"/>
  <c r="B5245" i="1"/>
  <c r="A5246" i="1"/>
  <c r="B5246" i="1"/>
  <c r="A5247" i="1"/>
  <c r="B5247" i="1"/>
  <c r="A5248" i="1"/>
  <c r="B5248" i="1"/>
  <c r="A5249" i="1"/>
  <c r="B5249" i="1"/>
  <c r="A5250" i="1"/>
  <c r="B5250" i="1"/>
  <c r="A5251" i="1"/>
  <c r="B5251" i="1"/>
  <c r="A5252" i="1"/>
  <c r="B5252" i="1"/>
  <c r="A5253" i="1"/>
  <c r="B5253" i="1"/>
  <c r="A5254" i="1"/>
  <c r="B5254" i="1"/>
  <c r="A5255" i="1"/>
  <c r="B5255" i="1"/>
  <c r="A5256" i="1"/>
  <c r="B5256" i="1"/>
  <c r="A5257" i="1"/>
  <c r="B5257" i="1"/>
  <c r="A5258" i="1"/>
  <c r="B5258" i="1"/>
  <c r="A5259" i="1"/>
  <c r="B5259" i="1"/>
  <c r="A5260" i="1"/>
  <c r="B5260" i="1"/>
  <c r="A5261" i="1"/>
  <c r="B5261" i="1"/>
  <c r="A5262" i="1"/>
  <c r="B5262" i="1"/>
  <c r="A5263" i="1"/>
  <c r="B5263" i="1"/>
  <c r="A5264" i="1"/>
  <c r="B5264" i="1"/>
  <c r="A5265" i="1"/>
  <c r="B5265" i="1"/>
  <c r="A5266" i="1"/>
  <c r="B5266" i="1"/>
  <c r="A5267" i="1"/>
  <c r="B5267" i="1"/>
  <c r="A5268" i="1"/>
  <c r="B5268" i="1"/>
  <c r="A5269" i="1"/>
  <c r="B5269" i="1"/>
  <c r="A5270" i="1"/>
  <c r="B5270" i="1"/>
  <c r="A5271" i="1"/>
  <c r="B5271" i="1"/>
  <c r="A5272" i="1"/>
  <c r="B5272" i="1"/>
  <c r="A5273" i="1"/>
  <c r="B5273" i="1"/>
  <c r="A5274" i="1"/>
  <c r="B5274" i="1"/>
  <c r="A5275" i="1"/>
  <c r="B5275" i="1"/>
  <c r="A5276" i="1"/>
  <c r="B5276" i="1"/>
  <c r="A5277" i="1"/>
  <c r="B5277" i="1"/>
  <c r="A5278" i="1"/>
  <c r="B5278" i="1"/>
  <c r="A5279" i="1"/>
  <c r="B5279" i="1"/>
  <c r="A5280" i="1"/>
  <c r="B5280" i="1"/>
  <c r="A5281" i="1"/>
  <c r="B5281" i="1"/>
  <c r="A5282" i="1"/>
  <c r="B5282" i="1"/>
  <c r="A5283" i="1"/>
  <c r="B5283" i="1"/>
  <c r="A5284" i="1"/>
  <c r="B5284" i="1"/>
  <c r="A5285" i="1"/>
  <c r="B5285" i="1"/>
  <c r="A5286" i="1"/>
  <c r="B5286" i="1"/>
  <c r="A5287" i="1"/>
  <c r="B5287" i="1"/>
  <c r="A5288" i="1"/>
  <c r="B5288" i="1"/>
  <c r="A5289" i="1"/>
  <c r="B5289" i="1"/>
  <c r="A5290" i="1"/>
  <c r="B5290" i="1"/>
  <c r="A5291" i="1"/>
  <c r="B5291" i="1"/>
  <c r="A5292" i="1"/>
  <c r="B5292" i="1"/>
  <c r="A5293" i="1"/>
  <c r="B5293" i="1"/>
  <c r="A5294" i="1"/>
  <c r="B5294" i="1"/>
  <c r="A5295" i="1"/>
  <c r="B5295" i="1"/>
  <c r="A5296" i="1"/>
  <c r="B5296" i="1"/>
  <c r="A5297" i="1"/>
  <c r="B5297" i="1"/>
  <c r="A5298" i="1"/>
  <c r="B5298" i="1"/>
  <c r="A5299" i="1"/>
  <c r="B5299" i="1"/>
  <c r="A5300" i="1"/>
  <c r="B5300" i="1"/>
  <c r="A5301" i="1"/>
  <c r="B5301" i="1"/>
  <c r="A5302" i="1"/>
  <c r="B5302" i="1"/>
  <c r="A5303" i="1"/>
  <c r="B5303" i="1"/>
  <c r="A5304" i="1"/>
  <c r="B5304" i="1"/>
  <c r="A5305" i="1"/>
  <c r="B5305" i="1"/>
  <c r="A5306" i="1"/>
  <c r="B5306" i="1"/>
  <c r="A5307" i="1"/>
  <c r="B5307" i="1"/>
  <c r="A5308" i="1"/>
  <c r="B5308" i="1"/>
  <c r="A5309" i="1"/>
  <c r="B5309" i="1"/>
  <c r="A5310" i="1"/>
  <c r="B5310" i="1"/>
  <c r="A5311" i="1"/>
  <c r="B5311" i="1"/>
  <c r="A5312" i="1"/>
  <c r="B5312" i="1"/>
  <c r="A5313" i="1"/>
  <c r="B5313" i="1"/>
  <c r="A5314" i="1"/>
  <c r="B5314" i="1"/>
  <c r="A5315" i="1"/>
  <c r="B5315" i="1"/>
  <c r="A5316" i="1"/>
  <c r="B5316" i="1"/>
  <c r="A5317" i="1"/>
  <c r="B5317" i="1"/>
  <c r="A5318" i="1"/>
  <c r="B5318" i="1"/>
  <c r="A5319" i="1"/>
  <c r="B5319" i="1"/>
  <c r="A5320" i="1"/>
  <c r="B5320" i="1"/>
  <c r="A5321" i="1"/>
  <c r="B5321" i="1"/>
  <c r="A5322" i="1"/>
  <c r="B5322" i="1"/>
  <c r="A5323" i="1"/>
  <c r="B5323" i="1"/>
  <c r="A5324" i="1"/>
  <c r="B5324" i="1"/>
  <c r="A5325" i="1"/>
  <c r="B5325" i="1"/>
  <c r="A5326" i="1"/>
  <c r="B5326" i="1"/>
  <c r="A5327" i="1"/>
  <c r="B5327" i="1"/>
  <c r="A5328" i="1"/>
  <c r="B5328" i="1"/>
  <c r="A5329" i="1"/>
  <c r="B5329" i="1"/>
  <c r="A5330" i="1"/>
  <c r="B5330" i="1"/>
  <c r="A5331" i="1"/>
  <c r="B5331" i="1"/>
  <c r="A5332" i="1"/>
  <c r="B5332" i="1"/>
  <c r="A5333" i="1"/>
  <c r="B5333" i="1"/>
  <c r="A5334" i="1"/>
  <c r="B5334" i="1"/>
  <c r="A5335" i="1"/>
  <c r="B5335" i="1"/>
  <c r="A5336" i="1"/>
  <c r="B5336" i="1"/>
  <c r="A5337" i="1"/>
  <c r="B5337" i="1"/>
  <c r="A5338" i="1"/>
  <c r="B5338" i="1"/>
  <c r="A5339" i="1"/>
  <c r="B5339" i="1"/>
  <c r="A5340" i="1"/>
  <c r="B5340" i="1"/>
  <c r="A5341" i="1"/>
  <c r="B5341" i="1"/>
  <c r="A5342" i="1"/>
  <c r="B5342" i="1"/>
  <c r="A5343" i="1"/>
  <c r="B5343" i="1"/>
  <c r="A5344" i="1"/>
  <c r="B5344" i="1"/>
  <c r="A5345" i="1"/>
  <c r="B5345" i="1"/>
  <c r="A5346" i="1"/>
  <c r="B5346" i="1"/>
  <c r="A5347" i="1"/>
  <c r="B5347" i="1"/>
  <c r="A5348" i="1"/>
  <c r="B5348" i="1"/>
  <c r="A5349" i="1"/>
  <c r="B5349" i="1"/>
  <c r="A5350" i="1"/>
  <c r="B5350" i="1"/>
  <c r="A5351" i="1"/>
  <c r="B5351" i="1"/>
  <c r="A5352" i="1"/>
  <c r="B5352" i="1"/>
  <c r="A5353" i="1"/>
  <c r="B5353" i="1"/>
  <c r="A5354" i="1"/>
  <c r="B5354" i="1"/>
  <c r="A5355" i="1"/>
  <c r="B5355" i="1"/>
  <c r="A5356" i="1"/>
  <c r="B5356" i="1"/>
  <c r="A5357" i="1"/>
  <c r="B5357" i="1"/>
  <c r="A5358" i="1"/>
  <c r="B5358" i="1"/>
  <c r="A5359" i="1"/>
  <c r="B5359" i="1"/>
  <c r="A5360" i="1"/>
  <c r="B5360" i="1"/>
  <c r="A5361" i="1"/>
  <c r="B5361" i="1"/>
  <c r="A5362" i="1"/>
  <c r="B5362" i="1"/>
  <c r="A5363" i="1"/>
  <c r="B5363" i="1"/>
  <c r="A5364" i="1"/>
  <c r="B5364" i="1"/>
  <c r="A5365" i="1"/>
  <c r="B5365" i="1"/>
  <c r="A5366" i="1"/>
  <c r="B5366" i="1"/>
  <c r="A5367" i="1"/>
  <c r="B5367" i="1"/>
  <c r="A5368" i="1"/>
  <c r="B5368" i="1"/>
  <c r="A5369" i="1"/>
  <c r="B5369" i="1"/>
  <c r="A5370" i="1"/>
  <c r="B5370" i="1"/>
  <c r="A5371" i="1"/>
  <c r="B5371" i="1"/>
  <c r="A5372" i="1"/>
  <c r="B5372" i="1"/>
  <c r="A5373" i="1"/>
  <c r="B5373" i="1"/>
  <c r="A5374" i="1"/>
  <c r="B5374" i="1"/>
  <c r="A5375" i="1"/>
  <c r="B5375" i="1"/>
  <c r="A5376" i="1"/>
  <c r="B5376" i="1"/>
  <c r="A5377" i="1"/>
  <c r="B5377" i="1"/>
  <c r="A5378" i="1"/>
  <c r="B5378" i="1"/>
  <c r="A5379" i="1"/>
  <c r="B5379" i="1"/>
  <c r="A5380" i="1"/>
  <c r="B5380" i="1"/>
  <c r="A5381" i="1"/>
  <c r="B5381" i="1"/>
  <c r="A5382" i="1"/>
  <c r="B5382" i="1"/>
  <c r="A5383" i="1"/>
  <c r="B5383" i="1"/>
  <c r="A5384" i="1"/>
  <c r="B5384" i="1"/>
  <c r="A5385" i="1"/>
  <c r="B5385" i="1"/>
  <c r="A5386" i="1"/>
  <c r="B5386" i="1"/>
  <c r="A5387" i="1"/>
  <c r="B5387" i="1"/>
  <c r="A5388" i="1"/>
  <c r="B5388" i="1"/>
  <c r="A5389" i="1"/>
  <c r="B5389" i="1"/>
  <c r="A5390" i="1"/>
  <c r="B5390" i="1"/>
  <c r="A5391" i="1"/>
  <c r="B5391" i="1"/>
  <c r="A5392" i="1"/>
  <c r="B5392" i="1"/>
  <c r="A5393" i="1"/>
  <c r="B5393" i="1"/>
  <c r="A5394" i="1"/>
  <c r="B5394" i="1"/>
  <c r="A5395" i="1"/>
  <c r="B5395" i="1"/>
  <c r="A5396" i="1"/>
  <c r="B5396" i="1"/>
  <c r="A5397" i="1"/>
  <c r="B5397" i="1"/>
  <c r="A5398" i="1"/>
  <c r="B5398" i="1"/>
  <c r="A5399" i="1"/>
  <c r="B5399" i="1"/>
  <c r="A5400" i="1"/>
  <c r="B5400" i="1"/>
  <c r="A5401" i="1"/>
  <c r="B5401" i="1"/>
  <c r="A5402" i="1"/>
  <c r="B5402" i="1"/>
  <c r="A5403" i="1"/>
  <c r="B5403" i="1"/>
  <c r="A5404" i="1"/>
  <c r="B5404" i="1"/>
  <c r="A5405" i="1"/>
  <c r="B5405" i="1"/>
  <c r="A5406" i="1"/>
  <c r="B5406" i="1"/>
  <c r="A5407" i="1"/>
  <c r="B5407" i="1"/>
  <c r="A5408" i="1"/>
  <c r="B5408" i="1"/>
  <c r="A5409" i="1"/>
  <c r="B5409" i="1"/>
  <c r="A5410" i="1"/>
  <c r="B5410" i="1"/>
  <c r="A5411" i="1"/>
  <c r="B5411" i="1"/>
  <c r="A5412" i="1"/>
  <c r="B5412" i="1"/>
  <c r="A5413" i="1"/>
  <c r="B5413" i="1"/>
  <c r="A5414" i="1"/>
  <c r="B5414" i="1"/>
  <c r="A5415" i="1"/>
  <c r="B5415" i="1"/>
  <c r="A5416" i="1"/>
  <c r="B5416" i="1"/>
  <c r="A5417" i="1"/>
  <c r="B5417" i="1"/>
  <c r="A5418" i="1"/>
  <c r="B5418" i="1"/>
  <c r="A5419" i="1"/>
  <c r="B5419" i="1"/>
  <c r="A5420" i="1"/>
  <c r="B5420" i="1"/>
  <c r="A5421" i="1"/>
  <c r="B5421" i="1"/>
  <c r="A5422" i="1"/>
  <c r="B5422" i="1"/>
  <c r="A5423" i="1"/>
  <c r="B5423" i="1"/>
  <c r="A5424" i="1"/>
  <c r="B5424" i="1"/>
  <c r="A5425" i="1"/>
  <c r="B5425" i="1"/>
  <c r="A5426" i="1"/>
  <c r="B5426" i="1"/>
  <c r="A5427" i="1"/>
  <c r="B5427" i="1"/>
  <c r="A5428" i="1"/>
  <c r="B5428" i="1"/>
  <c r="A5429" i="1"/>
  <c r="B5429" i="1"/>
  <c r="A5430" i="1"/>
  <c r="B5430" i="1"/>
  <c r="A5431" i="1"/>
  <c r="B5431" i="1"/>
  <c r="A5432" i="1"/>
  <c r="B5432" i="1"/>
  <c r="A5433" i="1"/>
  <c r="B5433" i="1"/>
  <c r="A5434" i="1"/>
  <c r="B5434" i="1"/>
  <c r="A5435" i="1"/>
  <c r="B5435" i="1"/>
  <c r="A5436" i="1"/>
  <c r="B5436" i="1"/>
  <c r="A5437" i="1"/>
  <c r="B5437" i="1"/>
  <c r="A5438" i="1"/>
  <c r="B5438" i="1"/>
  <c r="A5439" i="1"/>
  <c r="B5439" i="1"/>
  <c r="A5440" i="1"/>
  <c r="B5440" i="1"/>
  <c r="A5441" i="1"/>
  <c r="B5441" i="1"/>
  <c r="A5442" i="1"/>
  <c r="B5442" i="1"/>
  <c r="A5443" i="1"/>
  <c r="B5443" i="1"/>
  <c r="A5444" i="1"/>
  <c r="B5444" i="1"/>
  <c r="A5445" i="1"/>
  <c r="B5445" i="1"/>
  <c r="A5446" i="1"/>
  <c r="B5446" i="1"/>
  <c r="A5447" i="1"/>
  <c r="B5447" i="1"/>
  <c r="A5448" i="1"/>
  <c r="B5448" i="1"/>
  <c r="A5449" i="1"/>
  <c r="B5449" i="1"/>
  <c r="A5450" i="1"/>
  <c r="B5450" i="1"/>
  <c r="A5451" i="1"/>
  <c r="B5451" i="1"/>
  <c r="A5452" i="1"/>
  <c r="B5452" i="1"/>
  <c r="A5453" i="1"/>
  <c r="B5453" i="1"/>
  <c r="A5454" i="1"/>
  <c r="B5454" i="1"/>
  <c r="A5455" i="1"/>
  <c r="B5455" i="1"/>
  <c r="A5456" i="1"/>
  <c r="B5456" i="1"/>
  <c r="A5457" i="1"/>
  <c r="B5457" i="1"/>
  <c r="A5458" i="1"/>
  <c r="B5458" i="1"/>
  <c r="A5459" i="1"/>
  <c r="B5459" i="1"/>
  <c r="A5460" i="1"/>
  <c r="B5460" i="1"/>
  <c r="A5461" i="1"/>
  <c r="B5461" i="1"/>
  <c r="A5462" i="1"/>
  <c r="B5462" i="1"/>
  <c r="A5463" i="1"/>
  <c r="B5463" i="1"/>
  <c r="A5464" i="1"/>
  <c r="B5464" i="1"/>
  <c r="A5465" i="1"/>
  <c r="B5465" i="1"/>
  <c r="A5466" i="1"/>
  <c r="B5466" i="1"/>
  <c r="A5467" i="1"/>
  <c r="B5467" i="1"/>
  <c r="A5468" i="1"/>
  <c r="B5468" i="1"/>
  <c r="A5469" i="1"/>
  <c r="B5469" i="1"/>
  <c r="A5470" i="1"/>
  <c r="B5470" i="1"/>
  <c r="A5471" i="1"/>
  <c r="B5471" i="1"/>
  <c r="A5472" i="1"/>
  <c r="B5472" i="1"/>
  <c r="A5473" i="1"/>
  <c r="B5473" i="1"/>
  <c r="A5474" i="1"/>
  <c r="B5474" i="1"/>
  <c r="A5475" i="1"/>
  <c r="B5475" i="1"/>
  <c r="A5476" i="1"/>
  <c r="B5476" i="1"/>
  <c r="A5477" i="1"/>
  <c r="B5477" i="1"/>
  <c r="A5478" i="1"/>
  <c r="B5478" i="1"/>
  <c r="A5479" i="1"/>
  <c r="B5479" i="1"/>
  <c r="A5480" i="1"/>
  <c r="B5480" i="1"/>
  <c r="A5481" i="1"/>
  <c r="B5481" i="1"/>
  <c r="A5482" i="1"/>
  <c r="B5482" i="1"/>
  <c r="A5483" i="1"/>
  <c r="B5483" i="1"/>
  <c r="A5484" i="1"/>
  <c r="B5484" i="1"/>
  <c r="A5485" i="1"/>
  <c r="B5485" i="1"/>
  <c r="A5486" i="1"/>
  <c r="B5486" i="1"/>
  <c r="A5487" i="1"/>
  <c r="B5487" i="1"/>
  <c r="A5488" i="1"/>
  <c r="B5488" i="1"/>
  <c r="A5489" i="1"/>
  <c r="B5489" i="1"/>
  <c r="A5490" i="1"/>
  <c r="B5490" i="1"/>
  <c r="A5491" i="1"/>
  <c r="B5491" i="1"/>
  <c r="A5492" i="1"/>
  <c r="B5492" i="1"/>
  <c r="A5493" i="1"/>
  <c r="B5493" i="1"/>
  <c r="A5494" i="1"/>
  <c r="B5494" i="1"/>
  <c r="A5495" i="1"/>
  <c r="B5495" i="1"/>
  <c r="A5496" i="1"/>
  <c r="B5496" i="1"/>
  <c r="A5497" i="1"/>
  <c r="B5497" i="1"/>
  <c r="A5498" i="1"/>
  <c r="B5498" i="1"/>
  <c r="A5499" i="1"/>
  <c r="B5499" i="1"/>
  <c r="A5500" i="1"/>
  <c r="B5500" i="1"/>
  <c r="A5501" i="1"/>
  <c r="B5501" i="1"/>
  <c r="A5502" i="1"/>
  <c r="B5502" i="1"/>
  <c r="A5503" i="1"/>
  <c r="B5503" i="1"/>
  <c r="A5504" i="1"/>
  <c r="B5504" i="1"/>
  <c r="A5505" i="1"/>
  <c r="B5505" i="1"/>
  <c r="A5506" i="1"/>
  <c r="B5506" i="1"/>
  <c r="A5507" i="1"/>
  <c r="B5507" i="1"/>
  <c r="A5508" i="1"/>
  <c r="B5508" i="1"/>
  <c r="A5509" i="1"/>
  <c r="B5509" i="1"/>
  <c r="A5510" i="1"/>
  <c r="B5510" i="1"/>
  <c r="A5511" i="1"/>
  <c r="B5511" i="1"/>
  <c r="A5512" i="1"/>
  <c r="B5512" i="1"/>
  <c r="A5513" i="1"/>
  <c r="B5513" i="1"/>
  <c r="A5514" i="1"/>
  <c r="B5514" i="1"/>
  <c r="A5515" i="1"/>
  <c r="B5515" i="1"/>
  <c r="A5516" i="1"/>
  <c r="B5516" i="1"/>
  <c r="A5517" i="1"/>
  <c r="B5517" i="1"/>
  <c r="A5518" i="1"/>
  <c r="B5518" i="1"/>
  <c r="A5519" i="1"/>
  <c r="B5519" i="1"/>
  <c r="A5520" i="1"/>
  <c r="B5520" i="1"/>
  <c r="A5521" i="1"/>
  <c r="B5521" i="1"/>
  <c r="A5522" i="1"/>
  <c r="B5522" i="1"/>
  <c r="A5523" i="1"/>
  <c r="B5523" i="1"/>
  <c r="A5524" i="1"/>
  <c r="B5524" i="1"/>
  <c r="A5525" i="1"/>
  <c r="B5525" i="1"/>
  <c r="A5526" i="1"/>
  <c r="B5526" i="1"/>
  <c r="A5527" i="1"/>
  <c r="B5527" i="1"/>
  <c r="A5528" i="1"/>
  <c r="B5528" i="1"/>
  <c r="A5529" i="1"/>
  <c r="B5529" i="1"/>
  <c r="A5530" i="1"/>
  <c r="B5530" i="1"/>
  <c r="A5531" i="1"/>
  <c r="B5531" i="1"/>
  <c r="A5532" i="1"/>
  <c r="B5532" i="1"/>
  <c r="A5533" i="1"/>
  <c r="B5533" i="1"/>
  <c r="A5534" i="1"/>
  <c r="B5534" i="1"/>
  <c r="A5535" i="1"/>
  <c r="B5535" i="1"/>
  <c r="A5536" i="1"/>
  <c r="B5536" i="1"/>
  <c r="A5537" i="1"/>
  <c r="B5537" i="1"/>
  <c r="A5538" i="1"/>
  <c r="B5538" i="1"/>
  <c r="A5539" i="1"/>
  <c r="B5539" i="1"/>
  <c r="A5540" i="1"/>
  <c r="B5540" i="1"/>
  <c r="A5541" i="1"/>
  <c r="B5541" i="1"/>
  <c r="A5542" i="1"/>
  <c r="B5542" i="1"/>
  <c r="A5543" i="1"/>
  <c r="B5543" i="1"/>
  <c r="A5544" i="1"/>
  <c r="B5544" i="1"/>
  <c r="A5545" i="1"/>
  <c r="B5545" i="1"/>
  <c r="A5546" i="1"/>
  <c r="B5546" i="1"/>
  <c r="A5547" i="1"/>
  <c r="B5547" i="1"/>
  <c r="A5548" i="1"/>
  <c r="B5548" i="1"/>
  <c r="A5549" i="1"/>
  <c r="B5549" i="1"/>
  <c r="A5550" i="1"/>
  <c r="B5550" i="1"/>
  <c r="A5551" i="1"/>
  <c r="B5551" i="1"/>
  <c r="A5552" i="1"/>
  <c r="B5552" i="1"/>
  <c r="A5553" i="1"/>
  <c r="B5553" i="1"/>
  <c r="A5554" i="1"/>
  <c r="B5554" i="1"/>
  <c r="A5555" i="1"/>
  <c r="B5555" i="1"/>
  <c r="A5556" i="1"/>
  <c r="B5556" i="1"/>
  <c r="A5557" i="1"/>
  <c r="B5557" i="1"/>
  <c r="A5558" i="1"/>
  <c r="B5558" i="1"/>
  <c r="A5559" i="1"/>
  <c r="B5559" i="1"/>
  <c r="A5560" i="1"/>
  <c r="B5560" i="1"/>
  <c r="A5561" i="1"/>
  <c r="B5561" i="1"/>
  <c r="A5562" i="1"/>
  <c r="B5562" i="1"/>
  <c r="A5563" i="1"/>
  <c r="B5563" i="1"/>
  <c r="A5564" i="1"/>
  <c r="B5564" i="1"/>
  <c r="A5565" i="1"/>
  <c r="B5565" i="1"/>
  <c r="A5566" i="1"/>
  <c r="B5566" i="1"/>
  <c r="A5567" i="1"/>
  <c r="B5567" i="1"/>
  <c r="A5568" i="1"/>
  <c r="B5568" i="1"/>
  <c r="A5569" i="1"/>
  <c r="B5569" i="1"/>
  <c r="A5570" i="1"/>
  <c r="B5570" i="1"/>
  <c r="A5571" i="1"/>
  <c r="B5571" i="1"/>
  <c r="A5572" i="1"/>
  <c r="B5572" i="1"/>
  <c r="A5573" i="1"/>
  <c r="B5573" i="1"/>
  <c r="A5574" i="1"/>
  <c r="B5574" i="1"/>
  <c r="A5575" i="1"/>
  <c r="B5575" i="1"/>
  <c r="A5576" i="1"/>
  <c r="B5576" i="1"/>
  <c r="A5577" i="1"/>
  <c r="B5577" i="1"/>
  <c r="A5578" i="1"/>
  <c r="B5578" i="1"/>
  <c r="A5579" i="1"/>
  <c r="B5579" i="1"/>
  <c r="A5580" i="1"/>
  <c r="B5580" i="1"/>
  <c r="A5581" i="1"/>
  <c r="B5581" i="1"/>
  <c r="A5582" i="1"/>
  <c r="B5582" i="1"/>
  <c r="A5583" i="1"/>
  <c r="B5583" i="1"/>
  <c r="A5584" i="1"/>
  <c r="B5584" i="1"/>
  <c r="A5585" i="1"/>
  <c r="B5585" i="1"/>
  <c r="A5586" i="1"/>
  <c r="B5586" i="1"/>
  <c r="A5587" i="1"/>
  <c r="B5587" i="1"/>
  <c r="A5588" i="1"/>
  <c r="B5588" i="1"/>
  <c r="A5589" i="1"/>
  <c r="B5589" i="1"/>
  <c r="A5590" i="1"/>
  <c r="B5590" i="1"/>
  <c r="A5591" i="1"/>
  <c r="B5591" i="1"/>
  <c r="A5592" i="1"/>
  <c r="B5592" i="1"/>
  <c r="A5593" i="1"/>
  <c r="B5593" i="1"/>
  <c r="A5594" i="1"/>
  <c r="B5594" i="1"/>
  <c r="A5595" i="1"/>
  <c r="B5595" i="1"/>
  <c r="A5596" i="1"/>
  <c r="B5596" i="1"/>
  <c r="A5597" i="1"/>
  <c r="B5597" i="1"/>
  <c r="A5598" i="1"/>
  <c r="B5598" i="1"/>
  <c r="A5599" i="1"/>
  <c r="B5599" i="1"/>
  <c r="A5600" i="1"/>
  <c r="B5600" i="1"/>
  <c r="A5601" i="1"/>
  <c r="B5601" i="1"/>
  <c r="A5602" i="1"/>
  <c r="B5602" i="1"/>
  <c r="A5603" i="1"/>
  <c r="B5603" i="1"/>
  <c r="A5604" i="1"/>
  <c r="B5604" i="1"/>
  <c r="A5605" i="1"/>
  <c r="B5605" i="1"/>
  <c r="A5606" i="1"/>
  <c r="B5606" i="1"/>
  <c r="A5607" i="1"/>
  <c r="B5607" i="1"/>
  <c r="A5608" i="1"/>
  <c r="B5608" i="1"/>
  <c r="A5609" i="1"/>
  <c r="B5609" i="1"/>
  <c r="A5610" i="1"/>
  <c r="B5610" i="1"/>
  <c r="A5611" i="1"/>
  <c r="B5611" i="1"/>
  <c r="A5612" i="1"/>
  <c r="B5612" i="1"/>
  <c r="A5613" i="1"/>
  <c r="B5613" i="1"/>
  <c r="A5614" i="1"/>
  <c r="B5614" i="1"/>
  <c r="A5615" i="1"/>
  <c r="B5615" i="1"/>
  <c r="A5616" i="1"/>
  <c r="B5616" i="1"/>
  <c r="A5617" i="1"/>
  <c r="B5617" i="1"/>
  <c r="A5618" i="1"/>
  <c r="B5618" i="1"/>
  <c r="A5619" i="1"/>
  <c r="B5619" i="1"/>
  <c r="A5620" i="1"/>
  <c r="B5620" i="1"/>
  <c r="A5621" i="1"/>
  <c r="B5621" i="1"/>
  <c r="A5622" i="1"/>
  <c r="B5622" i="1"/>
  <c r="A5623" i="1"/>
  <c r="B5623" i="1"/>
  <c r="A5624" i="1"/>
  <c r="B5624" i="1"/>
  <c r="A5625" i="1"/>
  <c r="B5625" i="1"/>
  <c r="A5626" i="1"/>
  <c r="B5626" i="1"/>
  <c r="A5627" i="1"/>
  <c r="B5627" i="1"/>
  <c r="A5628" i="1"/>
  <c r="B5628" i="1"/>
  <c r="A5629" i="1"/>
  <c r="B5629" i="1"/>
  <c r="A5630" i="1"/>
  <c r="B5630" i="1"/>
  <c r="A5631" i="1"/>
  <c r="B5631" i="1"/>
  <c r="A5632" i="1"/>
  <c r="B5632" i="1"/>
  <c r="A5633" i="1"/>
  <c r="B5633" i="1"/>
  <c r="A5634" i="1"/>
  <c r="B5634" i="1"/>
  <c r="A5635" i="1"/>
  <c r="B5635" i="1"/>
  <c r="A5636" i="1"/>
  <c r="B5636" i="1"/>
  <c r="A5637" i="1"/>
  <c r="B5637" i="1"/>
  <c r="A5638" i="1"/>
  <c r="B5638" i="1"/>
  <c r="A5639" i="1"/>
  <c r="B5639" i="1"/>
  <c r="A5640" i="1"/>
  <c r="B5640" i="1"/>
  <c r="A5641" i="1"/>
  <c r="B5641" i="1"/>
  <c r="A5642" i="1"/>
  <c r="B5642" i="1"/>
  <c r="A5643" i="1"/>
  <c r="B5643" i="1"/>
  <c r="A5644" i="1"/>
  <c r="B5644" i="1"/>
  <c r="A5645" i="1"/>
  <c r="B5645" i="1"/>
  <c r="A5646" i="1"/>
  <c r="B5646" i="1"/>
  <c r="A5647" i="1"/>
  <c r="B5647" i="1"/>
  <c r="A5648" i="1"/>
  <c r="B5648" i="1"/>
  <c r="A5649" i="1"/>
  <c r="B5649" i="1"/>
  <c r="A5650" i="1"/>
  <c r="B5650" i="1"/>
  <c r="A5651" i="1"/>
  <c r="B5651" i="1"/>
  <c r="A5652" i="1"/>
  <c r="B5652" i="1"/>
  <c r="A5653" i="1"/>
  <c r="B5653" i="1"/>
  <c r="A5654" i="1"/>
  <c r="B5654" i="1"/>
  <c r="A5655" i="1"/>
  <c r="B5655" i="1"/>
  <c r="A5656" i="1"/>
  <c r="B5656" i="1"/>
  <c r="A5657" i="1"/>
  <c r="B5657" i="1"/>
  <c r="A5658" i="1"/>
  <c r="B5658" i="1"/>
  <c r="A5659" i="1"/>
  <c r="B5659" i="1"/>
  <c r="A5660" i="1"/>
  <c r="B5660" i="1"/>
  <c r="A5661" i="1"/>
  <c r="B5661" i="1"/>
  <c r="A5662" i="1"/>
  <c r="B5662" i="1"/>
  <c r="A5663" i="1"/>
  <c r="B5663" i="1"/>
  <c r="A5664" i="1"/>
  <c r="B5664" i="1"/>
  <c r="A5665" i="1"/>
  <c r="B5665" i="1"/>
  <c r="A5666" i="1"/>
  <c r="B5666" i="1"/>
  <c r="A5667" i="1"/>
  <c r="B5667" i="1"/>
  <c r="A5668" i="1"/>
  <c r="B5668" i="1"/>
  <c r="A5669" i="1"/>
  <c r="B5669" i="1"/>
  <c r="A5670" i="1"/>
  <c r="B5670" i="1"/>
  <c r="A5671" i="1"/>
  <c r="B5671" i="1"/>
  <c r="A5672" i="1"/>
  <c r="B5672" i="1"/>
  <c r="A5673" i="1"/>
  <c r="B5673" i="1"/>
  <c r="A5674" i="1"/>
  <c r="B5674" i="1"/>
  <c r="A5675" i="1"/>
  <c r="B5675" i="1"/>
  <c r="A5676" i="1"/>
  <c r="B5676" i="1"/>
  <c r="A5677" i="1"/>
  <c r="B5677" i="1"/>
  <c r="A5678" i="1"/>
  <c r="B5678" i="1"/>
  <c r="A5679" i="1"/>
  <c r="B5679" i="1"/>
  <c r="A5680" i="1"/>
  <c r="B5680" i="1"/>
  <c r="A5681" i="1"/>
  <c r="B5681" i="1"/>
  <c r="A5682" i="1"/>
  <c r="B5682" i="1"/>
  <c r="A5683" i="1"/>
  <c r="B5683" i="1"/>
  <c r="A5684" i="1"/>
  <c r="B5684" i="1"/>
  <c r="A5685" i="1"/>
  <c r="B5685" i="1"/>
  <c r="A5686" i="1"/>
  <c r="B5686" i="1"/>
  <c r="A5687" i="1"/>
  <c r="B5687" i="1"/>
  <c r="A5688" i="1"/>
  <c r="B5688" i="1"/>
  <c r="A5689" i="1"/>
  <c r="B5689" i="1"/>
  <c r="A5690" i="1"/>
  <c r="B5690" i="1"/>
  <c r="A5691" i="1"/>
  <c r="B5691" i="1"/>
  <c r="A5692" i="1"/>
  <c r="B5692" i="1"/>
  <c r="A5693" i="1"/>
  <c r="B5693" i="1"/>
  <c r="A5694" i="1"/>
  <c r="B5694" i="1"/>
  <c r="A5695" i="1"/>
  <c r="B5695" i="1"/>
  <c r="A5696" i="1"/>
  <c r="B5696" i="1"/>
  <c r="A5697" i="1"/>
  <c r="B5697" i="1"/>
  <c r="A5698" i="1"/>
  <c r="B5698" i="1"/>
  <c r="A5699" i="1"/>
  <c r="B5699" i="1"/>
  <c r="A5700" i="1"/>
  <c r="B5700" i="1"/>
  <c r="A5701" i="1"/>
  <c r="B5701" i="1"/>
  <c r="A5702" i="1"/>
  <c r="B5702" i="1"/>
  <c r="A5703" i="1"/>
  <c r="B5703" i="1"/>
  <c r="A5704" i="1"/>
  <c r="B5704" i="1"/>
  <c r="A5705" i="1"/>
  <c r="B5705" i="1"/>
  <c r="A5706" i="1"/>
  <c r="B5706" i="1"/>
  <c r="A5707" i="1"/>
  <c r="B5707" i="1"/>
  <c r="A5708" i="1"/>
  <c r="B5708" i="1"/>
  <c r="A5709" i="1"/>
  <c r="B5709" i="1"/>
  <c r="A5710" i="1"/>
  <c r="B5710" i="1"/>
  <c r="A5711" i="1"/>
  <c r="B5711" i="1"/>
  <c r="A5712" i="1"/>
  <c r="B5712" i="1"/>
  <c r="A5713" i="1"/>
  <c r="B5713" i="1"/>
  <c r="A5714" i="1"/>
  <c r="B5714" i="1"/>
  <c r="A5715" i="1"/>
  <c r="B5715" i="1"/>
  <c r="A5716" i="1"/>
  <c r="B5716" i="1"/>
  <c r="A5717" i="1"/>
  <c r="B5717" i="1"/>
  <c r="A5718" i="1"/>
  <c r="B5718" i="1"/>
  <c r="A5719" i="1"/>
  <c r="B5719" i="1"/>
  <c r="A5720" i="1"/>
  <c r="B5720" i="1"/>
  <c r="A5721" i="1"/>
  <c r="B5721" i="1"/>
  <c r="A5722" i="1"/>
  <c r="B5722" i="1"/>
  <c r="A5723" i="1"/>
  <c r="B5723" i="1"/>
  <c r="A5724" i="1"/>
  <c r="B5724" i="1"/>
  <c r="A5725" i="1"/>
  <c r="B5725" i="1"/>
  <c r="A5726" i="1"/>
  <c r="B5726" i="1"/>
  <c r="A5727" i="1"/>
  <c r="B5727" i="1"/>
  <c r="A5728" i="1"/>
  <c r="B5728" i="1"/>
  <c r="A5729" i="1"/>
  <c r="B5729" i="1"/>
  <c r="A5730" i="1"/>
  <c r="B5730" i="1"/>
  <c r="A5731" i="1"/>
  <c r="B5731" i="1"/>
  <c r="A5732" i="1"/>
  <c r="B5732" i="1"/>
  <c r="A5733" i="1"/>
  <c r="B5733" i="1"/>
  <c r="A5734" i="1"/>
  <c r="B5734" i="1"/>
  <c r="A5735" i="1"/>
  <c r="B5735" i="1"/>
  <c r="A5736" i="1"/>
  <c r="B5736" i="1"/>
  <c r="A5737" i="1"/>
  <c r="B5737" i="1"/>
  <c r="A5738" i="1"/>
  <c r="B5738" i="1"/>
  <c r="A5739" i="1"/>
  <c r="B5739" i="1"/>
  <c r="A5740" i="1"/>
  <c r="B5740" i="1"/>
  <c r="A5741" i="1"/>
  <c r="B5741" i="1"/>
  <c r="A5742" i="1"/>
  <c r="B5742" i="1"/>
  <c r="A5743" i="1"/>
  <c r="B5743" i="1"/>
  <c r="A5744" i="1"/>
  <c r="B5744" i="1"/>
  <c r="A5745" i="1"/>
  <c r="B5745" i="1"/>
  <c r="A5746" i="1"/>
  <c r="B5746" i="1"/>
  <c r="A5747" i="1"/>
  <c r="B5747" i="1"/>
  <c r="A5748" i="1"/>
  <c r="B5748" i="1"/>
  <c r="A5749" i="1"/>
  <c r="B5749" i="1"/>
  <c r="A5750" i="1"/>
  <c r="B5750" i="1"/>
  <c r="A5751" i="1"/>
  <c r="B5751" i="1"/>
  <c r="A5752" i="1"/>
  <c r="B5752" i="1"/>
  <c r="A5753" i="1"/>
  <c r="B5753" i="1"/>
  <c r="A5754" i="1"/>
  <c r="B5754" i="1"/>
  <c r="A5755" i="1"/>
  <c r="B5755" i="1"/>
  <c r="A5756" i="1"/>
  <c r="B5756" i="1"/>
  <c r="A5757" i="1"/>
  <c r="B5757" i="1"/>
  <c r="A5758" i="1"/>
  <c r="B5758" i="1"/>
  <c r="A5759" i="1"/>
  <c r="B5759" i="1"/>
  <c r="A5760" i="1"/>
  <c r="B5760" i="1"/>
  <c r="A5761" i="1"/>
  <c r="B5761" i="1"/>
  <c r="A5762" i="1"/>
  <c r="B5762" i="1"/>
  <c r="A5763" i="1"/>
  <c r="B5763" i="1"/>
  <c r="A5764" i="1"/>
  <c r="B5764" i="1"/>
  <c r="A5765" i="1"/>
  <c r="B5765" i="1"/>
  <c r="A5766" i="1"/>
  <c r="B5766" i="1"/>
  <c r="A5767" i="1"/>
  <c r="B5767" i="1"/>
  <c r="A5768" i="1"/>
  <c r="B5768" i="1"/>
  <c r="A5769" i="1"/>
  <c r="B5769" i="1"/>
  <c r="A5770" i="1"/>
  <c r="B5770" i="1"/>
  <c r="A5771" i="1"/>
  <c r="B5771" i="1"/>
  <c r="A5772" i="1"/>
  <c r="B5772" i="1"/>
  <c r="A5773" i="1"/>
  <c r="B5773" i="1"/>
  <c r="A5774" i="1"/>
  <c r="B5774" i="1"/>
  <c r="A5775" i="1"/>
  <c r="B5775" i="1"/>
  <c r="A5776" i="1"/>
  <c r="B5776" i="1"/>
  <c r="A5777" i="1"/>
  <c r="B5777" i="1"/>
  <c r="A5778" i="1"/>
  <c r="B5778" i="1"/>
  <c r="A5779" i="1"/>
  <c r="B5779" i="1"/>
  <c r="A5780" i="1"/>
  <c r="B5780" i="1"/>
  <c r="A5781" i="1"/>
  <c r="B5781" i="1"/>
  <c r="A5782" i="1"/>
  <c r="B5782" i="1"/>
  <c r="A5783" i="1"/>
  <c r="B5783" i="1"/>
  <c r="A5784" i="1"/>
  <c r="B5784" i="1"/>
  <c r="A5785" i="1"/>
  <c r="B5785" i="1"/>
  <c r="A5786" i="1"/>
  <c r="B5786" i="1"/>
  <c r="A5787" i="1"/>
  <c r="B5787" i="1"/>
  <c r="A5788" i="1"/>
  <c r="B5788" i="1"/>
  <c r="A5789" i="1"/>
  <c r="B5789" i="1"/>
  <c r="A5790" i="1"/>
  <c r="B5790" i="1"/>
  <c r="A5791" i="1"/>
  <c r="B5791" i="1"/>
  <c r="A5792" i="1"/>
  <c r="B5792" i="1"/>
  <c r="A5793" i="1"/>
  <c r="B5793" i="1"/>
  <c r="A5794" i="1"/>
  <c r="B5794" i="1"/>
  <c r="A5795" i="1"/>
  <c r="B5795" i="1"/>
  <c r="A5796" i="1"/>
  <c r="B5796" i="1"/>
  <c r="A5797" i="1"/>
  <c r="B5797" i="1"/>
  <c r="A5798" i="1"/>
  <c r="B5798" i="1"/>
  <c r="A5799" i="1"/>
  <c r="B5799" i="1"/>
  <c r="A5800" i="1"/>
  <c r="B5800" i="1"/>
  <c r="A5801" i="1"/>
  <c r="B5801" i="1"/>
  <c r="A5802" i="1"/>
  <c r="B5802" i="1"/>
  <c r="B5803" i="1"/>
  <c r="A5804" i="1"/>
  <c r="B5804" i="1"/>
  <c r="A5805" i="1"/>
  <c r="B5805" i="1"/>
  <c r="A5806" i="1"/>
  <c r="B5806" i="1"/>
  <c r="A5807" i="1"/>
  <c r="B5807" i="1"/>
  <c r="A5808" i="1"/>
  <c r="B5808" i="1"/>
  <c r="A5809" i="1"/>
  <c r="B5809" i="1"/>
  <c r="A5810" i="1"/>
  <c r="B5810" i="1"/>
  <c r="A5811" i="1"/>
  <c r="B5811" i="1"/>
  <c r="A5812" i="1"/>
  <c r="B5812" i="1"/>
  <c r="A5813" i="1"/>
  <c r="B5813" i="1"/>
  <c r="A5814" i="1"/>
  <c r="B5814" i="1"/>
  <c r="A5815" i="1"/>
  <c r="B5815" i="1"/>
  <c r="A5816" i="1"/>
  <c r="B5816" i="1"/>
  <c r="A5817" i="1"/>
  <c r="B5817" i="1"/>
  <c r="A5818" i="1"/>
  <c r="B5818" i="1"/>
  <c r="A5819" i="1"/>
  <c r="B5819" i="1"/>
  <c r="A5820" i="1"/>
  <c r="B5820" i="1"/>
  <c r="A5821" i="1"/>
  <c r="B5821" i="1"/>
  <c r="A5822" i="1"/>
  <c r="B5822" i="1"/>
  <c r="A5823" i="1"/>
  <c r="B5823" i="1"/>
  <c r="A5824" i="1"/>
  <c r="B5824" i="1"/>
  <c r="A5825" i="1"/>
  <c r="B5825" i="1"/>
  <c r="A5826" i="1"/>
  <c r="B5826" i="1"/>
  <c r="A5827" i="1"/>
  <c r="B5827" i="1"/>
  <c r="A5828" i="1"/>
  <c r="B5828" i="1"/>
  <c r="A5829" i="1"/>
  <c r="B5829" i="1"/>
  <c r="A5830" i="1"/>
  <c r="B5830" i="1"/>
  <c r="A5831" i="1"/>
  <c r="B5831" i="1"/>
  <c r="A5832" i="1"/>
  <c r="B5832" i="1"/>
  <c r="A5833" i="1"/>
  <c r="B5833" i="1"/>
  <c r="A5834" i="1"/>
  <c r="B5834" i="1"/>
  <c r="A5835" i="1"/>
  <c r="B5835" i="1"/>
  <c r="A5836" i="1"/>
  <c r="B5836" i="1"/>
  <c r="A5837" i="1"/>
  <c r="B5837" i="1"/>
  <c r="A5838" i="1"/>
  <c r="B5838" i="1"/>
  <c r="A5839" i="1"/>
  <c r="B5839" i="1"/>
  <c r="A5840" i="1"/>
  <c r="B5840" i="1"/>
  <c r="A5841" i="1"/>
  <c r="B5841" i="1"/>
  <c r="A5842" i="1"/>
  <c r="B5842" i="1"/>
  <c r="A5843" i="1"/>
  <c r="B5843" i="1"/>
  <c r="A5844" i="1"/>
  <c r="B5844" i="1"/>
  <c r="A5845" i="1"/>
  <c r="B5845" i="1"/>
  <c r="A5846" i="1"/>
  <c r="B5846" i="1"/>
  <c r="A5847" i="1"/>
  <c r="B5847" i="1"/>
  <c r="B5848" i="1"/>
  <c r="A5849" i="1"/>
  <c r="B5849" i="1"/>
  <c r="A5850" i="1"/>
  <c r="B5850" i="1"/>
  <c r="A5851" i="1"/>
  <c r="B5851" i="1"/>
  <c r="A5852" i="1"/>
  <c r="B5852" i="1"/>
  <c r="A5853" i="1"/>
  <c r="B5853" i="1"/>
  <c r="A5854" i="1"/>
  <c r="B5854" i="1"/>
  <c r="A5855" i="1"/>
  <c r="B5855" i="1"/>
  <c r="A5856" i="1"/>
  <c r="B5856" i="1"/>
  <c r="A5857" i="1"/>
  <c r="B5857" i="1"/>
  <c r="A5858" i="1"/>
  <c r="B5858" i="1"/>
  <c r="A5859" i="1"/>
  <c r="B5859" i="1"/>
  <c r="A5860" i="1"/>
  <c r="B5860" i="1"/>
  <c r="A5861" i="1"/>
  <c r="B5861" i="1"/>
  <c r="A5862" i="1"/>
  <c r="B5862" i="1"/>
  <c r="A5863" i="1"/>
  <c r="B5863" i="1"/>
  <c r="A5864" i="1"/>
  <c r="B5864" i="1"/>
  <c r="A5865" i="1"/>
  <c r="B5865" i="1"/>
  <c r="A5866" i="1"/>
  <c r="B5866" i="1"/>
  <c r="A5867" i="1"/>
  <c r="B5867" i="1"/>
  <c r="A5868" i="1"/>
  <c r="B5868" i="1"/>
  <c r="A5869" i="1"/>
  <c r="B5869" i="1"/>
  <c r="A5870" i="1"/>
  <c r="B5870" i="1"/>
  <c r="A5871" i="1"/>
  <c r="B5871" i="1"/>
  <c r="A5872" i="1"/>
  <c r="B5872" i="1"/>
  <c r="A5873" i="1"/>
  <c r="B5873" i="1"/>
  <c r="A5874" i="1"/>
  <c r="B5874" i="1"/>
  <c r="A5875" i="1"/>
  <c r="B5875" i="1"/>
  <c r="A5876" i="1"/>
  <c r="B5876" i="1"/>
  <c r="A5877" i="1"/>
  <c r="B5877" i="1"/>
  <c r="A5878" i="1"/>
  <c r="B5878" i="1"/>
  <c r="A5879" i="1"/>
  <c r="B5879" i="1"/>
  <c r="A5880" i="1"/>
  <c r="B5880" i="1"/>
  <c r="A5881" i="1"/>
  <c r="B5881" i="1"/>
  <c r="A5882" i="1"/>
  <c r="B5882" i="1"/>
  <c r="A5883" i="1"/>
  <c r="B5883" i="1"/>
  <c r="A5884" i="1"/>
  <c r="B5884" i="1"/>
  <c r="A5885" i="1"/>
  <c r="B5885" i="1"/>
  <c r="A5886" i="1"/>
  <c r="B5886" i="1"/>
  <c r="A5887" i="1"/>
  <c r="B5887" i="1"/>
  <c r="A5888" i="1"/>
  <c r="B5888" i="1"/>
  <c r="A5889" i="1"/>
  <c r="B5889" i="1"/>
  <c r="A5890" i="1"/>
  <c r="B5890" i="1"/>
  <c r="A5891" i="1"/>
  <c r="B5891" i="1"/>
  <c r="A5892" i="1"/>
  <c r="B5892" i="1"/>
  <c r="A5893" i="1"/>
  <c r="B5893" i="1"/>
  <c r="A5894" i="1"/>
  <c r="B5894" i="1"/>
  <c r="A5895" i="1"/>
  <c r="B5895" i="1"/>
  <c r="A5896" i="1"/>
  <c r="B5896" i="1"/>
  <c r="A5897" i="1"/>
  <c r="B5897" i="1"/>
  <c r="A5898" i="1"/>
  <c r="B5898" i="1"/>
  <c r="A5899" i="1"/>
  <c r="B5899" i="1"/>
  <c r="A5900" i="1"/>
  <c r="B5900" i="1"/>
  <c r="A5901" i="1"/>
  <c r="B5901" i="1"/>
  <c r="A5902" i="1"/>
  <c r="B5902" i="1"/>
  <c r="A5903" i="1"/>
  <c r="B5903" i="1"/>
  <c r="A5904" i="1"/>
  <c r="B5904" i="1"/>
  <c r="A5905" i="1"/>
  <c r="B5905" i="1"/>
  <c r="A5906" i="1"/>
  <c r="B5906" i="1"/>
  <c r="A5907" i="1"/>
  <c r="B5907" i="1"/>
  <c r="A5908" i="1"/>
  <c r="B5908" i="1"/>
  <c r="A5909" i="1"/>
  <c r="B5909" i="1"/>
  <c r="A5910" i="1"/>
  <c r="B5910" i="1"/>
  <c r="A5911" i="1"/>
  <c r="B5911" i="1"/>
  <c r="A5912" i="1"/>
  <c r="B5912" i="1"/>
  <c r="A5913" i="1"/>
  <c r="B5913" i="1"/>
  <c r="A5914" i="1"/>
  <c r="B5914" i="1"/>
  <c r="A5915" i="1"/>
  <c r="B5915" i="1"/>
  <c r="A5916" i="1"/>
  <c r="B5916" i="1"/>
  <c r="A5917" i="1"/>
  <c r="B5917" i="1"/>
  <c r="A5918" i="1"/>
  <c r="B5918" i="1"/>
  <c r="A5919" i="1"/>
  <c r="B5919" i="1"/>
  <c r="A5920" i="1"/>
  <c r="B5920" i="1"/>
  <c r="A5921" i="1"/>
  <c r="B5921" i="1"/>
  <c r="A5922" i="1"/>
  <c r="B5922" i="1"/>
  <c r="A5923" i="1"/>
  <c r="B5923" i="1"/>
  <c r="A5924" i="1"/>
  <c r="B5924" i="1"/>
  <c r="A5925" i="1"/>
  <c r="B5925" i="1"/>
  <c r="A5926" i="1"/>
  <c r="B5926" i="1"/>
  <c r="A5927" i="1"/>
  <c r="B5927" i="1"/>
  <c r="A5928" i="1"/>
  <c r="B5928" i="1"/>
  <c r="A5929" i="1"/>
  <c r="B5929" i="1"/>
  <c r="A5930" i="1"/>
  <c r="B5930" i="1"/>
  <c r="A5931" i="1"/>
  <c r="B5931" i="1"/>
  <c r="A5932" i="1"/>
  <c r="B5932" i="1"/>
  <c r="A5933" i="1"/>
  <c r="B5933" i="1"/>
  <c r="A5934" i="1"/>
  <c r="B5934" i="1"/>
  <c r="A5935" i="1"/>
  <c r="B5935" i="1"/>
  <c r="A5936" i="1"/>
  <c r="B5936" i="1"/>
  <c r="A5937" i="1"/>
  <c r="B5937" i="1"/>
  <c r="A5938" i="1"/>
  <c r="B5938" i="1"/>
  <c r="A5939" i="1"/>
  <c r="B5939" i="1"/>
  <c r="A5940" i="1"/>
  <c r="B5940" i="1"/>
  <c r="A5941" i="1"/>
  <c r="B5941" i="1"/>
  <c r="A5942" i="1"/>
  <c r="B5942" i="1"/>
  <c r="A5943" i="1"/>
  <c r="B5943" i="1"/>
  <c r="A5944" i="1"/>
  <c r="B5944" i="1"/>
  <c r="A5945" i="1"/>
  <c r="B5945" i="1"/>
  <c r="A5946" i="1"/>
  <c r="B5946" i="1"/>
  <c r="A5947" i="1"/>
  <c r="B5947" i="1"/>
  <c r="A5948" i="1"/>
  <c r="B5948" i="1"/>
  <c r="A5949" i="1"/>
  <c r="B5949" i="1"/>
  <c r="A5950" i="1"/>
  <c r="B5950" i="1"/>
  <c r="A5951" i="1"/>
  <c r="B5951" i="1"/>
  <c r="A5952" i="1"/>
  <c r="B5952" i="1"/>
  <c r="A5953" i="1"/>
  <c r="B5953" i="1"/>
  <c r="A5954" i="1"/>
  <c r="B5954" i="1"/>
  <c r="A5955" i="1"/>
  <c r="B5955" i="1"/>
  <c r="A5956" i="1"/>
  <c r="B5956" i="1"/>
  <c r="A5957" i="1"/>
  <c r="B5957" i="1"/>
  <c r="A5958" i="1"/>
  <c r="B5958" i="1"/>
  <c r="A5959" i="1"/>
  <c r="B5959" i="1"/>
  <c r="A5960" i="1"/>
  <c r="B5960" i="1"/>
  <c r="A5961" i="1"/>
  <c r="B5961" i="1"/>
  <c r="A5962" i="1"/>
  <c r="B5962" i="1"/>
  <c r="A5963" i="1"/>
  <c r="B5963" i="1"/>
  <c r="A5964" i="1"/>
  <c r="B5964" i="1"/>
  <c r="A5965" i="1"/>
  <c r="B5965" i="1"/>
  <c r="A5966" i="1"/>
  <c r="B5966" i="1"/>
  <c r="A5967" i="1"/>
  <c r="B5967" i="1"/>
  <c r="A5968" i="1"/>
  <c r="B5968" i="1"/>
  <c r="A5969" i="1"/>
  <c r="B5969" i="1"/>
  <c r="A5970" i="1"/>
  <c r="B5970" i="1"/>
  <c r="A5971" i="1"/>
  <c r="B5971" i="1"/>
  <c r="A5972" i="1"/>
  <c r="B5972" i="1"/>
  <c r="A5973" i="1"/>
  <c r="B5973" i="1"/>
  <c r="A5974" i="1"/>
  <c r="B5974" i="1"/>
  <c r="A5975" i="1"/>
  <c r="B5975" i="1"/>
  <c r="A5976" i="1"/>
  <c r="B5976" i="1"/>
  <c r="A5977" i="1"/>
  <c r="B5977" i="1"/>
  <c r="A5978" i="1"/>
  <c r="B5978" i="1"/>
  <c r="A5979" i="1"/>
  <c r="B5979" i="1"/>
  <c r="A5980" i="1"/>
  <c r="B5980" i="1"/>
  <c r="A5981" i="1"/>
  <c r="B5981" i="1"/>
  <c r="A5982" i="1"/>
  <c r="B5982" i="1"/>
  <c r="A5983" i="1"/>
  <c r="B5983" i="1"/>
  <c r="A5984" i="1"/>
  <c r="B5984" i="1"/>
  <c r="A5985" i="1"/>
  <c r="B5985" i="1"/>
  <c r="A5986" i="1"/>
  <c r="B5986" i="1"/>
  <c r="A5987" i="1"/>
  <c r="B5987" i="1"/>
  <c r="A5988" i="1"/>
  <c r="B5988" i="1"/>
  <c r="A5989" i="1"/>
  <c r="B5989" i="1"/>
  <c r="A5990" i="1"/>
  <c r="B5990" i="1"/>
  <c r="A5991" i="1"/>
  <c r="B5991" i="1"/>
  <c r="A5992" i="1"/>
  <c r="B5992" i="1"/>
  <c r="A5993" i="1"/>
  <c r="B5993" i="1"/>
  <c r="A5994" i="1"/>
  <c r="B5994" i="1"/>
  <c r="A5995" i="1"/>
  <c r="B5995" i="1"/>
  <c r="A5996" i="1"/>
  <c r="B5996" i="1"/>
  <c r="A5997" i="1"/>
  <c r="B5997" i="1"/>
  <c r="A5998" i="1"/>
  <c r="B5998" i="1"/>
  <c r="A5999" i="1"/>
  <c r="B5999" i="1"/>
  <c r="A6000" i="1"/>
  <c r="B6000" i="1"/>
  <c r="A6001" i="1"/>
  <c r="B6001" i="1"/>
  <c r="A6002" i="1"/>
  <c r="B6002" i="1"/>
  <c r="A6003" i="1"/>
  <c r="B6003" i="1"/>
  <c r="A6004" i="1"/>
  <c r="B6004" i="1"/>
  <c r="A6005" i="1"/>
  <c r="B6005" i="1"/>
  <c r="A6006" i="1"/>
  <c r="B6006" i="1"/>
  <c r="A6007" i="1"/>
  <c r="B6007" i="1"/>
  <c r="A6008" i="1"/>
  <c r="B6008" i="1"/>
  <c r="A6009" i="1"/>
  <c r="B6009" i="1"/>
  <c r="A6010" i="1"/>
  <c r="B6010" i="1"/>
  <c r="A6011" i="1"/>
  <c r="B6011" i="1"/>
  <c r="A6012" i="1"/>
  <c r="B6012" i="1"/>
  <c r="A6013" i="1"/>
  <c r="B6013" i="1"/>
  <c r="A6014" i="1"/>
  <c r="B6014" i="1"/>
  <c r="A6015" i="1"/>
  <c r="B6015" i="1"/>
  <c r="A6016" i="1"/>
  <c r="B6016" i="1"/>
  <c r="A6017" i="1"/>
  <c r="B6017" i="1"/>
  <c r="A6018" i="1"/>
  <c r="B6018" i="1"/>
  <c r="A6019" i="1"/>
  <c r="B6019" i="1"/>
  <c r="A6020" i="1"/>
  <c r="B6020" i="1"/>
  <c r="A6021" i="1"/>
  <c r="B6021" i="1"/>
  <c r="A6022" i="1"/>
  <c r="B6022" i="1"/>
  <c r="A6023" i="1"/>
  <c r="B6023" i="1"/>
  <c r="A6024" i="1"/>
  <c r="B6024" i="1"/>
  <c r="A6025" i="1"/>
  <c r="B6025" i="1"/>
  <c r="A6026" i="1"/>
  <c r="B6026" i="1"/>
  <c r="A6027" i="1"/>
  <c r="B6027" i="1"/>
  <c r="A6028" i="1"/>
  <c r="B6028" i="1"/>
  <c r="A6029" i="1"/>
  <c r="B6029" i="1"/>
  <c r="A6030" i="1"/>
  <c r="B6030" i="1"/>
  <c r="A6031" i="1"/>
  <c r="B6031" i="1"/>
  <c r="A6032" i="1"/>
  <c r="B6032" i="1"/>
  <c r="A6033" i="1"/>
  <c r="B6033" i="1"/>
  <c r="A6034" i="1"/>
  <c r="B6034" i="1"/>
  <c r="A6035" i="1"/>
  <c r="B6035" i="1"/>
  <c r="A6036" i="1"/>
  <c r="B6036" i="1"/>
  <c r="A6037" i="1"/>
  <c r="B6037" i="1"/>
  <c r="A6038" i="1"/>
  <c r="B6038" i="1"/>
  <c r="A6039" i="1"/>
  <c r="B6039" i="1"/>
  <c r="A6040" i="1"/>
  <c r="B6040" i="1"/>
  <c r="A6041" i="1"/>
  <c r="B6041" i="1"/>
  <c r="A6042" i="1"/>
  <c r="B6042" i="1"/>
  <c r="A6043" i="1"/>
  <c r="B6043" i="1"/>
  <c r="A6044" i="1"/>
  <c r="B6044" i="1"/>
  <c r="A6045" i="1"/>
  <c r="B6045" i="1"/>
  <c r="A6046" i="1"/>
  <c r="B6046" i="1"/>
  <c r="A6047" i="1"/>
  <c r="B6047" i="1"/>
  <c r="A6048" i="1"/>
  <c r="B6048" i="1"/>
  <c r="A6049" i="1"/>
  <c r="B6049" i="1"/>
  <c r="A6050" i="1"/>
  <c r="B6050" i="1"/>
  <c r="A6051" i="1"/>
  <c r="B6051" i="1"/>
  <c r="A6052" i="1"/>
  <c r="B6052" i="1"/>
  <c r="A6053" i="1"/>
  <c r="B6053" i="1"/>
  <c r="A6054" i="1"/>
  <c r="B6054" i="1"/>
  <c r="A6055" i="1"/>
  <c r="B6055" i="1"/>
  <c r="A6056" i="1"/>
  <c r="B6056" i="1"/>
  <c r="A6057" i="1"/>
  <c r="B6057" i="1"/>
  <c r="A6058" i="1"/>
  <c r="B6058" i="1"/>
  <c r="A6059" i="1"/>
  <c r="B6059" i="1"/>
  <c r="A6060" i="1"/>
  <c r="B6060" i="1"/>
  <c r="A6061" i="1"/>
  <c r="B6061" i="1"/>
  <c r="A6062" i="1"/>
  <c r="B6062" i="1"/>
  <c r="A6063" i="1"/>
  <c r="B6063" i="1"/>
  <c r="A6064" i="1"/>
  <c r="B6064" i="1"/>
  <c r="A6065" i="1"/>
  <c r="B6065" i="1"/>
  <c r="A6066" i="1"/>
  <c r="B6066" i="1"/>
  <c r="A6067" i="1"/>
  <c r="B6067" i="1"/>
  <c r="A6068" i="1"/>
  <c r="B6068" i="1"/>
  <c r="A6069" i="1"/>
  <c r="B6069" i="1"/>
  <c r="A6070" i="1"/>
  <c r="B6070" i="1"/>
  <c r="A6071" i="1"/>
  <c r="B6071" i="1"/>
  <c r="A6072" i="1"/>
  <c r="B6072" i="1"/>
  <c r="A6073" i="1"/>
  <c r="B6073" i="1"/>
  <c r="A6074" i="1"/>
  <c r="B6074" i="1"/>
  <c r="A6075" i="1"/>
  <c r="B6075" i="1"/>
  <c r="A6076" i="1"/>
  <c r="B6076" i="1"/>
  <c r="A6077" i="1"/>
  <c r="B6077" i="1"/>
  <c r="A6078" i="1"/>
  <c r="B6078" i="1"/>
  <c r="A6079" i="1"/>
  <c r="B6079" i="1"/>
  <c r="A6080" i="1"/>
  <c r="B6080" i="1"/>
  <c r="A6081" i="1"/>
  <c r="B6081" i="1"/>
  <c r="A6082" i="1"/>
  <c r="B6082" i="1"/>
  <c r="A6083" i="1"/>
  <c r="B6083" i="1"/>
  <c r="A6084" i="1"/>
  <c r="B6084" i="1"/>
  <c r="A6085" i="1"/>
  <c r="B6085" i="1"/>
  <c r="A6086" i="1"/>
  <c r="B6086" i="1"/>
  <c r="A6087" i="1"/>
  <c r="B6087" i="1"/>
  <c r="A6088" i="1"/>
  <c r="B6088" i="1"/>
  <c r="A6089" i="1"/>
  <c r="B6089" i="1"/>
  <c r="A6090" i="1"/>
  <c r="B6090" i="1"/>
  <c r="A6091" i="1"/>
  <c r="B6091" i="1"/>
  <c r="A6092" i="1"/>
  <c r="B6092" i="1"/>
  <c r="A6093" i="1"/>
  <c r="B6093" i="1"/>
  <c r="A6094" i="1"/>
  <c r="B6094" i="1"/>
  <c r="A6095" i="1"/>
  <c r="B6095" i="1"/>
  <c r="A6096" i="1"/>
  <c r="B6096" i="1"/>
  <c r="A6097" i="1"/>
  <c r="B6097" i="1"/>
  <c r="A6098" i="1"/>
  <c r="B6098" i="1"/>
  <c r="A6099" i="1"/>
  <c r="B6099" i="1"/>
  <c r="A6100" i="1"/>
  <c r="B6100" i="1"/>
  <c r="A6101" i="1"/>
  <c r="B6101" i="1"/>
  <c r="A6102" i="1"/>
  <c r="B6102" i="1"/>
  <c r="A6103" i="1"/>
  <c r="B6103" i="1"/>
  <c r="A6104" i="1"/>
  <c r="B6104" i="1"/>
  <c r="A6105" i="1"/>
  <c r="B6105" i="1"/>
  <c r="A6106" i="1"/>
  <c r="B6106" i="1"/>
  <c r="A6107" i="1"/>
  <c r="B6107" i="1"/>
  <c r="A6108" i="1"/>
  <c r="B6108" i="1"/>
  <c r="A6109" i="1"/>
  <c r="B6109" i="1"/>
  <c r="A6110" i="1"/>
  <c r="B6110" i="1"/>
  <c r="A6111" i="1"/>
  <c r="B6111" i="1"/>
  <c r="A6112" i="1"/>
  <c r="B6112" i="1"/>
  <c r="A6113" i="1"/>
  <c r="B6113" i="1"/>
  <c r="A6114" i="1"/>
  <c r="B6114" i="1"/>
  <c r="A6115" i="1"/>
  <c r="B6115" i="1"/>
  <c r="A6116" i="1"/>
  <c r="B6116" i="1"/>
  <c r="A6117" i="1"/>
  <c r="B6117" i="1"/>
  <c r="A6118" i="1"/>
  <c r="B6118" i="1"/>
  <c r="A6119" i="1"/>
  <c r="B6119" i="1"/>
  <c r="A6120" i="1"/>
  <c r="B6120" i="1"/>
  <c r="A6121" i="1"/>
  <c r="B6121" i="1"/>
  <c r="A6122" i="1"/>
  <c r="B6122" i="1"/>
  <c r="A6123" i="1"/>
  <c r="B6123" i="1"/>
  <c r="A6124" i="1"/>
  <c r="B6124" i="1"/>
  <c r="A6125" i="1"/>
  <c r="B6125" i="1"/>
  <c r="A6126" i="1"/>
  <c r="B6126" i="1"/>
  <c r="A6127" i="1"/>
  <c r="B6127" i="1"/>
  <c r="A6128" i="1"/>
  <c r="B6128" i="1"/>
  <c r="A6129" i="1"/>
  <c r="B6129" i="1"/>
  <c r="A6130" i="1"/>
  <c r="B6130" i="1"/>
  <c r="A6131" i="1"/>
  <c r="B6131" i="1"/>
  <c r="A6132" i="1"/>
  <c r="B6132" i="1"/>
  <c r="A6133" i="1"/>
  <c r="B6133" i="1"/>
  <c r="A6134" i="1"/>
  <c r="B6134" i="1"/>
  <c r="A6135" i="1"/>
  <c r="B6135" i="1"/>
  <c r="A6136" i="1"/>
  <c r="B6136" i="1"/>
  <c r="A6137" i="1"/>
  <c r="B6137" i="1"/>
  <c r="A6138" i="1"/>
  <c r="B6138" i="1"/>
  <c r="A6139" i="1"/>
  <c r="B6139" i="1"/>
  <c r="A6140" i="1"/>
  <c r="B6140" i="1"/>
  <c r="A6141" i="1"/>
  <c r="B6141" i="1"/>
  <c r="A6142" i="1"/>
  <c r="B6142" i="1"/>
  <c r="A6143" i="1"/>
  <c r="B6143" i="1"/>
  <c r="A6144" i="1"/>
  <c r="B6144" i="1"/>
  <c r="A6145" i="1"/>
  <c r="B6145" i="1"/>
  <c r="A6146" i="1"/>
  <c r="B6146" i="1"/>
  <c r="A6147" i="1"/>
  <c r="B6147" i="1"/>
  <c r="A6148" i="1"/>
  <c r="B6148" i="1"/>
  <c r="A6149" i="1"/>
  <c r="B6149" i="1"/>
  <c r="B6150" i="1"/>
  <c r="A6151" i="1"/>
  <c r="B6151" i="1"/>
  <c r="A6152" i="1"/>
  <c r="B6152" i="1"/>
  <c r="A6153" i="1"/>
  <c r="B6153" i="1"/>
  <c r="A6154" i="1"/>
  <c r="B6154" i="1"/>
  <c r="A6155" i="1"/>
  <c r="B6155" i="1"/>
  <c r="A6156" i="1"/>
  <c r="B6156" i="1"/>
  <c r="A6157" i="1"/>
  <c r="B6157" i="1"/>
  <c r="A6158" i="1"/>
  <c r="B6158" i="1"/>
  <c r="A6159" i="1"/>
  <c r="B6159" i="1"/>
  <c r="A6160" i="1"/>
  <c r="B6160" i="1"/>
  <c r="A6161" i="1"/>
  <c r="B6161" i="1"/>
  <c r="A6162" i="1"/>
  <c r="B6162" i="1"/>
  <c r="A6163" i="1"/>
  <c r="B6163" i="1"/>
  <c r="A6164" i="1"/>
  <c r="B6164" i="1"/>
  <c r="A6165" i="1"/>
  <c r="B6165" i="1"/>
  <c r="A6166" i="1"/>
  <c r="B6166" i="1"/>
  <c r="A6167" i="1"/>
  <c r="B6167" i="1"/>
  <c r="A6168" i="1"/>
  <c r="B6168" i="1"/>
  <c r="A6169" i="1"/>
  <c r="B6169" i="1"/>
  <c r="A6170" i="1"/>
  <c r="B6170" i="1"/>
  <c r="A6171" i="1"/>
  <c r="B6171" i="1"/>
  <c r="A6172" i="1"/>
  <c r="B6172" i="1"/>
  <c r="A6173" i="1"/>
  <c r="B6173" i="1"/>
  <c r="A6174" i="1"/>
  <c r="B6174" i="1"/>
  <c r="A6175" i="1"/>
  <c r="B6175" i="1"/>
  <c r="A6176" i="1"/>
  <c r="B6176" i="1"/>
  <c r="A6177" i="1"/>
  <c r="B6177" i="1"/>
  <c r="A6178" i="1"/>
  <c r="B6178" i="1"/>
  <c r="A6179" i="1"/>
  <c r="B6179" i="1"/>
  <c r="A6180" i="1"/>
  <c r="B6180" i="1"/>
  <c r="A6181" i="1"/>
  <c r="B6181" i="1"/>
  <c r="A6182" i="1"/>
  <c r="B6182" i="1"/>
  <c r="A6183" i="1"/>
  <c r="B6183" i="1"/>
  <c r="A6184" i="1"/>
  <c r="B6184" i="1"/>
  <c r="A6185" i="1"/>
  <c r="B6185" i="1"/>
  <c r="A6186" i="1"/>
  <c r="B6186" i="1"/>
  <c r="A6187" i="1"/>
  <c r="B6187" i="1"/>
  <c r="A6188" i="1"/>
  <c r="B6188" i="1"/>
  <c r="A6189" i="1"/>
  <c r="B6189" i="1"/>
  <c r="B6190" i="1"/>
  <c r="A6191" i="1"/>
  <c r="B6191" i="1"/>
  <c r="A6192" i="1"/>
  <c r="B6192" i="1"/>
  <c r="A6193" i="1"/>
  <c r="B6193" i="1"/>
  <c r="A6194" i="1"/>
  <c r="B6194" i="1"/>
  <c r="A6195" i="1"/>
  <c r="B6195" i="1"/>
  <c r="A6196" i="1"/>
  <c r="B6196" i="1"/>
  <c r="A6197" i="1"/>
  <c r="B6197" i="1"/>
  <c r="A6198" i="1"/>
  <c r="B6198" i="1"/>
  <c r="A6199" i="1"/>
  <c r="B6199" i="1"/>
  <c r="A6200" i="1"/>
  <c r="B6200" i="1"/>
  <c r="A6201" i="1"/>
  <c r="B6201" i="1"/>
  <c r="A6202" i="1"/>
  <c r="B6202" i="1"/>
  <c r="A6203" i="1"/>
  <c r="B6203" i="1"/>
  <c r="A6204" i="1"/>
  <c r="B6204" i="1"/>
  <c r="A6205" i="1"/>
  <c r="B6205" i="1"/>
  <c r="A6206" i="1"/>
  <c r="B6206" i="1"/>
  <c r="A6207" i="1"/>
  <c r="B6207" i="1"/>
  <c r="A6208" i="1"/>
  <c r="B6208" i="1"/>
  <c r="A6209" i="1"/>
  <c r="B6209" i="1"/>
  <c r="A6210" i="1"/>
  <c r="B6210" i="1"/>
  <c r="A6211" i="1"/>
  <c r="B6211" i="1"/>
  <c r="A6212" i="1"/>
  <c r="B6212" i="1"/>
  <c r="A6213" i="1"/>
  <c r="B6213" i="1"/>
  <c r="A6214" i="1"/>
  <c r="B6214" i="1"/>
  <c r="A6215" i="1"/>
  <c r="B6215" i="1"/>
  <c r="A6216" i="1"/>
  <c r="B6216" i="1"/>
  <c r="A6217" i="1"/>
  <c r="B6217" i="1"/>
  <c r="A6218" i="1"/>
  <c r="B6218" i="1"/>
  <c r="A6219" i="1"/>
  <c r="B6219" i="1"/>
  <c r="A6220" i="1"/>
  <c r="B6220" i="1"/>
  <c r="A6221" i="1"/>
  <c r="B6221" i="1"/>
  <c r="A6222" i="1"/>
  <c r="B6222" i="1"/>
  <c r="A6223" i="1"/>
  <c r="B6223" i="1"/>
  <c r="A6224" i="1"/>
  <c r="B6224" i="1"/>
  <c r="A6225" i="1"/>
  <c r="B6225" i="1"/>
  <c r="A6226" i="1"/>
  <c r="B6226" i="1"/>
  <c r="A6227" i="1"/>
  <c r="B6227" i="1"/>
  <c r="A6228" i="1"/>
  <c r="B6228" i="1"/>
  <c r="A6229" i="1"/>
  <c r="B6229" i="1"/>
  <c r="A6230" i="1"/>
  <c r="B6230" i="1"/>
  <c r="A6231" i="1"/>
  <c r="B6231" i="1"/>
  <c r="A6232" i="1"/>
  <c r="B6232" i="1"/>
  <c r="A6233" i="1"/>
  <c r="B6233" i="1"/>
  <c r="A6234" i="1"/>
  <c r="B6234" i="1"/>
  <c r="A6235" i="1"/>
  <c r="B6235" i="1"/>
  <c r="A6236" i="1"/>
  <c r="B6236" i="1"/>
  <c r="A6237" i="1"/>
  <c r="B6237" i="1"/>
  <c r="A6238" i="1"/>
  <c r="B6238" i="1"/>
  <c r="A6239" i="1"/>
  <c r="B6239" i="1"/>
  <c r="A6240" i="1"/>
  <c r="B6240" i="1"/>
  <c r="A6241" i="1"/>
  <c r="B6241" i="1"/>
  <c r="A6242" i="1"/>
  <c r="B6242" i="1"/>
  <c r="A6243" i="1"/>
  <c r="B6243" i="1"/>
  <c r="A6244" i="1"/>
  <c r="B6244" i="1"/>
  <c r="A6245" i="1"/>
  <c r="B6245" i="1"/>
  <c r="A6246" i="1"/>
  <c r="B6246" i="1"/>
  <c r="A6247" i="1"/>
  <c r="B6247" i="1"/>
  <c r="A6248" i="1"/>
  <c r="B6248" i="1"/>
  <c r="A6249" i="1"/>
  <c r="B6249" i="1"/>
  <c r="A6250" i="1"/>
  <c r="B6250" i="1"/>
  <c r="A6251" i="1"/>
  <c r="B6251" i="1"/>
  <c r="A6252" i="1"/>
  <c r="B6252" i="1"/>
  <c r="A6253" i="1"/>
  <c r="B6253" i="1"/>
  <c r="A6254" i="1"/>
  <c r="B6254" i="1"/>
  <c r="A6255" i="1"/>
  <c r="B6255" i="1"/>
  <c r="A6256" i="1"/>
  <c r="B6256" i="1"/>
  <c r="A6257" i="1"/>
  <c r="B6257" i="1"/>
  <c r="A6258" i="1"/>
  <c r="B6258" i="1"/>
  <c r="A6259" i="1"/>
  <c r="B6259" i="1"/>
  <c r="A6260" i="1"/>
  <c r="B6260" i="1"/>
  <c r="A6261" i="1"/>
  <c r="B6261" i="1"/>
  <c r="A6262" i="1"/>
  <c r="B6262" i="1"/>
  <c r="A6263" i="1"/>
  <c r="B6263" i="1"/>
  <c r="A6264" i="1"/>
  <c r="B6264" i="1"/>
  <c r="A6265" i="1"/>
  <c r="B6265" i="1"/>
  <c r="A6266" i="1"/>
  <c r="B6266" i="1"/>
  <c r="A6267" i="1"/>
  <c r="B6267" i="1"/>
  <c r="A6268" i="1"/>
  <c r="B6268" i="1"/>
  <c r="A6269" i="1"/>
  <c r="B6269" i="1"/>
  <c r="A6270" i="1"/>
  <c r="B6270" i="1"/>
  <c r="A6271" i="1"/>
  <c r="B6271" i="1"/>
  <c r="A6272" i="1"/>
  <c r="B6272" i="1"/>
  <c r="A6273" i="1"/>
  <c r="B6273" i="1"/>
  <c r="A6274" i="1"/>
  <c r="B6274" i="1"/>
  <c r="A6275" i="1"/>
  <c r="B6275" i="1"/>
  <c r="A6276" i="1"/>
  <c r="B6276" i="1"/>
  <c r="A6277" i="1"/>
  <c r="B6277" i="1"/>
  <c r="A6278" i="1"/>
  <c r="B6278" i="1"/>
  <c r="A6279" i="1"/>
  <c r="B6279" i="1"/>
  <c r="A6280" i="1"/>
  <c r="B6280" i="1"/>
  <c r="A6281" i="1"/>
  <c r="B6281" i="1"/>
  <c r="A6282" i="1"/>
  <c r="B6282" i="1"/>
  <c r="A6283" i="1"/>
  <c r="B6283" i="1"/>
  <c r="A6284" i="1"/>
  <c r="B6284" i="1"/>
  <c r="A6285" i="1"/>
  <c r="B6285" i="1"/>
  <c r="A6286" i="1"/>
  <c r="B6286" i="1"/>
  <c r="A6287" i="1"/>
  <c r="B6287" i="1"/>
  <c r="A6288" i="1"/>
  <c r="B6288" i="1"/>
  <c r="A6289" i="1"/>
  <c r="B6289" i="1"/>
  <c r="A6290" i="1"/>
  <c r="B6290" i="1"/>
  <c r="A6291" i="1"/>
  <c r="B6291" i="1"/>
  <c r="A6292" i="1"/>
  <c r="B6292" i="1"/>
  <c r="A6293" i="1"/>
  <c r="B6293" i="1"/>
  <c r="A6294" i="1"/>
  <c r="B6294" i="1"/>
  <c r="A6295" i="1"/>
  <c r="B6295" i="1"/>
  <c r="A6296" i="1"/>
  <c r="B6296" i="1"/>
  <c r="A6297" i="1"/>
  <c r="B6297" i="1"/>
  <c r="A6298" i="1"/>
  <c r="B6298" i="1"/>
  <c r="A6299" i="1"/>
  <c r="B6299" i="1"/>
  <c r="A6300" i="1"/>
  <c r="B6300" i="1"/>
  <c r="A6301" i="1"/>
  <c r="B6301" i="1"/>
  <c r="A6302" i="1"/>
  <c r="B6302" i="1"/>
  <c r="A6303" i="1"/>
  <c r="B6303" i="1"/>
  <c r="A6304" i="1"/>
  <c r="B6304" i="1"/>
  <c r="A6305" i="1"/>
  <c r="B6305" i="1"/>
  <c r="A6306" i="1"/>
  <c r="B6306" i="1"/>
  <c r="A6307" i="1"/>
  <c r="B6307" i="1"/>
  <c r="A6308" i="1"/>
  <c r="B6308" i="1"/>
  <c r="A6309" i="1"/>
  <c r="B6309" i="1"/>
  <c r="A6310" i="1"/>
  <c r="B6310" i="1"/>
  <c r="A6311" i="1"/>
  <c r="B6311" i="1"/>
  <c r="A6312" i="1"/>
  <c r="B6312" i="1"/>
  <c r="A6313" i="1"/>
  <c r="B6313" i="1"/>
  <c r="A6314" i="1"/>
  <c r="B6314" i="1"/>
  <c r="A6315" i="1"/>
  <c r="B6315" i="1"/>
  <c r="A6316" i="1"/>
  <c r="B6316" i="1"/>
  <c r="A6317" i="1"/>
  <c r="B6317" i="1"/>
  <c r="A6318" i="1"/>
  <c r="B6318" i="1"/>
  <c r="A6319" i="1"/>
  <c r="B6319" i="1"/>
  <c r="A6320" i="1"/>
  <c r="B6320" i="1"/>
  <c r="A6321" i="1"/>
  <c r="B6321" i="1"/>
  <c r="A6322" i="1"/>
  <c r="B6322" i="1"/>
  <c r="A6323" i="1"/>
  <c r="B6323" i="1"/>
  <c r="A6324" i="1"/>
  <c r="B6324" i="1"/>
  <c r="A6325" i="1"/>
  <c r="B6325" i="1"/>
  <c r="A6326" i="1"/>
  <c r="B6326" i="1"/>
  <c r="A6327" i="1"/>
  <c r="B6327" i="1"/>
  <c r="A6328" i="1"/>
  <c r="B6328" i="1"/>
  <c r="A6329" i="1"/>
  <c r="B6329" i="1"/>
  <c r="A6330" i="1"/>
  <c r="B6330" i="1"/>
  <c r="A6331" i="1"/>
  <c r="B6331" i="1"/>
  <c r="A6332" i="1"/>
  <c r="B6332" i="1"/>
  <c r="A6333" i="1"/>
  <c r="B6333" i="1"/>
  <c r="A6334" i="1"/>
  <c r="B6334" i="1"/>
  <c r="A6335" i="1"/>
  <c r="B6335" i="1"/>
  <c r="A6336" i="1"/>
  <c r="B6336" i="1"/>
  <c r="A6337" i="1"/>
  <c r="B6337" i="1"/>
  <c r="A6338" i="1"/>
  <c r="B6338" i="1"/>
  <c r="A6339" i="1"/>
  <c r="B6339" i="1"/>
  <c r="A6340" i="1"/>
  <c r="B6340" i="1"/>
  <c r="A6341" i="1"/>
  <c r="B6341" i="1"/>
  <c r="A6342" i="1"/>
  <c r="B6342" i="1"/>
  <c r="A6343" i="1"/>
  <c r="B6343" i="1"/>
  <c r="A6344" i="1"/>
  <c r="B6344" i="1"/>
  <c r="A6345" i="1"/>
  <c r="B6345" i="1"/>
  <c r="A6346" i="1"/>
  <c r="B6346" i="1"/>
  <c r="A6347" i="1"/>
  <c r="B6347" i="1"/>
  <c r="A6348" i="1"/>
  <c r="B6348" i="1"/>
  <c r="A6349" i="1"/>
  <c r="B6349" i="1"/>
  <c r="A6350" i="1"/>
  <c r="B6350" i="1"/>
  <c r="A6351" i="1"/>
  <c r="B6351" i="1"/>
  <c r="A6352" i="1"/>
  <c r="B6352" i="1"/>
  <c r="A6353" i="1"/>
  <c r="B6353" i="1"/>
  <c r="A6354" i="1"/>
  <c r="B6354" i="1"/>
  <c r="A6355" i="1"/>
  <c r="B6355" i="1"/>
  <c r="A6356" i="1"/>
  <c r="B6356" i="1"/>
  <c r="A6357" i="1"/>
  <c r="B6357" i="1"/>
  <c r="A6358" i="1"/>
  <c r="B6358" i="1"/>
  <c r="A6359" i="1"/>
  <c r="B6359" i="1"/>
  <c r="A6360" i="1"/>
  <c r="B6360" i="1"/>
  <c r="A6361" i="1"/>
  <c r="B6361" i="1"/>
  <c r="A6362" i="1"/>
  <c r="B6362" i="1"/>
  <c r="A6363" i="1"/>
  <c r="B6363" i="1"/>
  <c r="A6364" i="1"/>
  <c r="B6364" i="1"/>
  <c r="A6365" i="1"/>
  <c r="B6365" i="1"/>
  <c r="A6366" i="1"/>
  <c r="B6366" i="1"/>
  <c r="A6367" i="1"/>
  <c r="B6367" i="1"/>
  <c r="A6368" i="1"/>
  <c r="B6368" i="1"/>
  <c r="A6369" i="1"/>
  <c r="B6369" i="1"/>
  <c r="A6370" i="1"/>
  <c r="B6370" i="1"/>
  <c r="A6371" i="1"/>
  <c r="B6371" i="1"/>
  <c r="A6372" i="1"/>
  <c r="B6372" i="1"/>
  <c r="A6373" i="1"/>
  <c r="B6373" i="1"/>
  <c r="A6374" i="1"/>
  <c r="B6374" i="1"/>
  <c r="A6375" i="1"/>
  <c r="B6375" i="1"/>
  <c r="A6376" i="1"/>
  <c r="B6376" i="1"/>
  <c r="A6377" i="1"/>
  <c r="B6377" i="1"/>
  <c r="A6378" i="1"/>
  <c r="B6378" i="1"/>
  <c r="A6379" i="1"/>
  <c r="B6379" i="1"/>
  <c r="A6380" i="1"/>
  <c r="B6380" i="1"/>
  <c r="A6381" i="1"/>
  <c r="B6381" i="1"/>
  <c r="A6382" i="1"/>
  <c r="B6382" i="1"/>
  <c r="A6383" i="1"/>
  <c r="B6383" i="1"/>
  <c r="A6384" i="1"/>
  <c r="B6384" i="1"/>
  <c r="A6385" i="1"/>
  <c r="B6385" i="1"/>
  <c r="A6386" i="1"/>
  <c r="B6386" i="1"/>
  <c r="A6387" i="1"/>
  <c r="B6387" i="1"/>
  <c r="A6388" i="1"/>
  <c r="B6388" i="1"/>
  <c r="A6389" i="1"/>
  <c r="B6389" i="1"/>
  <c r="A6390" i="1"/>
  <c r="B6390" i="1"/>
  <c r="A6391" i="1"/>
  <c r="B6391" i="1"/>
  <c r="A6392" i="1"/>
  <c r="B6392" i="1"/>
  <c r="A6393" i="1"/>
  <c r="B6393" i="1"/>
  <c r="A6394" i="1"/>
  <c r="B6394" i="1"/>
  <c r="A6395" i="1"/>
  <c r="B6395" i="1"/>
  <c r="A6396" i="1"/>
  <c r="B6396" i="1"/>
  <c r="A6397" i="1"/>
  <c r="B6397" i="1"/>
  <c r="B6398" i="1"/>
  <c r="A6399" i="1"/>
  <c r="B6399" i="1"/>
  <c r="A6400" i="1"/>
  <c r="B6400" i="1"/>
  <c r="A6401" i="1"/>
  <c r="B6401" i="1"/>
  <c r="A6402" i="1"/>
  <c r="B6402" i="1"/>
  <c r="A6403" i="1"/>
  <c r="B6403" i="1"/>
  <c r="A6404" i="1"/>
  <c r="B6404" i="1"/>
  <c r="A6405" i="1"/>
  <c r="B6405" i="1"/>
  <c r="A6406" i="1"/>
  <c r="B6406" i="1"/>
  <c r="B6407" i="1"/>
  <c r="A6408" i="1"/>
  <c r="B6408" i="1"/>
  <c r="A6409" i="1"/>
  <c r="B6409" i="1"/>
  <c r="A6410" i="1"/>
  <c r="B6410" i="1"/>
  <c r="A6411" i="1"/>
  <c r="B6411" i="1"/>
  <c r="A6412" i="1"/>
  <c r="B6412" i="1"/>
  <c r="A6413" i="1"/>
  <c r="B6413" i="1"/>
  <c r="B6414" i="1"/>
  <c r="A6415" i="1"/>
  <c r="B6415" i="1"/>
  <c r="A6416" i="1"/>
  <c r="B6416" i="1"/>
  <c r="A6417" i="1"/>
  <c r="B6417" i="1"/>
  <c r="A6418" i="1"/>
  <c r="B6418" i="1"/>
  <c r="A6419" i="1"/>
  <c r="B6419" i="1"/>
  <c r="A6420" i="1"/>
  <c r="B6420" i="1"/>
  <c r="A6421" i="1"/>
  <c r="B6421" i="1"/>
  <c r="B6422" i="1"/>
  <c r="A6423" i="1"/>
  <c r="B6423" i="1"/>
  <c r="A6424" i="1"/>
  <c r="B6424" i="1"/>
  <c r="A6425" i="1"/>
  <c r="B6425" i="1"/>
  <c r="A6426" i="1"/>
  <c r="B6426" i="1"/>
  <c r="A6427" i="1"/>
  <c r="B6427" i="1"/>
  <c r="A6428" i="1"/>
  <c r="B6428" i="1"/>
  <c r="A6429" i="1"/>
  <c r="B6429" i="1"/>
  <c r="A6430" i="1"/>
  <c r="B6430" i="1"/>
  <c r="A6431" i="1"/>
  <c r="B6431" i="1"/>
  <c r="A6432" i="1"/>
  <c r="B6432" i="1"/>
  <c r="B6433" i="1"/>
  <c r="A6434" i="1"/>
  <c r="B6434" i="1"/>
  <c r="A6435" i="1"/>
  <c r="B6435" i="1"/>
  <c r="A6436" i="1"/>
  <c r="B6436" i="1"/>
  <c r="B6437" i="1"/>
  <c r="A6438" i="1"/>
  <c r="B6438" i="1"/>
  <c r="A6439" i="1"/>
  <c r="B6439" i="1"/>
  <c r="A6440" i="1"/>
  <c r="B6440" i="1"/>
  <c r="B6441" i="1"/>
  <c r="A6442" i="1"/>
  <c r="B6442" i="1"/>
  <c r="A6443" i="1"/>
  <c r="B6443" i="1"/>
  <c r="A6444" i="1"/>
  <c r="B6444" i="1"/>
  <c r="A6445" i="1"/>
  <c r="B6445" i="1"/>
  <c r="A6446" i="1"/>
  <c r="B6446" i="1"/>
  <c r="A6447" i="1"/>
  <c r="B6447" i="1"/>
  <c r="A6448" i="1"/>
  <c r="B6448" i="1"/>
  <c r="A6449" i="1"/>
  <c r="B6449" i="1"/>
  <c r="A6450" i="1"/>
  <c r="B6450" i="1"/>
  <c r="A6451" i="1"/>
  <c r="B6451" i="1"/>
  <c r="A6452" i="1"/>
  <c r="B6452" i="1"/>
  <c r="A6453" i="1"/>
  <c r="B6453" i="1"/>
  <c r="A6454" i="1"/>
  <c r="B6454" i="1"/>
  <c r="A6455" i="1"/>
  <c r="B6455" i="1"/>
  <c r="A6456" i="1"/>
  <c r="B6456" i="1"/>
  <c r="A6457" i="1"/>
  <c r="B6457" i="1"/>
  <c r="A6458" i="1"/>
  <c r="B6458" i="1"/>
  <c r="A6459" i="1"/>
  <c r="B6459" i="1"/>
  <c r="A6460" i="1"/>
  <c r="B6460" i="1"/>
  <c r="A6461" i="1"/>
  <c r="B6461" i="1"/>
  <c r="A6462" i="1"/>
  <c r="B6462" i="1"/>
  <c r="A6463" i="1"/>
  <c r="B6463" i="1"/>
  <c r="A6464" i="1"/>
  <c r="B6464" i="1"/>
  <c r="A6465" i="1"/>
  <c r="B6465" i="1"/>
  <c r="A6466" i="1"/>
  <c r="B6466" i="1"/>
  <c r="A6467" i="1"/>
  <c r="B6467" i="1"/>
  <c r="A6468" i="1"/>
  <c r="B6468" i="1"/>
  <c r="A6469" i="1"/>
  <c r="B6469" i="1"/>
  <c r="A6470" i="1"/>
  <c r="B6470" i="1"/>
  <c r="A6471" i="1"/>
  <c r="B6471" i="1"/>
  <c r="A6472" i="1"/>
  <c r="B6472" i="1"/>
  <c r="A6473" i="1"/>
  <c r="B6473" i="1"/>
  <c r="A6474" i="1"/>
  <c r="B6474" i="1"/>
  <c r="A6475" i="1"/>
  <c r="B6475" i="1"/>
  <c r="A6476" i="1"/>
  <c r="B6476" i="1"/>
  <c r="A6477" i="1"/>
  <c r="B6477" i="1"/>
  <c r="A6478" i="1"/>
  <c r="B6478" i="1"/>
  <c r="A6479" i="1"/>
  <c r="B6479" i="1"/>
  <c r="A6480" i="1"/>
  <c r="B6480" i="1"/>
  <c r="A6481" i="1"/>
  <c r="B6481" i="1"/>
  <c r="A6482" i="1"/>
  <c r="B6482" i="1"/>
  <c r="A6483" i="1"/>
  <c r="B6483" i="1"/>
  <c r="A6484" i="1"/>
  <c r="B6484" i="1"/>
  <c r="A6485" i="1"/>
  <c r="B6485" i="1"/>
  <c r="A6486" i="1"/>
  <c r="B6486" i="1"/>
  <c r="A6487" i="1"/>
  <c r="B6487" i="1"/>
  <c r="A6488" i="1"/>
  <c r="B6488" i="1"/>
  <c r="A6489" i="1"/>
  <c r="B6489" i="1"/>
  <c r="A6490" i="1"/>
  <c r="B6490" i="1"/>
  <c r="A6491" i="1"/>
  <c r="B6491" i="1"/>
  <c r="A6492" i="1"/>
  <c r="B6492" i="1"/>
  <c r="A6493" i="1"/>
  <c r="B6493" i="1"/>
  <c r="A6494" i="1"/>
  <c r="B6494" i="1"/>
  <c r="A6495" i="1"/>
  <c r="B6495" i="1"/>
  <c r="A6496" i="1"/>
  <c r="B6496" i="1"/>
  <c r="A6497" i="1"/>
  <c r="B6497" i="1"/>
  <c r="A6498" i="1"/>
  <c r="B6498" i="1"/>
  <c r="A6499" i="1"/>
  <c r="B6499" i="1"/>
  <c r="A6500" i="1"/>
  <c r="B6500" i="1"/>
  <c r="A6501" i="1"/>
  <c r="B6501" i="1"/>
  <c r="A6502" i="1"/>
  <c r="B6502" i="1"/>
  <c r="A6503" i="1"/>
  <c r="B6503" i="1"/>
  <c r="A6504" i="1"/>
  <c r="B6504" i="1"/>
  <c r="A6505" i="1"/>
  <c r="B6505" i="1"/>
  <c r="A6506" i="1"/>
  <c r="B6506" i="1"/>
  <c r="A6507" i="1"/>
  <c r="B6507" i="1"/>
  <c r="A6508" i="1"/>
  <c r="B6508" i="1"/>
  <c r="A6509" i="1"/>
  <c r="B6509" i="1"/>
  <c r="A6510" i="1"/>
  <c r="B6510" i="1"/>
  <c r="A6511" i="1"/>
  <c r="B6511" i="1"/>
  <c r="A6512" i="1"/>
  <c r="B6512" i="1"/>
  <c r="A6513" i="1"/>
  <c r="B6513" i="1"/>
  <c r="A6514" i="1"/>
  <c r="B6514" i="1"/>
  <c r="A6515" i="1"/>
  <c r="B6515" i="1"/>
  <c r="A6516" i="1"/>
  <c r="B6516" i="1"/>
  <c r="A6517" i="1"/>
  <c r="B6517" i="1"/>
  <c r="A6518" i="1"/>
  <c r="B6518" i="1"/>
  <c r="A6519" i="1"/>
  <c r="B6519" i="1"/>
  <c r="A6520" i="1"/>
  <c r="B6520" i="1"/>
  <c r="A6521" i="1"/>
  <c r="B6521" i="1"/>
  <c r="A6522" i="1"/>
  <c r="B6522" i="1"/>
  <c r="A6523" i="1"/>
  <c r="B6523" i="1"/>
  <c r="A6524" i="1"/>
  <c r="B6524" i="1"/>
  <c r="A6525" i="1"/>
  <c r="B6525" i="1"/>
  <c r="A6526" i="1"/>
  <c r="B6526" i="1"/>
  <c r="A6527" i="1"/>
  <c r="B6527" i="1"/>
  <c r="A6528" i="1"/>
  <c r="B6528" i="1"/>
  <c r="A6529" i="1"/>
  <c r="B6529" i="1"/>
  <c r="A6530" i="1"/>
  <c r="B6530" i="1"/>
  <c r="A6531" i="1"/>
  <c r="B6531" i="1"/>
  <c r="A6532" i="1"/>
  <c r="B6532" i="1"/>
  <c r="A6533" i="1"/>
  <c r="B6533" i="1"/>
  <c r="A6534" i="1"/>
  <c r="B6534" i="1"/>
  <c r="A6535" i="1"/>
  <c r="B6535" i="1"/>
  <c r="A6536" i="1"/>
  <c r="B6536" i="1"/>
  <c r="A6537" i="1"/>
  <c r="B6537" i="1"/>
  <c r="A6538" i="1"/>
  <c r="B6538" i="1"/>
  <c r="A6539" i="1"/>
  <c r="B6539" i="1"/>
  <c r="A6540" i="1"/>
  <c r="B6540" i="1"/>
  <c r="A6541" i="1"/>
  <c r="B6541" i="1"/>
  <c r="A6542" i="1"/>
  <c r="B6542" i="1"/>
  <c r="A6543" i="1"/>
  <c r="B6543" i="1"/>
  <c r="A6544" i="1"/>
  <c r="B6544" i="1"/>
  <c r="A6545" i="1"/>
  <c r="B6545" i="1"/>
  <c r="A6546" i="1"/>
  <c r="B6546" i="1"/>
  <c r="A6547" i="1"/>
  <c r="B6547" i="1"/>
  <c r="A6548" i="1"/>
  <c r="B6548" i="1"/>
  <c r="A6549" i="1"/>
  <c r="B6549" i="1"/>
  <c r="A6550" i="1"/>
  <c r="B6550" i="1"/>
  <c r="A6551" i="1"/>
  <c r="B6551" i="1"/>
  <c r="A6552" i="1"/>
  <c r="B6552" i="1"/>
  <c r="A6553" i="1"/>
  <c r="B6553" i="1"/>
  <c r="A6554" i="1"/>
  <c r="B6554" i="1"/>
  <c r="A6555" i="1"/>
  <c r="B6555" i="1"/>
  <c r="A6556" i="1"/>
  <c r="B6556" i="1"/>
  <c r="A6557" i="1"/>
  <c r="B6557" i="1"/>
  <c r="A6558" i="1"/>
  <c r="B6558" i="1"/>
  <c r="A6559" i="1"/>
  <c r="B6559" i="1"/>
  <c r="A6560" i="1"/>
  <c r="B6560" i="1"/>
  <c r="A6561" i="1"/>
  <c r="B6561" i="1"/>
  <c r="A6562" i="1"/>
  <c r="B6562" i="1"/>
  <c r="A6563" i="1"/>
  <c r="B6563" i="1"/>
  <c r="A6564" i="1"/>
  <c r="B6564" i="1"/>
  <c r="A6565" i="1"/>
  <c r="B6565" i="1"/>
  <c r="A6566" i="1"/>
  <c r="B6566" i="1"/>
  <c r="A6567" i="1"/>
  <c r="B6567" i="1"/>
  <c r="A6568" i="1"/>
  <c r="B6568" i="1"/>
  <c r="A6569" i="1"/>
  <c r="B6569" i="1"/>
  <c r="A6570" i="1"/>
  <c r="B6570" i="1"/>
  <c r="A6571" i="1"/>
  <c r="B6571" i="1"/>
  <c r="A6572" i="1"/>
  <c r="B6572" i="1"/>
  <c r="A6573" i="1"/>
  <c r="B6573" i="1"/>
  <c r="A6574" i="1"/>
  <c r="B6574" i="1"/>
  <c r="A6575" i="1"/>
  <c r="B6575" i="1"/>
  <c r="A6576" i="1"/>
  <c r="B6576" i="1"/>
  <c r="A6577" i="1"/>
  <c r="B6577" i="1"/>
  <c r="A6578" i="1"/>
  <c r="B6578" i="1"/>
  <c r="A6579" i="1"/>
  <c r="B6579" i="1"/>
  <c r="A6580" i="1"/>
  <c r="B6580" i="1"/>
  <c r="A6581" i="1"/>
  <c r="B6581" i="1"/>
  <c r="A6582" i="1"/>
  <c r="B6582" i="1"/>
  <c r="A6583" i="1"/>
  <c r="B6583" i="1"/>
  <c r="A6584" i="1"/>
  <c r="B6584" i="1"/>
  <c r="A6585" i="1"/>
  <c r="B6585" i="1"/>
  <c r="A6586" i="1"/>
  <c r="B6586" i="1"/>
  <c r="A6587" i="1"/>
  <c r="B6587" i="1"/>
  <c r="A6588" i="1"/>
  <c r="B6588" i="1"/>
  <c r="A6589" i="1"/>
  <c r="B6589" i="1"/>
  <c r="A6590" i="1"/>
  <c r="B6590" i="1"/>
  <c r="A6591" i="1"/>
  <c r="B6591" i="1"/>
  <c r="A6592" i="1"/>
  <c r="B6592" i="1"/>
  <c r="A6593" i="1"/>
  <c r="B6593" i="1"/>
  <c r="A6594" i="1"/>
  <c r="B6594" i="1"/>
  <c r="A6595" i="1"/>
  <c r="B6595" i="1"/>
  <c r="A6596" i="1"/>
  <c r="B6596" i="1"/>
  <c r="A6597" i="1"/>
  <c r="B6597" i="1"/>
  <c r="A6598" i="1"/>
  <c r="B6598" i="1"/>
  <c r="A6599" i="1"/>
  <c r="B6599" i="1"/>
  <c r="A6600" i="1"/>
  <c r="B6600" i="1"/>
  <c r="A6601" i="1"/>
  <c r="B6601" i="1"/>
  <c r="A6602" i="1"/>
  <c r="B6602" i="1"/>
  <c r="A6603" i="1"/>
  <c r="B6603" i="1"/>
  <c r="A6604" i="1"/>
  <c r="B6604" i="1"/>
  <c r="A6605" i="1"/>
  <c r="B6605" i="1"/>
  <c r="A6606" i="1"/>
  <c r="B6606" i="1"/>
  <c r="A6607" i="1"/>
  <c r="B6607" i="1"/>
  <c r="A6608" i="1"/>
  <c r="B6608" i="1"/>
  <c r="A6609" i="1"/>
  <c r="B6609" i="1"/>
  <c r="A6610" i="1"/>
  <c r="B6610" i="1"/>
  <c r="A6611" i="1"/>
  <c r="B6611" i="1"/>
  <c r="A6612" i="1"/>
  <c r="B6612" i="1"/>
  <c r="A6613" i="1"/>
  <c r="B6613" i="1"/>
  <c r="A6614" i="1"/>
  <c r="B6614" i="1"/>
  <c r="A6615" i="1"/>
  <c r="B6615" i="1"/>
  <c r="A6616" i="1"/>
  <c r="B6616" i="1"/>
  <c r="A6617" i="1"/>
  <c r="B6617" i="1"/>
  <c r="A6618" i="1"/>
  <c r="B6618" i="1"/>
  <c r="A6619" i="1"/>
  <c r="B6619" i="1"/>
  <c r="A6620" i="1"/>
  <c r="B6620" i="1"/>
  <c r="A6621" i="1"/>
  <c r="B6621" i="1"/>
  <c r="A6622" i="1"/>
  <c r="B6622" i="1"/>
  <c r="A6623" i="1"/>
  <c r="B6623" i="1"/>
  <c r="A6624" i="1"/>
  <c r="B6624" i="1"/>
  <c r="A6625" i="1"/>
  <c r="B6625" i="1"/>
  <c r="A6626" i="1"/>
  <c r="B6626" i="1"/>
  <c r="A6627" i="1"/>
  <c r="B6627" i="1"/>
  <c r="A6628" i="1"/>
  <c r="B6628" i="1"/>
  <c r="B6629" i="1"/>
  <c r="A6630" i="1"/>
  <c r="B6630" i="1"/>
  <c r="A6631" i="1"/>
  <c r="B6631" i="1"/>
  <c r="A6632" i="1"/>
  <c r="B6632" i="1"/>
  <c r="A6633" i="1"/>
  <c r="B6633" i="1"/>
  <c r="A6634" i="1"/>
  <c r="B6634" i="1"/>
  <c r="A6635" i="1"/>
  <c r="B6635" i="1"/>
  <c r="A6636" i="1"/>
  <c r="B6636" i="1"/>
  <c r="A6637" i="1"/>
  <c r="B6637" i="1"/>
  <c r="A6638" i="1"/>
  <c r="B6638" i="1"/>
  <c r="B6639" i="1"/>
  <c r="A6640" i="1"/>
  <c r="B6640" i="1"/>
  <c r="A6641" i="1"/>
  <c r="B6641" i="1"/>
  <c r="B6642" i="1"/>
  <c r="A6643" i="1"/>
  <c r="B6643" i="1"/>
  <c r="A6644" i="1"/>
  <c r="B6644" i="1"/>
  <c r="A6645" i="1"/>
  <c r="B6645" i="1"/>
  <c r="A6646" i="1"/>
  <c r="B6646" i="1"/>
  <c r="A6647" i="1"/>
  <c r="B6647" i="1"/>
  <c r="A6648" i="1"/>
  <c r="B6648" i="1"/>
  <c r="B6649" i="1"/>
  <c r="A6650" i="1"/>
  <c r="B6650" i="1"/>
  <c r="A6651" i="1"/>
  <c r="B6651" i="1"/>
  <c r="A6652" i="1"/>
  <c r="B6652" i="1"/>
  <c r="A6653" i="1"/>
  <c r="B6653" i="1"/>
  <c r="A6654" i="1"/>
  <c r="B6654" i="1"/>
  <c r="A6655" i="1"/>
  <c r="B6655" i="1"/>
  <c r="A6656" i="1"/>
  <c r="B6656" i="1"/>
  <c r="A6657" i="1"/>
  <c r="B6657" i="1"/>
  <c r="A6658" i="1"/>
  <c r="B6658" i="1"/>
  <c r="A6659" i="1"/>
  <c r="B6659" i="1"/>
  <c r="B6660" i="1"/>
  <c r="A6661" i="1"/>
  <c r="B6661" i="1"/>
  <c r="A6662" i="1"/>
  <c r="B6662" i="1"/>
  <c r="A6663" i="1"/>
  <c r="B6663" i="1"/>
  <c r="A6664" i="1"/>
  <c r="B6664" i="1"/>
  <c r="A6665" i="1"/>
  <c r="B6665" i="1"/>
  <c r="A6666" i="1"/>
  <c r="B6666" i="1"/>
  <c r="A6667" i="1"/>
  <c r="B6667" i="1"/>
  <c r="A6668" i="1"/>
  <c r="B6668" i="1"/>
  <c r="A6669" i="1"/>
  <c r="B6669" i="1"/>
  <c r="A6670" i="1"/>
  <c r="B6670" i="1"/>
  <c r="A6671" i="1"/>
  <c r="B6671" i="1"/>
  <c r="A6672" i="1"/>
  <c r="B6672" i="1"/>
  <c r="A6673" i="1"/>
  <c r="B6673" i="1"/>
  <c r="A6674" i="1"/>
  <c r="B6674" i="1"/>
  <c r="A6675" i="1"/>
  <c r="B6675" i="1"/>
  <c r="A6676" i="1"/>
  <c r="B6676" i="1"/>
  <c r="A6677" i="1"/>
  <c r="B6677" i="1"/>
  <c r="A6678" i="1"/>
  <c r="B6678" i="1"/>
  <c r="A6679" i="1"/>
  <c r="B6679" i="1"/>
  <c r="A6680" i="1"/>
  <c r="B6680" i="1"/>
  <c r="A6681" i="1"/>
  <c r="B6681" i="1"/>
  <c r="A6682" i="1"/>
  <c r="B6682" i="1"/>
  <c r="A6683" i="1"/>
  <c r="B6683" i="1"/>
  <c r="A6684" i="1"/>
  <c r="B6684" i="1"/>
  <c r="A6685" i="1"/>
  <c r="B6685" i="1"/>
  <c r="A6686" i="1"/>
  <c r="B6686" i="1"/>
  <c r="A6687" i="1"/>
  <c r="B6687" i="1"/>
  <c r="A6688" i="1"/>
  <c r="B6688" i="1"/>
  <c r="A6689" i="1"/>
  <c r="B6689" i="1"/>
  <c r="A6690" i="1"/>
  <c r="B6690" i="1"/>
  <c r="A6691" i="1"/>
  <c r="B6691" i="1"/>
  <c r="A6692" i="1"/>
  <c r="B6692" i="1"/>
  <c r="A6693" i="1"/>
  <c r="B6693" i="1"/>
  <c r="A6694" i="1"/>
  <c r="B6694" i="1"/>
  <c r="A6695" i="1"/>
  <c r="B6695" i="1"/>
  <c r="A6696" i="1"/>
  <c r="B6696" i="1"/>
  <c r="A6697" i="1"/>
  <c r="B6697" i="1"/>
  <c r="A6698" i="1"/>
  <c r="B6698" i="1"/>
  <c r="A6699" i="1"/>
  <c r="B6699" i="1"/>
  <c r="A6700" i="1"/>
  <c r="B6700" i="1"/>
  <c r="A6701" i="1"/>
  <c r="B6701" i="1"/>
  <c r="A6702" i="1"/>
  <c r="B6702" i="1"/>
  <c r="A6703" i="1"/>
  <c r="B6703" i="1"/>
  <c r="A6704" i="1"/>
  <c r="B6704" i="1"/>
  <c r="A6705" i="1"/>
  <c r="B6705" i="1"/>
  <c r="A6706" i="1"/>
  <c r="B6706" i="1"/>
  <c r="A6707" i="1"/>
  <c r="B6707" i="1"/>
  <c r="A6708" i="1"/>
  <c r="B6708" i="1"/>
  <c r="A6709" i="1"/>
  <c r="B6709" i="1"/>
  <c r="A6710" i="1"/>
  <c r="B6710" i="1"/>
  <c r="A6711" i="1"/>
  <c r="B6711" i="1"/>
  <c r="A6712" i="1"/>
  <c r="B6712" i="1"/>
  <c r="B6713" i="1"/>
  <c r="A6714" i="1"/>
  <c r="B6714" i="1"/>
  <c r="A6715" i="1"/>
  <c r="B6715" i="1"/>
  <c r="A6716" i="1"/>
  <c r="B6716" i="1"/>
  <c r="A6717" i="1"/>
  <c r="B6717" i="1"/>
  <c r="A6718" i="1"/>
  <c r="B6718" i="1"/>
  <c r="A6719" i="1"/>
  <c r="B6719" i="1"/>
  <c r="A6720" i="1"/>
  <c r="B6720" i="1"/>
  <c r="A6721" i="1"/>
  <c r="B6721" i="1"/>
  <c r="A6722" i="1"/>
  <c r="B6722" i="1"/>
  <c r="A6723" i="1"/>
  <c r="B6723" i="1"/>
  <c r="A6724" i="1"/>
  <c r="B6724" i="1"/>
  <c r="A6725" i="1"/>
  <c r="B6725" i="1"/>
  <c r="A6726" i="1"/>
  <c r="B6726" i="1"/>
  <c r="A6727" i="1"/>
  <c r="B6727" i="1"/>
  <c r="A6728" i="1"/>
  <c r="B6728" i="1"/>
  <c r="A6729" i="1"/>
  <c r="B6729" i="1"/>
  <c r="A6730" i="1"/>
  <c r="B6730" i="1"/>
  <c r="A6731" i="1"/>
  <c r="B6731" i="1"/>
  <c r="A6732" i="1"/>
  <c r="B6732" i="1"/>
  <c r="A6733" i="1"/>
  <c r="B6733" i="1"/>
  <c r="A6734" i="1"/>
  <c r="B6734" i="1"/>
  <c r="A6735" i="1"/>
  <c r="B6735" i="1"/>
  <c r="A6736" i="1"/>
  <c r="B6736" i="1"/>
  <c r="A6737" i="1"/>
  <c r="B6737" i="1"/>
  <c r="A6738" i="1"/>
  <c r="B6738" i="1"/>
  <c r="B6739" i="1"/>
  <c r="A6740" i="1"/>
  <c r="B6740" i="1"/>
  <c r="A6741" i="1"/>
  <c r="B6741" i="1"/>
  <c r="A6742" i="1"/>
  <c r="B6742" i="1"/>
  <c r="A6743" i="1"/>
  <c r="B6743" i="1"/>
  <c r="A6744" i="1"/>
  <c r="B6744" i="1"/>
  <c r="A6745" i="1"/>
  <c r="B6745" i="1"/>
  <c r="A6746" i="1"/>
  <c r="B6746" i="1"/>
  <c r="A6747" i="1"/>
  <c r="B6747" i="1"/>
  <c r="A6748" i="1"/>
  <c r="B6748" i="1"/>
  <c r="A6749" i="1"/>
  <c r="B6749" i="1"/>
  <c r="A6750" i="1"/>
  <c r="B6750" i="1"/>
  <c r="A6751" i="1"/>
  <c r="B6751" i="1"/>
  <c r="A6752" i="1"/>
  <c r="B6752" i="1"/>
  <c r="A6753" i="1"/>
  <c r="B6753" i="1"/>
  <c r="B6754" i="1"/>
  <c r="A6755" i="1"/>
  <c r="B6755" i="1"/>
  <c r="A6756" i="1"/>
  <c r="B6756" i="1"/>
  <c r="B6757" i="1"/>
  <c r="A6758" i="1"/>
  <c r="B6758" i="1"/>
  <c r="A6759" i="1"/>
  <c r="B6759" i="1"/>
  <c r="A6760" i="1"/>
  <c r="B6760" i="1"/>
  <c r="A6761" i="1"/>
  <c r="B6761" i="1"/>
  <c r="A6762" i="1"/>
  <c r="B6762" i="1"/>
  <c r="A6763" i="1"/>
  <c r="B6763" i="1"/>
  <c r="A6764" i="1"/>
  <c r="B6764" i="1"/>
  <c r="A6765" i="1"/>
  <c r="B6765" i="1"/>
  <c r="A6766" i="1"/>
  <c r="B6766" i="1"/>
  <c r="A6767" i="1"/>
  <c r="B6767" i="1"/>
  <c r="A6768" i="1"/>
  <c r="B6768" i="1"/>
  <c r="A6769" i="1"/>
  <c r="B6769" i="1"/>
  <c r="A6770" i="1"/>
  <c r="B6770" i="1"/>
  <c r="A6771" i="1"/>
  <c r="B6771" i="1"/>
  <c r="A6772" i="1"/>
  <c r="B6772" i="1"/>
  <c r="A6773" i="1"/>
  <c r="B6773" i="1"/>
  <c r="A6774" i="1"/>
  <c r="B6774" i="1"/>
  <c r="A6775" i="1"/>
  <c r="B6775" i="1"/>
  <c r="A6776" i="1"/>
  <c r="B6776" i="1"/>
  <c r="A6777" i="1"/>
  <c r="B6777" i="1"/>
  <c r="A6778" i="1"/>
  <c r="B6778" i="1"/>
  <c r="A6779" i="1"/>
  <c r="B6779" i="1"/>
  <c r="A6780" i="1"/>
  <c r="B6780" i="1"/>
  <c r="A6781" i="1"/>
  <c r="B6781" i="1"/>
  <c r="A6782" i="1"/>
  <c r="B6782" i="1"/>
  <c r="A6783" i="1"/>
  <c r="B6783" i="1"/>
  <c r="A6784" i="1"/>
  <c r="B6784" i="1"/>
  <c r="A6785" i="1"/>
  <c r="B6785" i="1"/>
  <c r="A6786" i="1"/>
  <c r="B6786" i="1"/>
  <c r="A6787" i="1"/>
  <c r="B6787" i="1"/>
  <c r="A6788" i="1"/>
  <c r="B6788" i="1"/>
  <c r="A6789" i="1"/>
  <c r="B6789" i="1"/>
  <c r="A6790" i="1"/>
  <c r="B6790" i="1"/>
  <c r="A6791" i="1"/>
  <c r="B6791" i="1"/>
  <c r="A6792" i="1"/>
  <c r="B6792" i="1"/>
  <c r="A6793" i="1"/>
  <c r="B6793" i="1"/>
  <c r="A6794" i="1"/>
  <c r="B6794" i="1"/>
  <c r="A6795" i="1"/>
  <c r="B6795" i="1"/>
  <c r="A6796" i="1"/>
  <c r="B6796" i="1"/>
  <c r="A6797" i="1"/>
  <c r="B6797" i="1"/>
  <c r="A6798" i="1"/>
  <c r="B6798" i="1"/>
  <c r="A6799" i="1"/>
  <c r="B6799" i="1"/>
  <c r="A6800" i="1"/>
  <c r="B6800" i="1"/>
  <c r="A6801" i="1"/>
  <c r="B6801" i="1"/>
  <c r="A6802" i="1"/>
  <c r="B6802" i="1"/>
  <c r="A6803" i="1"/>
  <c r="B6803" i="1"/>
  <c r="A6804" i="1"/>
  <c r="B6804" i="1"/>
  <c r="A6805" i="1"/>
  <c r="B6805" i="1"/>
  <c r="A6806" i="1"/>
  <c r="B6806" i="1"/>
  <c r="A6807" i="1"/>
  <c r="B6807" i="1"/>
  <c r="A6808" i="1"/>
  <c r="B6808" i="1"/>
  <c r="A6809" i="1"/>
  <c r="B6809" i="1"/>
  <c r="A6810" i="1"/>
  <c r="B6810" i="1"/>
  <c r="A6811" i="1"/>
  <c r="B6811" i="1"/>
  <c r="A6812" i="1"/>
  <c r="B6812" i="1"/>
  <c r="A6813" i="1"/>
  <c r="B6813" i="1"/>
  <c r="A6814" i="1"/>
  <c r="B6814" i="1"/>
  <c r="A6815" i="1"/>
  <c r="B6815" i="1"/>
  <c r="A6816" i="1"/>
  <c r="B6816" i="1"/>
  <c r="A6817" i="1"/>
  <c r="B6817" i="1"/>
  <c r="A6818" i="1"/>
  <c r="B6818" i="1"/>
  <c r="A6819" i="1"/>
  <c r="B6819" i="1"/>
  <c r="A6820" i="1"/>
  <c r="B6820" i="1"/>
  <c r="A6821" i="1"/>
  <c r="B6821" i="1"/>
  <c r="A6822" i="1"/>
  <c r="B6822" i="1"/>
  <c r="A6823" i="1"/>
  <c r="B6823" i="1"/>
  <c r="A6824" i="1"/>
  <c r="B6824" i="1"/>
  <c r="A6825" i="1"/>
  <c r="B6825" i="1"/>
  <c r="A6826" i="1"/>
  <c r="B6826" i="1"/>
  <c r="A6827" i="1"/>
  <c r="B6827" i="1"/>
  <c r="A6828" i="1"/>
  <c r="B6828" i="1"/>
  <c r="A6829" i="1"/>
  <c r="B6829" i="1"/>
  <c r="A6830" i="1"/>
  <c r="B6830" i="1"/>
  <c r="A6831" i="1"/>
  <c r="B6831" i="1"/>
  <c r="A6832" i="1"/>
  <c r="B6832" i="1"/>
  <c r="A6833" i="1"/>
  <c r="B6833" i="1"/>
  <c r="A6834" i="1"/>
  <c r="B6834" i="1"/>
  <c r="A6835" i="1"/>
  <c r="B6835" i="1"/>
  <c r="A6836" i="1"/>
  <c r="B6836" i="1"/>
  <c r="A6837" i="1"/>
  <c r="B6837" i="1"/>
  <c r="A6838" i="1"/>
  <c r="B6838" i="1"/>
  <c r="A6839" i="1"/>
  <c r="B6839" i="1"/>
  <c r="A6840" i="1"/>
  <c r="B6840" i="1"/>
  <c r="A6841" i="1"/>
  <c r="B6841" i="1"/>
  <c r="A6842" i="1"/>
  <c r="B6842" i="1"/>
  <c r="A6843" i="1"/>
  <c r="B6843" i="1"/>
  <c r="A6844" i="1"/>
  <c r="B6844" i="1"/>
  <c r="A6845" i="1"/>
  <c r="B6845" i="1"/>
  <c r="A6846" i="1"/>
  <c r="B6846" i="1"/>
  <c r="A6847" i="1"/>
  <c r="B6847" i="1"/>
  <c r="A6848" i="1"/>
  <c r="B6848" i="1"/>
  <c r="A6849" i="1"/>
  <c r="B6849" i="1"/>
  <c r="A6850" i="1"/>
  <c r="B6850" i="1"/>
  <c r="A6851" i="1"/>
  <c r="B6851" i="1"/>
  <c r="A6852" i="1"/>
  <c r="B6852" i="1"/>
  <c r="A6853" i="1"/>
  <c r="B6853" i="1"/>
  <c r="A6854" i="1"/>
  <c r="B6854" i="1"/>
  <c r="A6855" i="1"/>
  <c r="B6855" i="1"/>
  <c r="A6856" i="1"/>
  <c r="B6856" i="1"/>
  <c r="A6857" i="1"/>
  <c r="B6857" i="1"/>
  <c r="A6858" i="1"/>
  <c r="B6858" i="1"/>
  <c r="A6859" i="1"/>
  <c r="B6859" i="1"/>
  <c r="A6860" i="1"/>
  <c r="B6860" i="1"/>
  <c r="A6861" i="1"/>
  <c r="B6861" i="1"/>
  <c r="A6862" i="1"/>
  <c r="B6862" i="1"/>
  <c r="A6863" i="1"/>
  <c r="B6863" i="1"/>
  <c r="A6864" i="1"/>
  <c r="B6864" i="1"/>
  <c r="A6865" i="1"/>
  <c r="B6865" i="1"/>
  <c r="A6866" i="1"/>
  <c r="B6866" i="1"/>
  <c r="A6867" i="1"/>
  <c r="B6867" i="1"/>
  <c r="A6868" i="1"/>
  <c r="B6868" i="1"/>
  <c r="A6869" i="1"/>
  <c r="B6869" i="1"/>
  <c r="A6870" i="1"/>
  <c r="B6870" i="1"/>
  <c r="A6871" i="1"/>
  <c r="B6871" i="1"/>
  <c r="A6872" i="1"/>
  <c r="B6872" i="1"/>
  <c r="A6873" i="1"/>
  <c r="B6873" i="1"/>
  <c r="A6874" i="1"/>
  <c r="B6874" i="1"/>
  <c r="A6875" i="1"/>
  <c r="B6875" i="1"/>
  <c r="A6876" i="1"/>
  <c r="B6876" i="1"/>
  <c r="A6877" i="1"/>
  <c r="B6877" i="1"/>
  <c r="A6878" i="1"/>
  <c r="B6878" i="1"/>
  <c r="A6879" i="1"/>
  <c r="B6879" i="1"/>
  <c r="A6880" i="1"/>
  <c r="B6880" i="1"/>
  <c r="A6881" i="1"/>
  <c r="B6881" i="1"/>
  <c r="A6882" i="1"/>
  <c r="B6882" i="1"/>
  <c r="A6883" i="1"/>
  <c r="B6883" i="1"/>
  <c r="A6884" i="1"/>
  <c r="B6884" i="1"/>
  <c r="A6885" i="1"/>
  <c r="B6885" i="1"/>
  <c r="A6886" i="1"/>
  <c r="B6886" i="1"/>
  <c r="A6887" i="1"/>
  <c r="B6887" i="1"/>
  <c r="A6888" i="1"/>
  <c r="B6888" i="1"/>
  <c r="A6889" i="1"/>
  <c r="B6889" i="1"/>
  <c r="A6890" i="1"/>
  <c r="B6890" i="1"/>
  <c r="A6891" i="1"/>
  <c r="B6891" i="1"/>
  <c r="A6892" i="1"/>
  <c r="B6892" i="1"/>
  <c r="A6893" i="1"/>
  <c r="B6893" i="1"/>
  <c r="A6894" i="1"/>
  <c r="B6894" i="1"/>
  <c r="A6895" i="1"/>
  <c r="B6895" i="1"/>
  <c r="A6896" i="1"/>
  <c r="B6896" i="1"/>
  <c r="A6897" i="1"/>
  <c r="B6897" i="1"/>
  <c r="A6898" i="1"/>
  <c r="B6898" i="1"/>
  <c r="A6899" i="1"/>
  <c r="B6899" i="1"/>
  <c r="A6900" i="1"/>
  <c r="B6900" i="1"/>
  <c r="A6901" i="1"/>
  <c r="B6901" i="1"/>
  <c r="A6902" i="1"/>
  <c r="B6902" i="1"/>
  <c r="A6903" i="1"/>
  <c r="B6903" i="1"/>
  <c r="A6904" i="1"/>
  <c r="B6904" i="1"/>
  <c r="A6905" i="1"/>
  <c r="B6905" i="1"/>
  <c r="A6906" i="1"/>
  <c r="B6906" i="1"/>
  <c r="A6907" i="1"/>
  <c r="B6907" i="1"/>
  <c r="A6908" i="1"/>
  <c r="B6908" i="1"/>
  <c r="A6909" i="1"/>
  <c r="B6909" i="1"/>
  <c r="A6910" i="1"/>
  <c r="B6910" i="1"/>
  <c r="A6911" i="1"/>
  <c r="B6911" i="1"/>
  <c r="A6912" i="1"/>
  <c r="B6912" i="1"/>
  <c r="A6913" i="1"/>
  <c r="B6913" i="1"/>
  <c r="A6914" i="1"/>
  <c r="B6914" i="1"/>
  <c r="A6915" i="1"/>
  <c r="B6915" i="1"/>
  <c r="A6916" i="1"/>
  <c r="B6916" i="1"/>
  <c r="A6917" i="1"/>
  <c r="B6917" i="1"/>
  <c r="A6918" i="1"/>
  <c r="B6918" i="1"/>
  <c r="A6919" i="1"/>
  <c r="B6919" i="1"/>
  <c r="A6920" i="1"/>
  <c r="B6920" i="1"/>
  <c r="A6921" i="1"/>
  <c r="B6921" i="1"/>
  <c r="A6922" i="1"/>
  <c r="B6922" i="1"/>
  <c r="A6923" i="1"/>
  <c r="B6923" i="1"/>
  <c r="A6924" i="1"/>
  <c r="B6924" i="1"/>
  <c r="A6925" i="1"/>
  <c r="B6925" i="1"/>
  <c r="A6926" i="1"/>
  <c r="B6926" i="1"/>
  <c r="A6927" i="1"/>
  <c r="B6927" i="1"/>
  <c r="A6928" i="1"/>
  <c r="B6928" i="1"/>
  <c r="A6929" i="1"/>
  <c r="B6929" i="1"/>
  <c r="A6930" i="1"/>
  <c r="B6930" i="1"/>
  <c r="A6931" i="1"/>
  <c r="B6931" i="1"/>
  <c r="A6932" i="1"/>
  <c r="B6932" i="1"/>
  <c r="A6933" i="1"/>
  <c r="B6933" i="1"/>
  <c r="A6934" i="1"/>
  <c r="B6934" i="1"/>
  <c r="A6935" i="1"/>
  <c r="B6935" i="1"/>
  <c r="A6936" i="1"/>
  <c r="B6936" i="1"/>
  <c r="A6937" i="1"/>
  <c r="B6937" i="1"/>
  <c r="A6938" i="1"/>
  <c r="B6938" i="1"/>
  <c r="A6939" i="1"/>
  <c r="B6939" i="1"/>
  <c r="A6940" i="1"/>
  <c r="B6940" i="1"/>
  <c r="A6941" i="1"/>
  <c r="B6941" i="1"/>
  <c r="A6942" i="1"/>
  <c r="B6942" i="1"/>
  <c r="A6943" i="1"/>
  <c r="B6943" i="1"/>
  <c r="A6944" i="1"/>
  <c r="B6944" i="1"/>
  <c r="A6945" i="1"/>
  <c r="B6945" i="1"/>
  <c r="A6946" i="1"/>
  <c r="B6946" i="1"/>
  <c r="A6947" i="1"/>
  <c r="B6947" i="1"/>
  <c r="A6948" i="1"/>
  <c r="B6948" i="1"/>
  <c r="A6949" i="1"/>
  <c r="B6949" i="1"/>
  <c r="A6950" i="1"/>
  <c r="B6950" i="1"/>
  <c r="A6951" i="1"/>
  <c r="B6951" i="1"/>
  <c r="A6952" i="1"/>
  <c r="B6952" i="1"/>
  <c r="A6953" i="1"/>
  <c r="B6953" i="1"/>
  <c r="A6954" i="1"/>
  <c r="B6954" i="1"/>
  <c r="A6955" i="1"/>
  <c r="B6955" i="1"/>
  <c r="A6956" i="1"/>
  <c r="B6956" i="1"/>
  <c r="A6957" i="1"/>
  <c r="B6957" i="1"/>
  <c r="A6958" i="1"/>
  <c r="B6958" i="1"/>
  <c r="A6959" i="1"/>
  <c r="B6959" i="1"/>
  <c r="A6960" i="1"/>
  <c r="B6960" i="1"/>
  <c r="A6961" i="1"/>
  <c r="B6961" i="1"/>
  <c r="A6962" i="1"/>
  <c r="B6962" i="1"/>
  <c r="A6963" i="1"/>
  <c r="B6963" i="1"/>
  <c r="A6964" i="1"/>
  <c r="B6964" i="1"/>
  <c r="A6965" i="1"/>
  <c r="B6965" i="1"/>
  <c r="A6966" i="1"/>
  <c r="B6966" i="1"/>
  <c r="A6967" i="1"/>
  <c r="B6967" i="1"/>
  <c r="A6968" i="1"/>
  <c r="B6968" i="1"/>
  <c r="A6969" i="1"/>
  <c r="B6969" i="1"/>
  <c r="A6970" i="1"/>
  <c r="B6970" i="1"/>
  <c r="A6971" i="1"/>
  <c r="B6971" i="1"/>
  <c r="A6972" i="1"/>
  <c r="B6972" i="1"/>
  <c r="A6973" i="1"/>
  <c r="B6973" i="1"/>
  <c r="A6974" i="1"/>
  <c r="B6974" i="1"/>
  <c r="A6975" i="1"/>
  <c r="B6975" i="1"/>
  <c r="A6976" i="1"/>
  <c r="B6976" i="1"/>
  <c r="A6977" i="1"/>
  <c r="B6977" i="1"/>
  <c r="A6978" i="1"/>
  <c r="B6978" i="1"/>
  <c r="A6979" i="1"/>
  <c r="B6979" i="1"/>
  <c r="A6980" i="1"/>
  <c r="B6980" i="1"/>
  <c r="A6981" i="1"/>
  <c r="B6981" i="1"/>
  <c r="A6982" i="1"/>
  <c r="B6982" i="1"/>
  <c r="A6983" i="1"/>
  <c r="B6983" i="1"/>
  <c r="A6984" i="1"/>
  <c r="B6984" i="1"/>
  <c r="A6985" i="1"/>
  <c r="B6985" i="1"/>
  <c r="A6986" i="1"/>
  <c r="B6986" i="1"/>
  <c r="A6987" i="1"/>
  <c r="B6987" i="1"/>
  <c r="A6988" i="1"/>
  <c r="B6988" i="1"/>
  <c r="A6989" i="1"/>
  <c r="B6989" i="1"/>
  <c r="A6990" i="1"/>
  <c r="B6990" i="1"/>
  <c r="A6991" i="1"/>
  <c r="B6991" i="1"/>
  <c r="A6992" i="1"/>
  <c r="B6992" i="1"/>
  <c r="A6993" i="1"/>
  <c r="B6993" i="1"/>
  <c r="A6994" i="1"/>
  <c r="B6994" i="1"/>
  <c r="A6995" i="1"/>
  <c r="B6995" i="1"/>
  <c r="A6996" i="1"/>
  <c r="B6996" i="1"/>
  <c r="A6997" i="1"/>
  <c r="B6997" i="1"/>
  <c r="A6998" i="1"/>
  <c r="B6998" i="1"/>
  <c r="A6999" i="1"/>
  <c r="B6999" i="1"/>
  <c r="A7000" i="1"/>
  <c r="B7000" i="1"/>
  <c r="A7001" i="1"/>
  <c r="B7001" i="1"/>
  <c r="A7002" i="1"/>
  <c r="B7002" i="1"/>
  <c r="A7003" i="1"/>
  <c r="B7003" i="1"/>
  <c r="A7004" i="1"/>
  <c r="B7004" i="1"/>
  <c r="A7005" i="1"/>
  <c r="B7005" i="1"/>
  <c r="A7006" i="1"/>
  <c r="B7006" i="1"/>
  <c r="A7007" i="1"/>
  <c r="B7007" i="1"/>
  <c r="A7008" i="1"/>
  <c r="B7008" i="1"/>
  <c r="A7009" i="1"/>
  <c r="B7009" i="1"/>
  <c r="A7010" i="1"/>
  <c r="B7010" i="1"/>
  <c r="A7011" i="1"/>
  <c r="B7011" i="1"/>
  <c r="A7012" i="1"/>
  <c r="B7012" i="1"/>
  <c r="A7013" i="1"/>
  <c r="B7013" i="1"/>
  <c r="A7014" i="1"/>
  <c r="B7014" i="1"/>
  <c r="A7015" i="1"/>
  <c r="B7015" i="1"/>
  <c r="A7016" i="1"/>
  <c r="B7016" i="1"/>
  <c r="A7017" i="1"/>
  <c r="B7017" i="1"/>
  <c r="A7018" i="1"/>
  <c r="B7018" i="1"/>
  <c r="A7019" i="1"/>
  <c r="B7019" i="1"/>
  <c r="A7020" i="1"/>
  <c r="B7020" i="1"/>
  <c r="A7021" i="1"/>
  <c r="B7021" i="1"/>
  <c r="A7022" i="1"/>
  <c r="B7022" i="1"/>
  <c r="A7023" i="1"/>
  <c r="B7023" i="1"/>
  <c r="A7024" i="1"/>
  <c r="B7024" i="1"/>
  <c r="A7025" i="1"/>
  <c r="B7025" i="1"/>
  <c r="A7026" i="1"/>
  <c r="B7026" i="1"/>
  <c r="A7027" i="1"/>
  <c r="B7027" i="1"/>
  <c r="A7028" i="1"/>
  <c r="B7028" i="1"/>
  <c r="A7029" i="1"/>
  <c r="B7029" i="1"/>
  <c r="A7030" i="1"/>
  <c r="B7030" i="1"/>
  <c r="A7031" i="1"/>
  <c r="B7031" i="1"/>
  <c r="A7032" i="1"/>
  <c r="B7032" i="1"/>
  <c r="A7033" i="1"/>
  <c r="B7033" i="1"/>
  <c r="A7034" i="1"/>
  <c r="B7034" i="1"/>
  <c r="A7035" i="1"/>
  <c r="B7035" i="1"/>
  <c r="A7036" i="1"/>
  <c r="B7036" i="1"/>
  <c r="A7037" i="1"/>
  <c r="B7037" i="1"/>
  <c r="A7038" i="1"/>
  <c r="B7038" i="1"/>
  <c r="A7039" i="1"/>
  <c r="B7039" i="1"/>
  <c r="A7040" i="1"/>
  <c r="B7040" i="1"/>
  <c r="A7041" i="1"/>
  <c r="B7041" i="1"/>
  <c r="A7042" i="1"/>
  <c r="B7042" i="1"/>
  <c r="A7043" i="1"/>
  <c r="B7043" i="1"/>
  <c r="A7044" i="1"/>
  <c r="B7044" i="1"/>
  <c r="A7045" i="1"/>
  <c r="B7045" i="1"/>
  <c r="A7046" i="1"/>
  <c r="B7046" i="1"/>
  <c r="A7047" i="1"/>
  <c r="B7047" i="1"/>
  <c r="A7048" i="1"/>
  <c r="B7048" i="1"/>
  <c r="A7049" i="1"/>
  <c r="B7049" i="1"/>
  <c r="B7050" i="1"/>
  <c r="A7051" i="1"/>
  <c r="B7051" i="1"/>
  <c r="A7052" i="1"/>
  <c r="B7052" i="1"/>
  <c r="A7053" i="1"/>
  <c r="B7053" i="1"/>
  <c r="A7054" i="1"/>
  <c r="B7054" i="1"/>
  <c r="A7055" i="1"/>
  <c r="B7055" i="1"/>
  <c r="A7056" i="1"/>
  <c r="B7056" i="1"/>
  <c r="A7057" i="1"/>
  <c r="B7057" i="1"/>
  <c r="A7058" i="1"/>
  <c r="B7058" i="1"/>
  <c r="A7059" i="1"/>
  <c r="B7059" i="1"/>
  <c r="A7060" i="1"/>
  <c r="B7060" i="1"/>
  <c r="A7061" i="1"/>
  <c r="B7061" i="1"/>
  <c r="A7062" i="1"/>
  <c r="B7062" i="1"/>
  <c r="A7063" i="1"/>
  <c r="B7063" i="1"/>
  <c r="A7064" i="1"/>
  <c r="B7064" i="1"/>
  <c r="A7065" i="1"/>
  <c r="B7065" i="1"/>
  <c r="A7066" i="1"/>
  <c r="B7066" i="1"/>
  <c r="A7067" i="1"/>
  <c r="B7067" i="1"/>
  <c r="A7068" i="1"/>
  <c r="B7068" i="1"/>
  <c r="A7069" i="1"/>
  <c r="B7069" i="1"/>
  <c r="B7070" i="1"/>
  <c r="A7071" i="1"/>
  <c r="B7071" i="1"/>
  <c r="A7072" i="1"/>
  <c r="B7072" i="1"/>
  <c r="A7073" i="1"/>
  <c r="B7073" i="1"/>
  <c r="A7074" i="1"/>
  <c r="B7074" i="1"/>
  <c r="A7075" i="1"/>
  <c r="B7075" i="1"/>
  <c r="A7076" i="1"/>
  <c r="B7076" i="1"/>
  <c r="A7077" i="1"/>
  <c r="B7077" i="1"/>
  <c r="A7078" i="1"/>
  <c r="B7078" i="1"/>
  <c r="A7079" i="1"/>
  <c r="B7079" i="1"/>
  <c r="A7080" i="1"/>
  <c r="B7080" i="1"/>
  <c r="A7081" i="1"/>
  <c r="B7081" i="1"/>
  <c r="A7082" i="1"/>
  <c r="B7082" i="1"/>
  <c r="A7083" i="1"/>
  <c r="B7083" i="1"/>
  <c r="A7084" i="1"/>
  <c r="B7084" i="1"/>
  <c r="A7085" i="1"/>
  <c r="B7085" i="1"/>
  <c r="A7086" i="1"/>
  <c r="B7086" i="1"/>
  <c r="A7087" i="1"/>
  <c r="B7087" i="1"/>
  <c r="A7088" i="1"/>
  <c r="B7088" i="1"/>
  <c r="A7089" i="1"/>
  <c r="B7089" i="1"/>
  <c r="A7090" i="1"/>
  <c r="B7090" i="1"/>
  <c r="A7091" i="1"/>
  <c r="B7091" i="1"/>
  <c r="A7092" i="1"/>
  <c r="B7092" i="1"/>
  <c r="A7093" i="1"/>
  <c r="B7093" i="1"/>
  <c r="B7094" i="1"/>
  <c r="A7095" i="1"/>
  <c r="B7095" i="1"/>
  <c r="A7096" i="1"/>
  <c r="B7096" i="1"/>
  <c r="A7097" i="1"/>
  <c r="B7097" i="1"/>
  <c r="A7098" i="1"/>
  <c r="B7098" i="1"/>
  <c r="A7099" i="1"/>
  <c r="B7099" i="1"/>
  <c r="A7100" i="1"/>
  <c r="B7100" i="1"/>
  <c r="A7101" i="1"/>
  <c r="B7101" i="1"/>
  <c r="A7102" i="1"/>
  <c r="B7102" i="1"/>
  <c r="A7103" i="1"/>
  <c r="B7103" i="1"/>
  <c r="A7104" i="1"/>
  <c r="B7104" i="1"/>
  <c r="A7105" i="1"/>
  <c r="B7105" i="1"/>
  <c r="A7106" i="1"/>
  <c r="B7106" i="1"/>
  <c r="A7107" i="1"/>
  <c r="B7107" i="1"/>
  <c r="A7108" i="1"/>
  <c r="B7108" i="1"/>
  <c r="A7109" i="1"/>
  <c r="B7109" i="1"/>
  <c r="A7110" i="1"/>
  <c r="B7110" i="1"/>
  <c r="A7111" i="1"/>
  <c r="B7111" i="1"/>
  <c r="A7112" i="1"/>
  <c r="B7112" i="1"/>
  <c r="A7113" i="1"/>
  <c r="B7113" i="1"/>
  <c r="A7114" i="1"/>
  <c r="B7114" i="1"/>
  <c r="A7115" i="1"/>
  <c r="B7115" i="1"/>
  <c r="A7116" i="1"/>
  <c r="B7116" i="1"/>
  <c r="A7117" i="1"/>
  <c r="B7117" i="1"/>
  <c r="A7118" i="1"/>
  <c r="B7118" i="1"/>
  <c r="A7119" i="1"/>
  <c r="B7119" i="1"/>
  <c r="A7120" i="1"/>
  <c r="B7120" i="1"/>
  <c r="A7121" i="1"/>
  <c r="B7121" i="1"/>
  <c r="A7122" i="1"/>
  <c r="B7122" i="1"/>
  <c r="A7123" i="1"/>
  <c r="B7123" i="1"/>
  <c r="A7124" i="1"/>
  <c r="B7124" i="1"/>
  <c r="A7125" i="1"/>
  <c r="B7125" i="1"/>
  <c r="A7126" i="1"/>
  <c r="B7126" i="1"/>
  <c r="A7127" i="1"/>
  <c r="B7127" i="1"/>
  <c r="A7128" i="1"/>
  <c r="B7128" i="1"/>
  <c r="A7129" i="1"/>
  <c r="B7129" i="1"/>
  <c r="A7130" i="1"/>
  <c r="B7130" i="1"/>
  <c r="A7131" i="1"/>
  <c r="B7131" i="1"/>
  <c r="A7132" i="1"/>
  <c r="B7132" i="1"/>
  <c r="A7133" i="1"/>
  <c r="B7133" i="1"/>
  <c r="A7134" i="1"/>
  <c r="B7134" i="1"/>
  <c r="A7135" i="1"/>
  <c r="B7135" i="1"/>
  <c r="A7136" i="1"/>
  <c r="B7136" i="1"/>
  <c r="A7137" i="1"/>
  <c r="B7137" i="1"/>
  <c r="A7138" i="1"/>
  <c r="B7138" i="1"/>
  <c r="A7139" i="1"/>
  <c r="B7139" i="1"/>
  <c r="A7140" i="1"/>
  <c r="B7140" i="1"/>
  <c r="A7141" i="1"/>
  <c r="B7141" i="1"/>
  <c r="A7142" i="1"/>
  <c r="B7142" i="1"/>
  <c r="A7143" i="1"/>
  <c r="B7143" i="1"/>
  <c r="A7144" i="1"/>
  <c r="B7144" i="1"/>
  <c r="A7145" i="1"/>
  <c r="B7145" i="1"/>
  <c r="A7146" i="1"/>
  <c r="B7146" i="1"/>
  <c r="A7147" i="1"/>
  <c r="B7147" i="1"/>
  <c r="A7148" i="1"/>
  <c r="B7148" i="1"/>
  <c r="A7149" i="1"/>
  <c r="B7149" i="1"/>
  <c r="A7150" i="1"/>
  <c r="B7150" i="1"/>
  <c r="A7151" i="1"/>
  <c r="B7151" i="1"/>
  <c r="A7152" i="1"/>
  <c r="B7152" i="1"/>
  <c r="A7153" i="1"/>
  <c r="B7153" i="1"/>
  <c r="A7154" i="1"/>
  <c r="B7154" i="1"/>
  <c r="A7155" i="1"/>
  <c r="B7155" i="1"/>
  <c r="A7156" i="1"/>
  <c r="B7156" i="1"/>
  <c r="A7157" i="1"/>
  <c r="B7157" i="1"/>
  <c r="A7158" i="1"/>
  <c r="B7158" i="1"/>
  <c r="A7159" i="1"/>
  <c r="B7159" i="1"/>
  <c r="A7160" i="1"/>
  <c r="B7160" i="1"/>
  <c r="A7161" i="1"/>
  <c r="B7161" i="1"/>
  <c r="A7162" i="1"/>
  <c r="B7162" i="1"/>
  <c r="A7163" i="1"/>
  <c r="B7163" i="1"/>
  <c r="A7164" i="1"/>
  <c r="B7164" i="1"/>
  <c r="A7165" i="1"/>
  <c r="B7165" i="1"/>
  <c r="A7166" i="1"/>
  <c r="B7166" i="1"/>
  <c r="A7167" i="1"/>
  <c r="B7167" i="1"/>
  <c r="A7168" i="1"/>
  <c r="B7168" i="1"/>
  <c r="A7169" i="1"/>
  <c r="B7169" i="1"/>
  <c r="A7170" i="1"/>
  <c r="B7170" i="1"/>
  <c r="A7171" i="1"/>
  <c r="B7171" i="1"/>
  <c r="A7172" i="1"/>
  <c r="B7172" i="1"/>
  <c r="A7173" i="1"/>
  <c r="B7173" i="1"/>
  <c r="A7174" i="1"/>
  <c r="B7174" i="1"/>
  <c r="A7175" i="1"/>
  <c r="B7175" i="1"/>
  <c r="A7176" i="1"/>
  <c r="B7176" i="1"/>
  <c r="A7177" i="1"/>
  <c r="B7177" i="1"/>
  <c r="A7178" i="1"/>
  <c r="B7178" i="1"/>
  <c r="A7179" i="1"/>
  <c r="B7179" i="1"/>
  <c r="A7180" i="1"/>
  <c r="B7180" i="1"/>
  <c r="A7181" i="1"/>
  <c r="B7181" i="1"/>
  <c r="A7182" i="1"/>
  <c r="B7182" i="1"/>
  <c r="A7183" i="1"/>
  <c r="B7183" i="1"/>
  <c r="A7184" i="1"/>
  <c r="B7184" i="1"/>
  <c r="A7185" i="1"/>
  <c r="B7185" i="1"/>
  <c r="A7186" i="1"/>
  <c r="B7186" i="1"/>
  <c r="A7187" i="1"/>
  <c r="B7187" i="1"/>
  <c r="A7188" i="1"/>
  <c r="B7188" i="1"/>
  <c r="A7189" i="1"/>
  <c r="B7189" i="1"/>
  <c r="A7190" i="1"/>
  <c r="B7190" i="1"/>
  <c r="A7191" i="1"/>
  <c r="B7191" i="1"/>
  <c r="A7192" i="1"/>
  <c r="B7192" i="1"/>
  <c r="A7193" i="1"/>
  <c r="B7193" i="1"/>
  <c r="A7194" i="1"/>
  <c r="B7194" i="1"/>
  <c r="A7195" i="1"/>
  <c r="B7195" i="1"/>
  <c r="A7196" i="1"/>
  <c r="B7196" i="1"/>
  <c r="A7197" i="1"/>
  <c r="B7197" i="1"/>
  <c r="A7198" i="1"/>
  <c r="B7198" i="1"/>
  <c r="A7199" i="1"/>
  <c r="B7199" i="1"/>
  <c r="A7200" i="1"/>
  <c r="B7200" i="1"/>
  <c r="A7201" i="1"/>
  <c r="B7201" i="1"/>
  <c r="A7202" i="1"/>
  <c r="B7202" i="1"/>
  <c r="A7203" i="1"/>
  <c r="B7203" i="1"/>
  <c r="A7204" i="1"/>
  <c r="B7204" i="1"/>
  <c r="A7205" i="1"/>
  <c r="B7205" i="1"/>
  <c r="A7206" i="1"/>
  <c r="B7206" i="1"/>
  <c r="A7207" i="1"/>
  <c r="B7207" i="1"/>
  <c r="A7208" i="1"/>
  <c r="B7208" i="1"/>
  <c r="A7209" i="1"/>
  <c r="B7209" i="1"/>
  <c r="A7210" i="1"/>
  <c r="B7210" i="1"/>
  <c r="A7211" i="1"/>
  <c r="B7211" i="1"/>
  <c r="A7212" i="1"/>
  <c r="B7212" i="1"/>
  <c r="A7213" i="1"/>
  <c r="B7213" i="1"/>
  <c r="A7214" i="1"/>
  <c r="B7214" i="1"/>
  <c r="A7215" i="1"/>
  <c r="B7215" i="1"/>
  <c r="A7216" i="1"/>
  <c r="B7216" i="1"/>
  <c r="A7217" i="1"/>
  <c r="B7217" i="1"/>
  <c r="A7218" i="1"/>
  <c r="B7218" i="1"/>
  <c r="A7219" i="1"/>
  <c r="B7219" i="1"/>
  <c r="A7220" i="1"/>
  <c r="B7220" i="1"/>
  <c r="A7221" i="1"/>
  <c r="B7221" i="1"/>
  <c r="A7222" i="1"/>
  <c r="B7222" i="1"/>
  <c r="A7223" i="1"/>
  <c r="B7223" i="1"/>
  <c r="A7224" i="1"/>
  <c r="B7224" i="1"/>
  <c r="A7225" i="1"/>
  <c r="B7225" i="1"/>
  <c r="A7226" i="1"/>
  <c r="B7226" i="1"/>
  <c r="A7227" i="1"/>
  <c r="B7227" i="1"/>
  <c r="A7228" i="1"/>
  <c r="B7228" i="1"/>
  <c r="A7229" i="1"/>
  <c r="B7229" i="1"/>
  <c r="A7230" i="1"/>
  <c r="B7230" i="1"/>
  <c r="A7231" i="1"/>
  <c r="B7231" i="1"/>
  <c r="A7232" i="1"/>
  <c r="B7232" i="1"/>
  <c r="A7233" i="1"/>
  <c r="B7233" i="1"/>
  <c r="A7234" i="1"/>
  <c r="B7234" i="1"/>
  <c r="A7235" i="1"/>
  <c r="B7235" i="1"/>
  <c r="A7236" i="1"/>
  <c r="B7236" i="1"/>
  <c r="A7237" i="1"/>
  <c r="B7237" i="1"/>
  <c r="A7238" i="1"/>
  <c r="B7238" i="1"/>
  <c r="A7239" i="1"/>
  <c r="B7239" i="1"/>
  <c r="A7240" i="1"/>
  <c r="B7240" i="1"/>
  <c r="A7241" i="1"/>
  <c r="B7241" i="1"/>
  <c r="A7242" i="1"/>
  <c r="B7242" i="1"/>
  <c r="A7243" i="1"/>
  <c r="B7243" i="1"/>
  <c r="A7244" i="1"/>
  <c r="B7244" i="1"/>
  <c r="A7245" i="1"/>
  <c r="B7245" i="1"/>
  <c r="A7246" i="1"/>
  <c r="B7246" i="1"/>
  <c r="A7247" i="1"/>
  <c r="B7247" i="1"/>
  <c r="A7248" i="1"/>
  <c r="B7248" i="1"/>
  <c r="A7249" i="1"/>
  <c r="B7249" i="1"/>
  <c r="A7250" i="1"/>
  <c r="B7250" i="1"/>
  <c r="A7251" i="1"/>
  <c r="B7251" i="1"/>
  <c r="A7252" i="1"/>
  <c r="B7252" i="1"/>
  <c r="A7253" i="1"/>
  <c r="B7253" i="1"/>
  <c r="A7254" i="1"/>
  <c r="B7254" i="1"/>
  <c r="A7255" i="1"/>
  <c r="B7255" i="1"/>
  <c r="A7256" i="1"/>
  <c r="B7256" i="1"/>
  <c r="A7257" i="1"/>
  <c r="B7257" i="1"/>
  <c r="A7258" i="1"/>
  <c r="B7258" i="1"/>
  <c r="A7259" i="1"/>
  <c r="B7259" i="1"/>
  <c r="A7260" i="1"/>
  <c r="B7260" i="1"/>
  <c r="A7261" i="1"/>
  <c r="B7261" i="1"/>
  <c r="A7262" i="1"/>
  <c r="B7262" i="1"/>
  <c r="A7263" i="1"/>
  <c r="B7263" i="1"/>
  <c r="A7264" i="1"/>
  <c r="B7264" i="1"/>
  <c r="A7265" i="1"/>
  <c r="B7265" i="1"/>
  <c r="A7266" i="1"/>
  <c r="B7266" i="1"/>
  <c r="A7267" i="1"/>
  <c r="B7267" i="1"/>
  <c r="A7268" i="1"/>
  <c r="B7268" i="1"/>
  <c r="A7269" i="1"/>
  <c r="B7269" i="1"/>
  <c r="A7270" i="1"/>
  <c r="B7270" i="1"/>
  <c r="A7271" i="1"/>
  <c r="B7271" i="1"/>
  <c r="A7272" i="1"/>
  <c r="B7272" i="1"/>
  <c r="A7273" i="1"/>
  <c r="B7273" i="1"/>
  <c r="A7274" i="1"/>
  <c r="B7274" i="1"/>
  <c r="A7275" i="1"/>
  <c r="B7275" i="1"/>
  <c r="A7276" i="1"/>
  <c r="B7276" i="1"/>
  <c r="A7277" i="1"/>
  <c r="B7277" i="1"/>
  <c r="A7278" i="1"/>
  <c r="B7278" i="1"/>
  <c r="A7279" i="1"/>
  <c r="B7279" i="1"/>
  <c r="A7280" i="1"/>
  <c r="B7280" i="1"/>
  <c r="A7281" i="1"/>
  <c r="B7281" i="1"/>
  <c r="A7282" i="1"/>
  <c r="B7282" i="1"/>
  <c r="A7283" i="1"/>
  <c r="B7283" i="1"/>
  <c r="A7284" i="1"/>
  <c r="B7284" i="1"/>
  <c r="A7285" i="1"/>
  <c r="B7285" i="1"/>
  <c r="A7286" i="1"/>
  <c r="B7286" i="1"/>
  <c r="A7287" i="1"/>
  <c r="B7287" i="1"/>
  <c r="A7288" i="1"/>
  <c r="B7288" i="1"/>
  <c r="A7289" i="1"/>
  <c r="B7289" i="1"/>
  <c r="A7290" i="1"/>
  <c r="B7290" i="1"/>
  <c r="A7291" i="1"/>
  <c r="B7291" i="1"/>
  <c r="A7292" i="1"/>
  <c r="B7292" i="1"/>
  <c r="A7293" i="1"/>
  <c r="B7293" i="1"/>
  <c r="A7294" i="1"/>
  <c r="B7294" i="1"/>
  <c r="A7295" i="1"/>
  <c r="B7295" i="1"/>
  <c r="A7296" i="1"/>
  <c r="B7296" i="1"/>
  <c r="A7297" i="1"/>
  <c r="B7297" i="1"/>
  <c r="A7298" i="1"/>
  <c r="B7298" i="1"/>
  <c r="A7299" i="1"/>
  <c r="B7299" i="1"/>
  <c r="A7300" i="1"/>
  <c r="B7300" i="1"/>
  <c r="A7301" i="1"/>
  <c r="B7301" i="1"/>
  <c r="A7302" i="1"/>
  <c r="B7302" i="1"/>
  <c r="A7303" i="1"/>
  <c r="B7303" i="1"/>
  <c r="A7304" i="1"/>
  <c r="B7304" i="1"/>
  <c r="A7305" i="1"/>
  <c r="B7305" i="1"/>
  <c r="A7306" i="1"/>
  <c r="B7306" i="1"/>
  <c r="A7307" i="1"/>
  <c r="B7307" i="1"/>
  <c r="A7308" i="1"/>
  <c r="B7308" i="1"/>
  <c r="A7309" i="1"/>
  <c r="B7309" i="1"/>
  <c r="A7310" i="1"/>
  <c r="B7310" i="1"/>
  <c r="A7311" i="1"/>
  <c r="B7311" i="1"/>
  <c r="A7312" i="1"/>
  <c r="B7312" i="1"/>
  <c r="A7313" i="1"/>
  <c r="B7313" i="1"/>
  <c r="A7314" i="1"/>
  <c r="B7314" i="1"/>
  <c r="A7315" i="1"/>
  <c r="B7315" i="1"/>
  <c r="A7316" i="1"/>
  <c r="B7316" i="1"/>
  <c r="A7317" i="1"/>
  <c r="B7317" i="1"/>
  <c r="A7318" i="1"/>
  <c r="B7318" i="1"/>
  <c r="A7319" i="1"/>
  <c r="B7319" i="1"/>
  <c r="A7320" i="1"/>
  <c r="B7320" i="1"/>
  <c r="A7321" i="1"/>
  <c r="B7321" i="1"/>
  <c r="A7322" i="1"/>
  <c r="B7322" i="1"/>
  <c r="A7323" i="1"/>
  <c r="B7323" i="1"/>
  <c r="A7324" i="1"/>
  <c r="B7324" i="1"/>
  <c r="A7325" i="1"/>
  <c r="B7325" i="1"/>
  <c r="A7326" i="1"/>
  <c r="B7326" i="1"/>
  <c r="A7327" i="1"/>
  <c r="B7327" i="1"/>
  <c r="A7328" i="1"/>
  <c r="B7328" i="1"/>
  <c r="A7329" i="1"/>
  <c r="B7329" i="1"/>
  <c r="A7330" i="1"/>
  <c r="B7330" i="1"/>
  <c r="A7331" i="1"/>
  <c r="B7331" i="1"/>
  <c r="A7332" i="1"/>
  <c r="B7332" i="1"/>
  <c r="A7333" i="1"/>
  <c r="B7333" i="1"/>
  <c r="A7334" i="1"/>
  <c r="B7334" i="1"/>
  <c r="A7335" i="1"/>
  <c r="B7335" i="1"/>
  <c r="A7336" i="1"/>
  <c r="B7336" i="1"/>
  <c r="A7337" i="1"/>
  <c r="B7337" i="1"/>
  <c r="A7338" i="1"/>
  <c r="B7338" i="1"/>
  <c r="A7339" i="1"/>
  <c r="B7339" i="1"/>
  <c r="A7340" i="1"/>
  <c r="B7340" i="1"/>
  <c r="A7341" i="1"/>
  <c r="B7341" i="1"/>
  <c r="A7342" i="1"/>
  <c r="B7342" i="1"/>
  <c r="A7343" i="1"/>
  <c r="B7343" i="1"/>
  <c r="A7344" i="1"/>
  <c r="B7344" i="1"/>
  <c r="A7345" i="1"/>
  <c r="B7345" i="1"/>
  <c r="A7346" i="1"/>
  <c r="B7346" i="1"/>
  <c r="A7347" i="1"/>
  <c r="B7347" i="1"/>
  <c r="A7348" i="1"/>
  <c r="B7348" i="1"/>
  <c r="A7349" i="1"/>
  <c r="B7349" i="1"/>
  <c r="A7350" i="1"/>
  <c r="B7350" i="1"/>
  <c r="A7351" i="1"/>
  <c r="B7351" i="1"/>
  <c r="A7352" i="1"/>
  <c r="B7352" i="1"/>
  <c r="A7353" i="1"/>
  <c r="B7353" i="1"/>
  <c r="A7354" i="1"/>
  <c r="B7354" i="1"/>
  <c r="A7355" i="1"/>
  <c r="B7355" i="1"/>
  <c r="A7356" i="1"/>
  <c r="B7356" i="1"/>
  <c r="A7357" i="1"/>
  <c r="B7357" i="1"/>
  <c r="A7358" i="1"/>
  <c r="B7358" i="1"/>
  <c r="A7359" i="1"/>
  <c r="B7359" i="1"/>
  <c r="A7360" i="1"/>
  <c r="B7360" i="1"/>
  <c r="A7361" i="1"/>
  <c r="B7361" i="1"/>
  <c r="A7362" i="1"/>
  <c r="B7362" i="1"/>
  <c r="A7363" i="1"/>
  <c r="B7363" i="1"/>
  <c r="A7364" i="1"/>
  <c r="B7364" i="1"/>
  <c r="A7365" i="1"/>
  <c r="B7365" i="1"/>
  <c r="A7366" i="1"/>
  <c r="B7366" i="1"/>
  <c r="A7367" i="1"/>
  <c r="B7367" i="1"/>
  <c r="A7368" i="1"/>
  <c r="B7368" i="1"/>
  <c r="A7369" i="1"/>
  <c r="B7369" i="1"/>
  <c r="A7370" i="1"/>
  <c r="B7370" i="1"/>
  <c r="A7371" i="1"/>
  <c r="B7371" i="1"/>
  <c r="A7372" i="1"/>
  <c r="B7372" i="1"/>
  <c r="A7373" i="1"/>
  <c r="B7373" i="1"/>
  <c r="A7374" i="1"/>
  <c r="B7374" i="1"/>
  <c r="A7375" i="1"/>
  <c r="B7375" i="1"/>
  <c r="A7376" i="1"/>
  <c r="B7376" i="1"/>
  <c r="A7377" i="1"/>
  <c r="B7377" i="1"/>
  <c r="A7378" i="1"/>
  <c r="B7378" i="1"/>
  <c r="A7379" i="1"/>
  <c r="B7379" i="1"/>
  <c r="A7380" i="1"/>
  <c r="B7380" i="1"/>
  <c r="A7381" i="1"/>
  <c r="B7381" i="1"/>
  <c r="A7382" i="1"/>
  <c r="B7382" i="1"/>
  <c r="A7383" i="1"/>
  <c r="B7383" i="1"/>
  <c r="A7384" i="1"/>
  <c r="B7384" i="1"/>
  <c r="A7385" i="1"/>
  <c r="B7385" i="1"/>
  <c r="A7386" i="1"/>
  <c r="B7386" i="1"/>
  <c r="A7387" i="1"/>
  <c r="B7387" i="1"/>
  <c r="A7388" i="1"/>
  <c r="B7388" i="1"/>
  <c r="A7389" i="1"/>
  <c r="B7389" i="1"/>
  <c r="A7390" i="1"/>
  <c r="B7390" i="1"/>
  <c r="A7391" i="1"/>
  <c r="B7391" i="1"/>
  <c r="A7392" i="1"/>
  <c r="B7392" i="1"/>
  <c r="A7393" i="1"/>
  <c r="B7393" i="1"/>
  <c r="A7394" i="1"/>
  <c r="B7394" i="1"/>
  <c r="A7395" i="1"/>
  <c r="B7395" i="1"/>
  <c r="A7396" i="1"/>
  <c r="B7396" i="1"/>
  <c r="A7397" i="1"/>
  <c r="B7397" i="1"/>
  <c r="A7398" i="1"/>
  <c r="B7398" i="1"/>
  <c r="A7399" i="1"/>
  <c r="B7399" i="1"/>
  <c r="A7400" i="1"/>
  <c r="B7400" i="1"/>
  <c r="A7401" i="1"/>
  <c r="B7401" i="1"/>
  <c r="A7402" i="1"/>
  <c r="B7402" i="1"/>
  <c r="A7403" i="1"/>
  <c r="B7403" i="1"/>
  <c r="A7404" i="1"/>
  <c r="B7404" i="1"/>
  <c r="A7405" i="1"/>
  <c r="B7405" i="1"/>
  <c r="A7406" i="1"/>
  <c r="B7406" i="1"/>
  <c r="A7407" i="1"/>
  <c r="B7407" i="1"/>
  <c r="A7408" i="1"/>
  <c r="B7408" i="1"/>
  <c r="A7409" i="1"/>
  <c r="B7409" i="1"/>
  <c r="A7410" i="1"/>
  <c r="B7410" i="1"/>
  <c r="A7411" i="1"/>
  <c r="B7411" i="1"/>
  <c r="A7412" i="1"/>
  <c r="B7412" i="1"/>
  <c r="A7413" i="1"/>
  <c r="B7413" i="1"/>
  <c r="A7414" i="1"/>
  <c r="B7414" i="1"/>
  <c r="A7415" i="1"/>
  <c r="B7415" i="1"/>
  <c r="A7416" i="1"/>
  <c r="B7416" i="1"/>
  <c r="A7417" i="1"/>
  <c r="B7417" i="1"/>
  <c r="A7418" i="1"/>
  <c r="B7418" i="1"/>
  <c r="A7419" i="1"/>
  <c r="B7419" i="1"/>
  <c r="A7420" i="1"/>
  <c r="B7420" i="1"/>
  <c r="A7421" i="1"/>
  <c r="B7421" i="1"/>
  <c r="A7422" i="1"/>
  <c r="B7422" i="1"/>
  <c r="A7423" i="1"/>
  <c r="B7423" i="1"/>
  <c r="A7424" i="1"/>
  <c r="B7424" i="1"/>
  <c r="A7425" i="1"/>
  <c r="B7425" i="1"/>
  <c r="A7426" i="1"/>
  <c r="B7426" i="1"/>
  <c r="A7427" i="1"/>
  <c r="B7427" i="1"/>
  <c r="A7428" i="1"/>
  <c r="B7428" i="1"/>
  <c r="A7429" i="1"/>
  <c r="B7429" i="1"/>
  <c r="A7430" i="1"/>
  <c r="B7430" i="1"/>
  <c r="A7431" i="1"/>
  <c r="B7431" i="1"/>
  <c r="A7432" i="1"/>
  <c r="B7432" i="1"/>
  <c r="A7433" i="1"/>
  <c r="B7433" i="1"/>
  <c r="A7434" i="1"/>
  <c r="B7434" i="1"/>
  <c r="A7435" i="1"/>
  <c r="B7435" i="1"/>
  <c r="A7436" i="1"/>
  <c r="B7436" i="1"/>
  <c r="A7437" i="1"/>
  <c r="B7437" i="1"/>
  <c r="A7438" i="1"/>
  <c r="B7438" i="1"/>
  <c r="A7439" i="1"/>
  <c r="B7439" i="1"/>
  <c r="A7440" i="1"/>
  <c r="B7440" i="1"/>
  <c r="A7441" i="1"/>
  <c r="B7441" i="1"/>
  <c r="A7442" i="1"/>
  <c r="B7442" i="1"/>
  <c r="A7443" i="1"/>
  <c r="B7443" i="1"/>
  <c r="A7444" i="1"/>
  <c r="B7444" i="1"/>
  <c r="A7445" i="1"/>
  <c r="B7445" i="1"/>
  <c r="A7446" i="1"/>
  <c r="B7446" i="1"/>
  <c r="A7447" i="1"/>
  <c r="B7447" i="1"/>
  <c r="A7448" i="1"/>
  <c r="B7448" i="1"/>
  <c r="A7449" i="1"/>
  <c r="B7449" i="1"/>
  <c r="A7450" i="1"/>
  <c r="B7450" i="1"/>
  <c r="A7451" i="1"/>
  <c r="B7451" i="1"/>
  <c r="A7452" i="1"/>
  <c r="B7452" i="1"/>
  <c r="A7453" i="1"/>
  <c r="B7453" i="1"/>
  <c r="A7454" i="1"/>
  <c r="B7454" i="1"/>
  <c r="A7455" i="1"/>
  <c r="B7455" i="1"/>
  <c r="A7456" i="1"/>
  <c r="B7456" i="1"/>
  <c r="A7457" i="1"/>
  <c r="B7457" i="1"/>
  <c r="A7458" i="1"/>
  <c r="B7458" i="1"/>
  <c r="A7459" i="1"/>
  <c r="B7459" i="1"/>
  <c r="A7460" i="1"/>
  <c r="B7460" i="1"/>
  <c r="A7461" i="1"/>
  <c r="B7461" i="1"/>
  <c r="A7462" i="1"/>
  <c r="B7462" i="1"/>
  <c r="A7463" i="1"/>
  <c r="B7463" i="1"/>
  <c r="A7464" i="1"/>
  <c r="B7464" i="1"/>
  <c r="A7465" i="1"/>
  <c r="B7465" i="1"/>
  <c r="A7466" i="1"/>
  <c r="B7466" i="1"/>
  <c r="A7467" i="1"/>
  <c r="B7467" i="1"/>
  <c r="A7468" i="1"/>
  <c r="B7468" i="1"/>
  <c r="A7469" i="1"/>
  <c r="B7469" i="1"/>
  <c r="A7470" i="1"/>
  <c r="B7470" i="1"/>
  <c r="A7471" i="1"/>
  <c r="B7471" i="1"/>
  <c r="A7472" i="1"/>
  <c r="B7472" i="1"/>
  <c r="A7473" i="1"/>
  <c r="B7473" i="1"/>
  <c r="A7474" i="1"/>
  <c r="B7474" i="1"/>
  <c r="A7475" i="1"/>
  <c r="B7475" i="1"/>
  <c r="A7476" i="1"/>
  <c r="B7476" i="1"/>
  <c r="A7477" i="1"/>
  <c r="B7477" i="1"/>
  <c r="A7478" i="1"/>
  <c r="B7478" i="1"/>
  <c r="A7479" i="1"/>
  <c r="B7479" i="1"/>
  <c r="A7480" i="1"/>
  <c r="B7480" i="1"/>
  <c r="A7481" i="1"/>
  <c r="B7481" i="1"/>
  <c r="A7482" i="1"/>
  <c r="B7482" i="1"/>
  <c r="A7483" i="1"/>
  <c r="B7483" i="1"/>
  <c r="A7484" i="1"/>
  <c r="B7484" i="1"/>
  <c r="A7485" i="1"/>
  <c r="B7485" i="1"/>
  <c r="A7486" i="1"/>
  <c r="B7486" i="1"/>
  <c r="A7487" i="1"/>
  <c r="B7487" i="1"/>
  <c r="A7488" i="1"/>
  <c r="B7488" i="1"/>
  <c r="A7489" i="1"/>
  <c r="B7489" i="1"/>
  <c r="A7490" i="1"/>
  <c r="B7490" i="1"/>
  <c r="A7491" i="1"/>
  <c r="B7491" i="1"/>
  <c r="A7492" i="1"/>
  <c r="B7492" i="1"/>
  <c r="A7493" i="1"/>
  <c r="B7493" i="1"/>
  <c r="A7494" i="1"/>
  <c r="B7494" i="1"/>
  <c r="A7495" i="1"/>
  <c r="B7495" i="1"/>
  <c r="A7496" i="1"/>
  <c r="B7496" i="1"/>
  <c r="A7497" i="1"/>
  <c r="B7497" i="1"/>
  <c r="A7498" i="1"/>
  <c r="B7498" i="1"/>
  <c r="A7499" i="1"/>
  <c r="B7499" i="1"/>
  <c r="A7500" i="1"/>
  <c r="B7500" i="1"/>
  <c r="A7501" i="1"/>
  <c r="B7501" i="1"/>
  <c r="A7502" i="1"/>
  <c r="B7502" i="1"/>
  <c r="A7503" i="1"/>
  <c r="B7503" i="1"/>
  <c r="A7504" i="1"/>
  <c r="B7504" i="1"/>
  <c r="A7505" i="1"/>
  <c r="B7505" i="1"/>
  <c r="A7506" i="1"/>
  <c r="B7506" i="1"/>
  <c r="A7507" i="1"/>
  <c r="B7507" i="1"/>
  <c r="A7508" i="1"/>
  <c r="B7508" i="1"/>
  <c r="A7509" i="1"/>
  <c r="B7509" i="1"/>
  <c r="A7510" i="1"/>
  <c r="B7510" i="1"/>
  <c r="A7511" i="1"/>
  <c r="B7511" i="1"/>
  <c r="A7512" i="1"/>
  <c r="B7512" i="1"/>
  <c r="A7513" i="1"/>
  <c r="B7513" i="1"/>
  <c r="A7514" i="1"/>
  <c r="B7514" i="1"/>
  <c r="A7515" i="1"/>
  <c r="B7515" i="1"/>
  <c r="A7516" i="1"/>
  <c r="B7516" i="1"/>
  <c r="A7517" i="1"/>
  <c r="B7517" i="1"/>
  <c r="A7518" i="1"/>
  <c r="B7518" i="1"/>
  <c r="A7519" i="1"/>
  <c r="B7519" i="1"/>
  <c r="A7520" i="1"/>
  <c r="B7520" i="1"/>
  <c r="A7521" i="1"/>
  <c r="B7521" i="1"/>
  <c r="A7522" i="1"/>
  <c r="B7522" i="1"/>
  <c r="A7523" i="1"/>
  <c r="B7523" i="1"/>
  <c r="A7524" i="1"/>
  <c r="B7524" i="1"/>
  <c r="A7525" i="1"/>
  <c r="B7525" i="1"/>
  <c r="A7526" i="1"/>
  <c r="B7526" i="1"/>
  <c r="A7527" i="1"/>
  <c r="B7527" i="1"/>
  <c r="A7528" i="1"/>
  <c r="B7528" i="1"/>
  <c r="A7529" i="1"/>
  <c r="B7529" i="1"/>
  <c r="A7530" i="1"/>
  <c r="B7530" i="1"/>
  <c r="A7531" i="1"/>
  <c r="B7531" i="1"/>
  <c r="A7532" i="1"/>
  <c r="B7532" i="1"/>
  <c r="A7533" i="1"/>
  <c r="B7533" i="1"/>
  <c r="A7534" i="1"/>
  <c r="B7534" i="1"/>
  <c r="A7535" i="1"/>
  <c r="B7535" i="1"/>
  <c r="A7536" i="1"/>
  <c r="B7536" i="1"/>
  <c r="A7537" i="1"/>
  <c r="B7537" i="1"/>
  <c r="A7538" i="1"/>
  <c r="B7538" i="1"/>
  <c r="A7539" i="1"/>
  <c r="B7539" i="1"/>
  <c r="A7540" i="1"/>
  <c r="B7540" i="1"/>
  <c r="A7541" i="1"/>
  <c r="B7541" i="1"/>
  <c r="A7542" i="1"/>
  <c r="B7542" i="1"/>
  <c r="A7543" i="1"/>
  <c r="B7543" i="1"/>
  <c r="A7544" i="1"/>
  <c r="B7544" i="1"/>
  <c r="A7545" i="1"/>
  <c r="B7545" i="1"/>
  <c r="A7546" i="1"/>
  <c r="B7546" i="1"/>
  <c r="A7547" i="1"/>
  <c r="B7547" i="1"/>
  <c r="A7548" i="1"/>
  <c r="B7548" i="1"/>
  <c r="A7549" i="1"/>
  <c r="B7549" i="1"/>
  <c r="A7550" i="1"/>
  <c r="B7550" i="1"/>
  <c r="A7551" i="1"/>
  <c r="B7551" i="1"/>
  <c r="A7552" i="1"/>
  <c r="B7552" i="1"/>
  <c r="A7553" i="1"/>
  <c r="B7553" i="1"/>
  <c r="A7554" i="1"/>
  <c r="B7554" i="1"/>
  <c r="A7555" i="1"/>
  <c r="B7555" i="1"/>
  <c r="A7556" i="1"/>
  <c r="B7556" i="1"/>
  <c r="A7557" i="1"/>
  <c r="B7557" i="1"/>
  <c r="A7558" i="1"/>
  <c r="B7558" i="1"/>
  <c r="A7559" i="1"/>
  <c r="B7559" i="1"/>
  <c r="A7560" i="1"/>
  <c r="B7560" i="1"/>
  <c r="A7561" i="1"/>
  <c r="B7561" i="1"/>
  <c r="A7562" i="1"/>
  <c r="B7562" i="1"/>
  <c r="A7563" i="1"/>
  <c r="B7563" i="1"/>
  <c r="B7564" i="1"/>
  <c r="A7565" i="1"/>
  <c r="B7565" i="1"/>
  <c r="A7566" i="1"/>
  <c r="B7566" i="1"/>
  <c r="A7567" i="1"/>
  <c r="B7567" i="1"/>
  <c r="A7568" i="1"/>
  <c r="B7568" i="1"/>
  <c r="A7569" i="1"/>
  <c r="B7569" i="1"/>
  <c r="B7570" i="1"/>
  <c r="A7571" i="1"/>
  <c r="B7571" i="1"/>
  <c r="A7572" i="1"/>
  <c r="B7572" i="1"/>
  <c r="A7573" i="1"/>
  <c r="B7573" i="1"/>
  <c r="A7574" i="1"/>
  <c r="B7574" i="1"/>
  <c r="B7575" i="1"/>
  <c r="A7576" i="1"/>
  <c r="B7576" i="1"/>
  <c r="A7577" i="1"/>
  <c r="B7577" i="1"/>
  <c r="A7578" i="1"/>
  <c r="B7578" i="1"/>
  <c r="A7579" i="1"/>
  <c r="B7579" i="1"/>
  <c r="A7580" i="1"/>
  <c r="B7580" i="1"/>
  <c r="A7581" i="1"/>
  <c r="B7581" i="1"/>
  <c r="A7582" i="1"/>
  <c r="B7582" i="1"/>
  <c r="A7583" i="1"/>
  <c r="B7583" i="1"/>
  <c r="A7584" i="1"/>
  <c r="B7584" i="1"/>
  <c r="A7585" i="1"/>
  <c r="B7585" i="1"/>
  <c r="A7586" i="1"/>
  <c r="B7586" i="1"/>
  <c r="A7587" i="1"/>
  <c r="B7587" i="1"/>
  <c r="A7588" i="1"/>
  <c r="B7588" i="1"/>
  <c r="A7589" i="1"/>
  <c r="B7589" i="1"/>
  <c r="A7590" i="1"/>
  <c r="B7590" i="1"/>
  <c r="A7591" i="1"/>
  <c r="B7591" i="1"/>
  <c r="A7592" i="1"/>
  <c r="B7592" i="1"/>
  <c r="A7593" i="1"/>
  <c r="B7593" i="1"/>
  <c r="A7594" i="1"/>
  <c r="B7594" i="1"/>
  <c r="A7595" i="1"/>
  <c r="B7595" i="1"/>
  <c r="A7596" i="1"/>
  <c r="B7596" i="1"/>
  <c r="A7597" i="1"/>
  <c r="B7597" i="1"/>
  <c r="A7598" i="1"/>
  <c r="B7598" i="1"/>
  <c r="A7599" i="1"/>
  <c r="B7599" i="1"/>
  <c r="A7600" i="1"/>
  <c r="B7600" i="1"/>
  <c r="A7601" i="1"/>
  <c r="B7601" i="1"/>
  <c r="A7602" i="1"/>
  <c r="B7602" i="1"/>
  <c r="A7603" i="1"/>
  <c r="B7603" i="1"/>
  <c r="A7604" i="1"/>
  <c r="B7604" i="1"/>
  <c r="A7605" i="1"/>
  <c r="B7605" i="1"/>
  <c r="A7606" i="1"/>
  <c r="B7606" i="1"/>
  <c r="A7607" i="1"/>
  <c r="B7607" i="1"/>
  <c r="A7608" i="1"/>
  <c r="B7608" i="1"/>
  <c r="A7609" i="1"/>
  <c r="B7609" i="1"/>
  <c r="A7610" i="1"/>
  <c r="B7610" i="1"/>
  <c r="A7611" i="1"/>
  <c r="B7611" i="1"/>
  <c r="A7612" i="1"/>
  <c r="B7612" i="1"/>
  <c r="A7613" i="1"/>
  <c r="B7613" i="1"/>
  <c r="A7614" i="1"/>
  <c r="B7614" i="1"/>
  <c r="A7615" i="1"/>
  <c r="B7615" i="1"/>
  <c r="A7616" i="1"/>
  <c r="B7616" i="1"/>
  <c r="A7617" i="1"/>
  <c r="B7617" i="1"/>
  <c r="A7618" i="1"/>
  <c r="B7618" i="1"/>
  <c r="A7619" i="1"/>
  <c r="B7619" i="1"/>
  <c r="A7620" i="1"/>
  <c r="B7620" i="1"/>
  <c r="A7621" i="1"/>
  <c r="B7621" i="1"/>
  <c r="A7622" i="1"/>
  <c r="B7622" i="1"/>
  <c r="A7623" i="1"/>
  <c r="B7623" i="1"/>
  <c r="A7624" i="1"/>
  <c r="B7624" i="1"/>
  <c r="A7625" i="1"/>
  <c r="B7625" i="1"/>
  <c r="A7626" i="1"/>
  <c r="B7626" i="1"/>
  <c r="A7627" i="1"/>
  <c r="B7627" i="1"/>
  <c r="A7628" i="1"/>
  <c r="B7628" i="1"/>
  <c r="A7629" i="1"/>
  <c r="B7629" i="1"/>
  <c r="A7630" i="1"/>
  <c r="B7630" i="1"/>
  <c r="A7631" i="1"/>
  <c r="B7631" i="1"/>
  <c r="A7632" i="1"/>
  <c r="B7632" i="1"/>
  <c r="A7633" i="1"/>
  <c r="B7633" i="1"/>
  <c r="A7634" i="1"/>
  <c r="B7634" i="1"/>
  <c r="A7635" i="1"/>
  <c r="B7635" i="1"/>
  <c r="A7636" i="1"/>
  <c r="B7636" i="1"/>
  <c r="A7637" i="1"/>
  <c r="B7637" i="1"/>
  <c r="A7638" i="1"/>
  <c r="B7638" i="1"/>
  <c r="A7639" i="1"/>
  <c r="B7639" i="1"/>
  <c r="A7640" i="1"/>
  <c r="B7640" i="1"/>
  <c r="A7641" i="1"/>
  <c r="B7641" i="1"/>
  <c r="A7642" i="1"/>
  <c r="B7642" i="1"/>
  <c r="A7643" i="1"/>
  <c r="B7643" i="1"/>
  <c r="A7644" i="1"/>
  <c r="B7644" i="1"/>
  <c r="A7645" i="1"/>
  <c r="B7645" i="1"/>
  <c r="A7646" i="1"/>
  <c r="B7646" i="1"/>
  <c r="A7647" i="1"/>
  <c r="B7647" i="1"/>
  <c r="A7648" i="1"/>
  <c r="B7648" i="1"/>
  <c r="A7649" i="1"/>
  <c r="B7649" i="1"/>
  <c r="A7650" i="1"/>
  <c r="B7650" i="1"/>
  <c r="A7651" i="1"/>
  <c r="B7651" i="1"/>
  <c r="A7652" i="1"/>
  <c r="B7652" i="1"/>
  <c r="A7653" i="1"/>
  <c r="B7653" i="1"/>
  <c r="A7654" i="1"/>
  <c r="B7654" i="1"/>
  <c r="A7655" i="1"/>
  <c r="B7655" i="1"/>
  <c r="A7656" i="1"/>
  <c r="B7656" i="1"/>
  <c r="A7657" i="1"/>
  <c r="B7657" i="1"/>
  <c r="A7658" i="1"/>
  <c r="B7658" i="1"/>
  <c r="A7659" i="1"/>
  <c r="B7659" i="1"/>
  <c r="A7660" i="1"/>
  <c r="B7660" i="1"/>
  <c r="A7661" i="1"/>
  <c r="B7661" i="1"/>
  <c r="A7662" i="1"/>
  <c r="B7662" i="1"/>
  <c r="B7663" i="1"/>
  <c r="A7664" i="1"/>
  <c r="B7664" i="1"/>
  <c r="A7665" i="1"/>
  <c r="B7665" i="1"/>
  <c r="A7666" i="1"/>
  <c r="B7666" i="1"/>
  <c r="A7667" i="1"/>
  <c r="B7667" i="1"/>
  <c r="A7668" i="1"/>
  <c r="B7668" i="1"/>
  <c r="A7669" i="1"/>
  <c r="B7669" i="1"/>
  <c r="A7670" i="1"/>
  <c r="B7670" i="1"/>
  <c r="A7671" i="1"/>
  <c r="B7671" i="1"/>
  <c r="A7672" i="1"/>
  <c r="B7672" i="1"/>
  <c r="A7673" i="1"/>
  <c r="B7673" i="1"/>
  <c r="B7674" i="1"/>
  <c r="A7675" i="1"/>
  <c r="B7675" i="1"/>
  <c r="A7676" i="1"/>
  <c r="B7676" i="1"/>
  <c r="B7677" i="1"/>
  <c r="A7678" i="1"/>
  <c r="B7678" i="1"/>
  <c r="A7679" i="1"/>
  <c r="B7679" i="1"/>
  <c r="B7680" i="1"/>
  <c r="A7681" i="1"/>
  <c r="B7681" i="1"/>
  <c r="A7682" i="1"/>
  <c r="B7682" i="1"/>
  <c r="B7683" i="1"/>
  <c r="A7684" i="1"/>
  <c r="B7684" i="1"/>
  <c r="A7685" i="1"/>
  <c r="B7685" i="1"/>
  <c r="A7686" i="1"/>
  <c r="B7686" i="1"/>
  <c r="A7687" i="1"/>
  <c r="B7687" i="1"/>
  <c r="A7688" i="1"/>
  <c r="B7688" i="1"/>
  <c r="A7689" i="1"/>
  <c r="B7689" i="1"/>
  <c r="A7690" i="1"/>
  <c r="B7690" i="1"/>
  <c r="A7691" i="1"/>
  <c r="B7691" i="1"/>
  <c r="A7692" i="1"/>
  <c r="B7692" i="1"/>
  <c r="A7693" i="1"/>
  <c r="B7693" i="1"/>
  <c r="A7694" i="1"/>
  <c r="B7694" i="1"/>
  <c r="A7695" i="1"/>
  <c r="B7695" i="1"/>
  <c r="A7696" i="1"/>
  <c r="B7696" i="1"/>
  <c r="A7697" i="1"/>
  <c r="B7697" i="1"/>
  <c r="A7698" i="1"/>
  <c r="B7698" i="1"/>
  <c r="B7699" i="1"/>
  <c r="A7700" i="1"/>
  <c r="B7700" i="1"/>
  <c r="A7701" i="1"/>
  <c r="B7701" i="1"/>
  <c r="A7702" i="1"/>
  <c r="B7702" i="1"/>
  <c r="A7703" i="1"/>
  <c r="B7703" i="1"/>
  <c r="A7704" i="1"/>
  <c r="B7704" i="1"/>
  <c r="A7705" i="1"/>
  <c r="B7705" i="1"/>
  <c r="A7706" i="1"/>
  <c r="B7706" i="1"/>
  <c r="A7707" i="1"/>
  <c r="B7707" i="1"/>
  <c r="A7708" i="1"/>
  <c r="B7708" i="1"/>
  <c r="A7709" i="1"/>
  <c r="B7709" i="1"/>
  <c r="A7710" i="1"/>
  <c r="B7710" i="1"/>
  <c r="A7711" i="1"/>
  <c r="B7711" i="1"/>
  <c r="A7712" i="1"/>
  <c r="B7712" i="1"/>
  <c r="A7713" i="1"/>
  <c r="B7713" i="1"/>
  <c r="A7714" i="1"/>
  <c r="B7714" i="1"/>
  <c r="A7715" i="1"/>
  <c r="B7715" i="1"/>
  <c r="A7716" i="1"/>
  <c r="B7716" i="1"/>
  <c r="A7717" i="1"/>
  <c r="B7717" i="1"/>
  <c r="A7718" i="1"/>
  <c r="B7718" i="1"/>
  <c r="A7719" i="1"/>
  <c r="B7719" i="1"/>
  <c r="A7720" i="1"/>
  <c r="B7720" i="1"/>
  <c r="A7721" i="1"/>
  <c r="B7721" i="1"/>
  <c r="A7722" i="1"/>
  <c r="B7722" i="1"/>
  <c r="A7723" i="1"/>
  <c r="B7723" i="1"/>
  <c r="A7724" i="1"/>
  <c r="B7724" i="1"/>
  <c r="A7725" i="1"/>
  <c r="B7725" i="1"/>
  <c r="A7726" i="1"/>
  <c r="B7726" i="1"/>
  <c r="A7727" i="1"/>
  <c r="B7727" i="1"/>
  <c r="A7728" i="1"/>
  <c r="B7728" i="1"/>
  <c r="A7729" i="1"/>
  <c r="B7729" i="1"/>
  <c r="A7730" i="1"/>
  <c r="B7730" i="1"/>
  <c r="A7731" i="1"/>
  <c r="B7731" i="1"/>
  <c r="A7732" i="1"/>
  <c r="B7732" i="1"/>
  <c r="A7733" i="1"/>
  <c r="B7733" i="1"/>
  <c r="A7734" i="1"/>
  <c r="B7734" i="1"/>
  <c r="A7735" i="1"/>
  <c r="B7735" i="1"/>
  <c r="A7736" i="1"/>
  <c r="B7736" i="1"/>
  <c r="A7737" i="1"/>
  <c r="B7737" i="1"/>
  <c r="A7738" i="1"/>
  <c r="B7738" i="1"/>
  <c r="A7739" i="1"/>
  <c r="B7739" i="1"/>
  <c r="A7740" i="1"/>
  <c r="B7740" i="1"/>
  <c r="A7741" i="1"/>
  <c r="B7741" i="1"/>
  <c r="A7742" i="1"/>
  <c r="B7742" i="1"/>
  <c r="A7743" i="1"/>
  <c r="B7743" i="1"/>
  <c r="A7744" i="1"/>
  <c r="B7744" i="1"/>
  <c r="A7745" i="1"/>
  <c r="B7745" i="1"/>
  <c r="A7746" i="1"/>
  <c r="B7746" i="1"/>
  <c r="A7747" i="1"/>
  <c r="B7747" i="1"/>
  <c r="A7748" i="1"/>
  <c r="B7748" i="1"/>
  <c r="A7749" i="1"/>
  <c r="B7749" i="1"/>
  <c r="A7750" i="1"/>
  <c r="B7750" i="1"/>
  <c r="A7751" i="1"/>
  <c r="B7751" i="1"/>
  <c r="A7752" i="1"/>
  <c r="B7752" i="1"/>
  <c r="A7753" i="1"/>
  <c r="B7753" i="1"/>
  <c r="A7754" i="1"/>
  <c r="B7754" i="1"/>
  <c r="A7755" i="1"/>
  <c r="B7755" i="1"/>
  <c r="A7756" i="1"/>
  <c r="B7756" i="1"/>
  <c r="A7757" i="1"/>
  <c r="B7757" i="1"/>
  <c r="A7758" i="1"/>
  <c r="B7758" i="1"/>
  <c r="A7759" i="1"/>
  <c r="B7759" i="1"/>
  <c r="A7760" i="1"/>
  <c r="B7760" i="1"/>
  <c r="A7761" i="1"/>
  <c r="B7761" i="1"/>
  <c r="A7762" i="1"/>
  <c r="B7762" i="1"/>
  <c r="A7763" i="1"/>
  <c r="B7763" i="1"/>
  <c r="A7764" i="1"/>
  <c r="B7764" i="1"/>
  <c r="A7765" i="1"/>
  <c r="B7765" i="1"/>
  <c r="A7766" i="1"/>
  <c r="B7766" i="1"/>
  <c r="A7767" i="1"/>
  <c r="B7767" i="1"/>
  <c r="A7768" i="1"/>
  <c r="B7768" i="1"/>
  <c r="A7769" i="1"/>
  <c r="B7769" i="1"/>
  <c r="A7770" i="1"/>
  <c r="B7770" i="1"/>
  <c r="A7771" i="1"/>
  <c r="B7771" i="1"/>
  <c r="A7772" i="1"/>
  <c r="B7772" i="1"/>
  <c r="B7773" i="1"/>
  <c r="A7774" i="1"/>
  <c r="B7774" i="1"/>
  <c r="A7775" i="1"/>
  <c r="B7775" i="1"/>
  <c r="A7776" i="1"/>
  <c r="B7776" i="1"/>
  <c r="A7777" i="1"/>
  <c r="B7777" i="1"/>
  <c r="A7778" i="1"/>
  <c r="B7778" i="1"/>
  <c r="A7779" i="1"/>
  <c r="B7779" i="1"/>
  <c r="A7780" i="1"/>
  <c r="B7780" i="1"/>
  <c r="A7781" i="1"/>
  <c r="B7781" i="1"/>
  <c r="A7782" i="1"/>
  <c r="B7782" i="1"/>
  <c r="A7783" i="1"/>
  <c r="B7783" i="1"/>
  <c r="A7784" i="1"/>
  <c r="B7784" i="1"/>
  <c r="A7785" i="1"/>
  <c r="B7785" i="1"/>
  <c r="A7786" i="1"/>
  <c r="B7786" i="1"/>
  <c r="A7787" i="1"/>
  <c r="B7787" i="1"/>
  <c r="A7788" i="1"/>
  <c r="B7788" i="1"/>
  <c r="A7789" i="1"/>
  <c r="B7789" i="1"/>
  <c r="A7790" i="1"/>
  <c r="B7790" i="1"/>
  <c r="A7791" i="1"/>
  <c r="B7791" i="1"/>
  <c r="A7792" i="1"/>
  <c r="B7792" i="1"/>
  <c r="A7793" i="1"/>
  <c r="B7793" i="1"/>
  <c r="B7794" i="1"/>
  <c r="A7795" i="1"/>
  <c r="B7795" i="1"/>
  <c r="A7796" i="1"/>
  <c r="B7796" i="1"/>
  <c r="A7797" i="1"/>
  <c r="B7797" i="1"/>
  <c r="B7798" i="1"/>
  <c r="A7799" i="1"/>
  <c r="B7799" i="1"/>
  <c r="A7800" i="1"/>
  <c r="B7800" i="1"/>
  <c r="B7801" i="1"/>
  <c r="A7802" i="1"/>
  <c r="B7802" i="1"/>
  <c r="A7803" i="1"/>
  <c r="B7803" i="1"/>
  <c r="A7804" i="1"/>
  <c r="B7804" i="1"/>
  <c r="A7805" i="1"/>
  <c r="B7805" i="1"/>
  <c r="A7806" i="1"/>
  <c r="B7806" i="1"/>
  <c r="A7807" i="1"/>
  <c r="B7807" i="1"/>
  <c r="A7808" i="1"/>
  <c r="B7808" i="1"/>
  <c r="A7809" i="1"/>
  <c r="B7809" i="1"/>
  <c r="A7810" i="1"/>
  <c r="B7810" i="1"/>
  <c r="A7811" i="1"/>
  <c r="B7811" i="1"/>
  <c r="A7812" i="1"/>
  <c r="B7812" i="1"/>
  <c r="A7813" i="1"/>
  <c r="B7813" i="1"/>
  <c r="A7814" i="1"/>
  <c r="B7814" i="1"/>
  <c r="A7815" i="1"/>
  <c r="B7815" i="1"/>
  <c r="A7816" i="1"/>
  <c r="B7816" i="1"/>
  <c r="A7817" i="1"/>
  <c r="B7817" i="1"/>
  <c r="A7818" i="1"/>
  <c r="B7818" i="1"/>
  <c r="A7819" i="1"/>
  <c r="B7819" i="1"/>
  <c r="A7820" i="1"/>
  <c r="B7820" i="1"/>
  <c r="A7821" i="1"/>
  <c r="B7821" i="1"/>
  <c r="A7822" i="1"/>
  <c r="B7822" i="1"/>
  <c r="A7823" i="1"/>
  <c r="B7823" i="1"/>
  <c r="A7824" i="1"/>
  <c r="B7824" i="1"/>
  <c r="A7825" i="1"/>
  <c r="B7825" i="1"/>
  <c r="A7826" i="1"/>
  <c r="B7826" i="1"/>
  <c r="A7827" i="1"/>
  <c r="B7827" i="1"/>
  <c r="A7828" i="1"/>
  <c r="B7828" i="1"/>
  <c r="A7829" i="1"/>
  <c r="B7829" i="1"/>
  <c r="A7830" i="1"/>
  <c r="B7830" i="1"/>
  <c r="A7831" i="1"/>
  <c r="B7831" i="1"/>
  <c r="A7832" i="1"/>
  <c r="B7832" i="1"/>
  <c r="A7833" i="1"/>
  <c r="B7833" i="1"/>
  <c r="A7834" i="1"/>
  <c r="B7834" i="1"/>
  <c r="A7835" i="1"/>
  <c r="B7835" i="1"/>
  <c r="A7836" i="1"/>
  <c r="B7836" i="1"/>
  <c r="A7837" i="1"/>
  <c r="B7837" i="1"/>
  <c r="A7838" i="1"/>
  <c r="B7838" i="1"/>
  <c r="A7839" i="1"/>
  <c r="B7839" i="1"/>
  <c r="A7840" i="1"/>
  <c r="B7840" i="1"/>
  <c r="A7841" i="1"/>
  <c r="B7841" i="1"/>
  <c r="A7842" i="1"/>
  <c r="B7842" i="1"/>
  <c r="A7843" i="1"/>
  <c r="B7843" i="1"/>
  <c r="A7844" i="1"/>
  <c r="B7844" i="1"/>
  <c r="A7845" i="1"/>
  <c r="B7845" i="1"/>
  <c r="A7846" i="1"/>
  <c r="B7846" i="1"/>
  <c r="A7847" i="1"/>
  <c r="B7847" i="1"/>
  <c r="A7848" i="1"/>
  <c r="B7848" i="1"/>
  <c r="A7849" i="1"/>
  <c r="B7849" i="1"/>
  <c r="A7850" i="1"/>
  <c r="B7850" i="1"/>
  <c r="A7851" i="1"/>
  <c r="B7851" i="1"/>
  <c r="A7852" i="1"/>
  <c r="B7852" i="1"/>
  <c r="A7853" i="1"/>
  <c r="B7853" i="1"/>
  <c r="A7854" i="1"/>
  <c r="B7854" i="1"/>
  <c r="A7855" i="1"/>
  <c r="B7855" i="1"/>
  <c r="A7856" i="1"/>
  <c r="B7856" i="1"/>
  <c r="A7857" i="1"/>
  <c r="B7857" i="1"/>
  <c r="A7858" i="1"/>
  <c r="B7858" i="1"/>
  <c r="A7859" i="1"/>
  <c r="B7859" i="1"/>
  <c r="A7860" i="1"/>
  <c r="B7860" i="1"/>
  <c r="A7861" i="1"/>
  <c r="B7861" i="1"/>
  <c r="A7862" i="1"/>
  <c r="B7862" i="1"/>
  <c r="A7863" i="1"/>
  <c r="B7863" i="1"/>
  <c r="A7864" i="1"/>
  <c r="B7864" i="1"/>
  <c r="A7865" i="1"/>
  <c r="B7865" i="1"/>
  <c r="A7866" i="1"/>
  <c r="B7866" i="1"/>
  <c r="A7867" i="1"/>
  <c r="B7867" i="1"/>
  <c r="A7868" i="1"/>
  <c r="B7868" i="1"/>
  <c r="A7869" i="1"/>
  <c r="B7869" i="1"/>
  <c r="A7870" i="1"/>
  <c r="B7870" i="1"/>
  <c r="A7871" i="1"/>
  <c r="B7871" i="1"/>
  <c r="A7872" i="1"/>
  <c r="B7872" i="1"/>
  <c r="A7873" i="1"/>
  <c r="B7873" i="1"/>
  <c r="A7874" i="1"/>
  <c r="B7874" i="1"/>
  <c r="A7875" i="1"/>
  <c r="B7875" i="1"/>
  <c r="A7876" i="1"/>
  <c r="B7876" i="1"/>
  <c r="A7877" i="1"/>
  <c r="B7877" i="1"/>
  <c r="A7878" i="1"/>
  <c r="B7878" i="1"/>
  <c r="A7879" i="1"/>
  <c r="B7879" i="1"/>
  <c r="A7880" i="1"/>
  <c r="B7880" i="1"/>
  <c r="A7881" i="1"/>
  <c r="B7881" i="1"/>
  <c r="A7882" i="1"/>
  <c r="B7882" i="1"/>
  <c r="A7883" i="1"/>
  <c r="B7883" i="1"/>
  <c r="A7884" i="1"/>
  <c r="B7884" i="1"/>
  <c r="A7885" i="1"/>
  <c r="B7885" i="1"/>
  <c r="A7886" i="1"/>
  <c r="B7886" i="1"/>
  <c r="A7887" i="1"/>
  <c r="B7887" i="1"/>
  <c r="A7888" i="1"/>
  <c r="B7888" i="1"/>
  <c r="A7889" i="1"/>
  <c r="B7889" i="1"/>
  <c r="A7890" i="1"/>
  <c r="B7890" i="1"/>
  <c r="A7891" i="1"/>
  <c r="B7891" i="1"/>
  <c r="A7892" i="1"/>
  <c r="B7892" i="1"/>
  <c r="A7893" i="1"/>
  <c r="B7893" i="1"/>
  <c r="A7894" i="1"/>
  <c r="B7894" i="1"/>
  <c r="A7895" i="1"/>
  <c r="B7895" i="1"/>
  <c r="A7896" i="1"/>
  <c r="B7896" i="1"/>
  <c r="A7897" i="1"/>
  <c r="B7897" i="1"/>
  <c r="A7898" i="1"/>
  <c r="B7898" i="1"/>
  <c r="A7899" i="1"/>
  <c r="B7899" i="1"/>
  <c r="A7900" i="1"/>
  <c r="B7900" i="1"/>
  <c r="A7901" i="1"/>
  <c r="B7901" i="1"/>
  <c r="A7902" i="1"/>
  <c r="B7902" i="1"/>
  <c r="A7903" i="1"/>
  <c r="B7903" i="1"/>
  <c r="A7904" i="1"/>
  <c r="B7904" i="1"/>
  <c r="A7905" i="1"/>
  <c r="B7905" i="1"/>
  <c r="A7906" i="1"/>
  <c r="B7906" i="1"/>
  <c r="A7907" i="1"/>
  <c r="B7907" i="1"/>
  <c r="A7908" i="1"/>
  <c r="B7908" i="1"/>
  <c r="A7909" i="1"/>
  <c r="B7909" i="1"/>
  <c r="A7910" i="1"/>
  <c r="B7910" i="1"/>
  <c r="A7911" i="1"/>
  <c r="B7911" i="1"/>
  <c r="A7912" i="1"/>
  <c r="B7912" i="1"/>
  <c r="A7913" i="1"/>
  <c r="B7913" i="1"/>
  <c r="A7914" i="1"/>
  <c r="B7914" i="1"/>
  <c r="A7915" i="1"/>
  <c r="B7915" i="1"/>
  <c r="A7916" i="1"/>
  <c r="B7916" i="1"/>
  <c r="A7917" i="1"/>
  <c r="B7917" i="1"/>
  <c r="A7918" i="1"/>
  <c r="B7918" i="1"/>
  <c r="A7919" i="1"/>
  <c r="B7919" i="1"/>
  <c r="A7920" i="1"/>
  <c r="B7920" i="1"/>
  <c r="A7921" i="1"/>
  <c r="B7921" i="1"/>
  <c r="A7922" i="1"/>
  <c r="B7922" i="1"/>
  <c r="A7923" i="1"/>
  <c r="B7923" i="1"/>
  <c r="A7924" i="1"/>
  <c r="B7924" i="1"/>
  <c r="A7925" i="1"/>
  <c r="B7925" i="1"/>
  <c r="A7926" i="1"/>
  <c r="B7926" i="1"/>
  <c r="A7927" i="1"/>
  <c r="B7927" i="1"/>
  <c r="A7928" i="1"/>
  <c r="B7928" i="1"/>
  <c r="A7929" i="1"/>
  <c r="B7929" i="1"/>
  <c r="A7930" i="1"/>
  <c r="B7930" i="1"/>
  <c r="A7931" i="1"/>
  <c r="B7931" i="1"/>
  <c r="A7932" i="1"/>
  <c r="B7932" i="1"/>
  <c r="A7933" i="1"/>
  <c r="B7933" i="1"/>
  <c r="A7934" i="1"/>
  <c r="B7934" i="1"/>
  <c r="A7935" i="1"/>
  <c r="B7935" i="1"/>
  <c r="A7936" i="1"/>
  <c r="B7936" i="1"/>
  <c r="A7937" i="1"/>
  <c r="B7937" i="1"/>
  <c r="A7938" i="1"/>
  <c r="B7938" i="1"/>
  <c r="A7939" i="1"/>
  <c r="B7939" i="1"/>
  <c r="A7940" i="1"/>
  <c r="B7940" i="1"/>
  <c r="A7941" i="1"/>
  <c r="B7941" i="1"/>
  <c r="A7942" i="1"/>
  <c r="B7942" i="1"/>
  <c r="A7943" i="1"/>
  <c r="B7943" i="1"/>
  <c r="A7944" i="1"/>
  <c r="B7944" i="1"/>
  <c r="A7945" i="1"/>
  <c r="B7945" i="1"/>
  <c r="A7946" i="1"/>
  <c r="B7946" i="1"/>
  <c r="A7947" i="1"/>
  <c r="B7947" i="1"/>
  <c r="A7948" i="1"/>
  <c r="B7948" i="1"/>
  <c r="A7949" i="1"/>
  <c r="B7949" i="1"/>
  <c r="A7950" i="1"/>
  <c r="B7950" i="1"/>
  <c r="A7951" i="1"/>
  <c r="B7951" i="1"/>
  <c r="A7952" i="1"/>
  <c r="B7952" i="1"/>
  <c r="A7953" i="1"/>
  <c r="B7953" i="1"/>
  <c r="A7954" i="1"/>
  <c r="B7954" i="1"/>
  <c r="A7955" i="1"/>
  <c r="B7955" i="1"/>
  <c r="A7956" i="1"/>
  <c r="B7956" i="1"/>
  <c r="A7957" i="1"/>
  <c r="B7957" i="1"/>
  <c r="A7958" i="1"/>
  <c r="B7958" i="1"/>
  <c r="A7959" i="1"/>
  <c r="B7959" i="1"/>
  <c r="A7960" i="1"/>
  <c r="B7960" i="1"/>
  <c r="A7961" i="1"/>
  <c r="B7961" i="1"/>
  <c r="A7962" i="1"/>
  <c r="B7962" i="1"/>
  <c r="A7963" i="1"/>
  <c r="B7963" i="1"/>
  <c r="A7964" i="1"/>
  <c r="B7964" i="1"/>
  <c r="A7965" i="1"/>
  <c r="B7965" i="1"/>
  <c r="A7966" i="1"/>
  <c r="B7966" i="1"/>
  <c r="A7967" i="1"/>
  <c r="B7967" i="1"/>
  <c r="A7968" i="1"/>
  <c r="B7968" i="1"/>
  <c r="A7969" i="1"/>
  <c r="B7969" i="1"/>
  <c r="A7970" i="1"/>
  <c r="B7970" i="1"/>
  <c r="A7971" i="1"/>
  <c r="B7971" i="1"/>
  <c r="A7972" i="1"/>
  <c r="B7972" i="1"/>
  <c r="A7973" i="1"/>
  <c r="B7973" i="1"/>
  <c r="A7974" i="1"/>
  <c r="B7974" i="1"/>
  <c r="A7975" i="1"/>
  <c r="B7975" i="1"/>
  <c r="A7976" i="1"/>
  <c r="B7976" i="1"/>
  <c r="A7977" i="1"/>
  <c r="B7977" i="1"/>
  <c r="A7978" i="1"/>
  <c r="B7978" i="1"/>
  <c r="A7979" i="1"/>
  <c r="B7979" i="1"/>
  <c r="A7980" i="1"/>
  <c r="B7980" i="1"/>
  <c r="A7981" i="1"/>
  <c r="B7981" i="1"/>
  <c r="A7982" i="1"/>
  <c r="B7982" i="1"/>
  <c r="A7983" i="1"/>
  <c r="B7983" i="1"/>
  <c r="A7984" i="1"/>
  <c r="B7984" i="1"/>
  <c r="A7985" i="1"/>
  <c r="B7985" i="1"/>
  <c r="A7986" i="1"/>
  <c r="B7986" i="1"/>
  <c r="A7987" i="1"/>
  <c r="B7987" i="1"/>
  <c r="A7988" i="1"/>
  <c r="B7988" i="1"/>
  <c r="A7989" i="1"/>
  <c r="B7989" i="1"/>
  <c r="A7990" i="1"/>
  <c r="B7990" i="1"/>
  <c r="A7991" i="1"/>
  <c r="B7991" i="1"/>
  <c r="A7992" i="1"/>
  <c r="B7992" i="1"/>
  <c r="A7993" i="1"/>
  <c r="B7993" i="1"/>
  <c r="A7994" i="1"/>
  <c r="B7994" i="1"/>
  <c r="A7995" i="1"/>
  <c r="B7995" i="1"/>
  <c r="A7996" i="1"/>
  <c r="B7996" i="1"/>
  <c r="A7997" i="1"/>
  <c r="B7997" i="1"/>
  <c r="A7998" i="1"/>
  <c r="B7998" i="1"/>
  <c r="A7999" i="1"/>
  <c r="B7999" i="1"/>
  <c r="A8000" i="1"/>
  <c r="B8000" i="1"/>
  <c r="A8001" i="1"/>
  <c r="B8001" i="1"/>
  <c r="A8002" i="1"/>
  <c r="B8002" i="1"/>
  <c r="A8003" i="1"/>
  <c r="B8003" i="1"/>
  <c r="A8004" i="1"/>
  <c r="B8004" i="1"/>
  <c r="A8005" i="1"/>
  <c r="B8005" i="1"/>
  <c r="A8006" i="1"/>
  <c r="B8006" i="1"/>
  <c r="A8007" i="1"/>
  <c r="B8007" i="1"/>
  <c r="A8008" i="1"/>
  <c r="B8008" i="1"/>
  <c r="A8009" i="1"/>
  <c r="B8009" i="1"/>
  <c r="A8010" i="1"/>
  <c r="B8010" i="1"/>
  <c r="A8011" i="1"/>
  <c r="B8011" i="1"/>
  <c r="A8012" i="1"/>
  <c r="B8012" i="1"/>
  <c r="A8013" i="1"/>
  <c r="B8013" i="1"/>
  <c r="A8014" i="1"/>
  <c r="B8014" i="1"/>
  <c r="A8015" i="1"/>
  <c r="B8015" i="1"/>
  <c r="A8016" i="1"/>
  <c r="B8016" i="1"/>
  <c r="A8017" i="1"/>
  <c r="B8017" i="1"/>
  <c r="A8018" i="1"/>
  <c r="B8018" i="1"/>
  <c r="A8019" i="1"/>
  <c r="B8019" i="1"/>
  <c r="A8020" i="1"/>
  <c r="B8020" i="1"/>
  <c r="A8021" i="1"/>
  <c r="B8021" i="1"/>
  <c r="A8022" i="1"/>
  <c r="B8022" i="1"/>
  <c r="A8023" i="1"/>
  <c r="B8023" i="1"/>
  <c r="A8024" i="1"/>
  <c r="B8024" i="1"/>
  <c r="A8025" i="1"/>
  <c r="B8025" i="1"/>
  <c r="A8026" i="1"/>
  <c r="B8026" i="1"/>
  <c r="A8027" i="1"/>
  <c r="B8027" i="1"/>
  <c r="A8028" i="1"/>
  <c r="B8028" i="1"/>
  <c r="A8029" i="1"/>
  <c r="B8029" i="1"/>
  <c r="A8030" i="1"/>
  <c r="B8030" i="1"/>
  <c r="A8031" i="1"/>
  <c r="B8031" i="1"/>
  <c r="A8032" i="1"/>
  <c r="B8032" i="1"/>
  <c r="A8033" i="1"/>
  <c r="B8033" i="1"/>
  <c r="A8034" i="1"/>
  <c r="B8034" i="1"/>
  <c r="A8035" i="1"/>
  <c r="B8035" i="1"/>
  <c r="A8036" i="1"/>
  <c r="B8036" i="1"/>
  <c r="A8037" i="1"/>
  <c r="B8037" i="1"/>
  <c r="A8038" i="1"/>
  <c r="B8038" i="1"/>
  <c r="A8039" i="1"/>
  <c r="B8039" i="1"/>
  <c r="A8040" i="1"/>
  <c r="B8040" i="1"/>
  <c r="A8041" i="1"/>
  <c r="B8041" i="1"/>
  <c r="A8042" i="1"/>
  <c r="B8042" i="1"/>
  <c r="A8043" i="1"/>
  <c r="B8043" i="1"/>
  <c r="B8044" i="1"/>
  <c r="A8045" i="1"/>
  <c r="B8045" i="1"/>
  <c r="A8046" i="1"/>
  <c r="B8046" i="1"/>
  <c r="A8047" i="1"/>
  <c r="B8047" i="1"/>
  <c r="A8048" i="1"/>
  <c r="B8048" i="1"/>
  <c r="A8049" i="1"/>
  <c r="B8049" i="1"/>
  <c r="A8050" i="1"/>
  <c r="B8050" i="1"/>
  <c r="A8051" i="1"/>
  <c r="B8051" i="1"/>
  <c r="A8052" i="1"/>
  <c r="B8052" i="1"/>
  <c r="A8053" i="1"/>
  <c r="B8053" i="1"/>
  <c r="A8054" i="1"/>
  <c r="B8054" i="1"/>
  <c r="A8055" i="1"/>
  <c r="B8055" i="1"/>
  <c r="A8056" i="1"/>
  <c r="B8056" i="1"/>
  <c r="A8057" i="1"/>
  <c r="B8057" i="1"/>
  <c r="B8058" i="1"/>
  <c r="A8059" i="1"/>
  <c r="B8059" i="1"/>
  <c r="A8060" i="1"/>
  <c r="B8060" i="1"/>
  <c r="A8061" i="1"/>
  <c r="B8061" i="1"/>
  <c r="A8062" i="1"/>
  <c r="B8062" i="1"/>
  <c r="A8063" i="1"/>
  <c r="B8063" i="1"/>
  <c r="B8064" i="1"/>
  <c r="A8065" i="1"/>
  <c r="B8065" i="1"/>
  <c r="A8066" i="1"/>
  <c r="B8066" i="1"/>
  <c r="B8067" i="1"/>
  <c r="A8068" i="1"/>
  <c r="B8068" i="1"/>
  <c r="A8069" i="1"/>
  <c r="B8069" i="1"/>
  <c r="B8070" i="1"/>
  <c r="A8071" i="1"/>
  <c r="B8071" i="1"/>
  <c r="A8072" i="1"/>
  <c r="B8072" i="1"/>
  <c r="A8073" i="1"/>
  <c r="B8073" i="1"/>
  <c r="A8074" i="1"/>
  <c r="B8074" i="1"/>
  <c r="A8075" i="1"/>
  <c r="B8075" i="1"/>
  <c r="B8076" i="1"/>
  <c r="A8077" i="1"/>
  <c r="B8077" i="1"/>
  <c r="A8078" i="1"/>
  <c r="B8078" i="1"/>
  <c r="A8079" i="1"/>
  <c r="B8079" i="1"/>
  <c r="A8080" i="1"/>
  <c r="B8080" i="1"/>
  <c r="A8081" i="1"/>
  <c r="B8081" i="1"/>
  <c r="A8082" i="1"/>
  <c r="B8082" i="1"/>
  <c r="B8083" i="1"/>
  <c r="A8084" i="1"/>
  <c r="B8084" i="1"/>
  <c r="A8085" i="1"/>
  <c r="B8085" i="1"/>
  <c r="A8086" i="1"/>
  <c r="B8086" i="1"/>
  <c r="A8087" i="1"/>
  <c r="B8087" i="1"/>
  <c r="A8088" i="1"/>
  <c r="B8088" i="1"/>
  <c r="A8089" i="1"/>
  <c r="B8089" i="1"/>
  <c r="A8090" i="1"/>
  <c r="B8090" i="1"/>
  <c r="B8091" i="1"/>
  <c r="A8092" i="1"/>
  <c r="B8092" i="1"/>
  <c r="A8093" i="1"/>
  <c r="B8093" i="1"/>
  <c r="A8094" i="1"/>
  <c r="B8094" i="1"/>
  <c r="A8095" i="1"/>
  <c r="B8095" i="1"/>
  <c r="A8096" i="1"/>
  <c r="B8096" i="1"/>
  <c r="B8097" i="1"/>
  <c r="A8098" i="1"/>
  <c r="B8098" i="1"/>
  <c r="A8099" i="1"/>
  <c r="B8099" i="1"/>
  <c r="A8100" i="1"/>
  <c r="B8100" i="1"/>
  <c r="A8101" i="1"/>
  <c r="B8101" i="1"/>
  <c r="A8102" i="1"/>
  <c r="B8102" i="1"/>
  <c r="A8103" i="1"/>
  <c r="B8103" i="1"/>
  <c r="A8104" i="1"/>
  <c r="B8104" i="1"/>
  <c r="A8105" i="1"/>
  <c r="B8105" i="1"/>
  <c r="A8106" i="1"/>
  <c r="B8106" i="1"/>
  <c r="A8107" i="1"/>
  <c r="B8107" i="1"/>
  <c r="A8108" i="1"/>
  <c r="B8108" i="1"/>
  <c r="A8109" i="1"/>
  <c r="B8109" i="1"/>
  <c r="A8110" i="1"/>
  <c r="B8110" i="1"/>
  <c r="A8111" i="1"/>
  <c r="B8111" i="1"/>
  <c r="A8112" i="1"/>
  <c r="B8112" i="1"/>
  <c r="A8113" i="1"/>
  <c r="B8113" i="1"/>
  <c r="A8114" i="1"/>
  <c r="B8114" i="1"/>
  <c r="A8115" i="1"/>
  <c r="B8115" i="1"/>
  <c r="A8116" i="1"/>
  <c r="B8116" i="1"/>
  <c r="A8117" i="1"/>
  <c r="B8117" i="1"/>
  <c r="A8118" i="1"/>
  <c r="B8118" i="1"/>
  <c r="A8119" i="1"/>
  <c r="B8119" i="1"/>
  <c r="A8120" i="1"/>
  <c r="B8120" i="1"/>
  <c r="A8121" i="1"/>
  <c r="B8121" i="1"/>
  <c r="A8122" i="1"/>
  <c r="B8122" i="1"/>
  <c r="A8123" i="1"/>
  <c r="B8123" i="1"/>
  <c r="A8124" i="1"/>
  <c r="B8124" i="1"/>
  <c r="A8125" i="1"/>
  <c r="B8125" i="1"/>
  <c r="A8126" i="1"/>
  <c r="B8126" i="1"/>
  <c r="A8127" i="1"/>
  <c r="B8127" i="1"/>
  <c r="A8128" i="1"/>
  <c r="B8128" i="1"/>
  <c r="A8129" i="1"/>
  <c r="B8129" i="1"/>
  <c r="A8130" i="1"/>
  <c r="B8130" i="1"/>
  <c r="A8131" i="1"/>
  <c r="B8131" i="1"/>
  <c r="A8132" i="1"/>
  <c r="B8132" i="1"/>
  <c r="A8133" i="1"/>
  <c r="B8133" i="1"/>
  <c r="A8134" i="1"/>
  <c r="B8134" i="1"/>
  <c r="A8135" i="1"/>
  <c r="B8135" i="1"/>
  <c r="A8136" i="1"/>
  <c r="B8136" i="1"/>
  <c r="A8137" i="1"/>
  <c r="B8137" i="1"/>
  <c r="A8138" i="1"/>
  <c r="B8138" i="1"/>
  <c r="A8139" i="1"/>
  <c r="B8139" i="1"/>
  <c r="A8140" i="1"/>
  <c r="B8140" i="1"/>
  <c r="A8141" i="1"/>
  <c r="B8141" i="1"/>
  <c r="A8142" i="1"/>
  <c r="B8142" i="1"/>
  <c r="A8143" i="1"/>
  <c r="B8143" i="1"/>
  <c r="A8144" i="1"/>
  <c r="B8144" i="1"/>
  <c r="A8145" i="1"/>
  <c r="B8145" i="1"/>
  <c r="A8146" i="1"/>
  <c r="B8146" i="1"/>
  <c r="A8147" i="1"/>
  <c r="B8147" i="1"/>
  <c r="A8148" i="1"/>
  <c r="B8148" i="1"/>
  <c r="A8149" i="1"/>
  <c r="B8149" i="1"/>
  <c r="A8150" i="1"/>
  <c r="B8150" i="1"/>
  <c r="A8151" i="1"/>
  <c r="B8151" i="1"/>
  <c r="A8152" i="1"/>
  <c r="B8152" i="1"/>
  <c r="A8153" i="1"/>
  <c r="B8153" i="1"/>
  <c r="A8154" i="1"/>
  <c r="B8154" i="1"/>
  <c r="A8155" i="1"/>
  <c r="B8155" i="1"/>
  <c r="A8156" i="1"/>
  <c r="B8156" i="1"/>
  <c r="A8157" i="1"/>
  <c r="B8157" i="1"/>
  <c r="A8158" i="1"/>
  <c r="B8158" i="1"/>
  <c r="A8159" i="1"/>
  <c r="B8159" i="1"/>
  <c r="A8160" i="1"/>
  <c r="B8160" i="1"/>
  <c r="A8161" i="1"/>
  <c r="B8161" i="1"/>
  <c r="A8162" i="1"/>
  <c r="B8162" i="1"/>
  <c r="A8163" i="1"/>
  <c r="B8163" i="1"/>
  <c r="A8164" i="1"/>
  <c r="B8164" i="1"/>
  <c r="A8165" i="1"/>
  <c r="B8165" i="1"/>
  <c r="A8166" i="1"/>
  <c r="B8166" i="1"/>
  <c r="A8167" i="1"/>
  <c r="B8167" i="1"/>
  <c r="A8168" i="1"/>
  <c r="B8168" i="1"/>
  <c r="A8169" i="1"/>
  <c r="B8169" i="1"/>
  <c r="A8170" i="1"/>
  <c r="B8170" i="1"/>
  <c r="A8171" i="1"/>
  <c r="B8171" i="1"/>
  <c r="A8172" i="1"/>
  <c r="B8172" i="1"/>
  <c r="A8173" i="1"/>
  <c r="B8173" i="1"/>
  <c r="A8174" i="1"/>
  <c r="B8174" i="1"/>
  <c r="A8175" i="1"/>
  <c r="B8175" i="1"/>
  <c r="A8176" i="1"/>
  <c r="B8176" i="1"/>
  <c r="A8177" i="1"/>
  <c r="B8177" i="1"/>
  <c r="A8178" i="1"/>
  <c r="B8178" i="1"/>
  <c r="A8179" i="1"/>
  <c r="B8179" i="1"/>
  <c r="A8180" i="1"/>
  <c r="B8180" i="1"/>
  <c r="A8181" i="1"/>
  <c r="B8181" i="1"/>
  <c r="A8182" i="1"/>
  <c r="B8182" i="1"/>
  <c r="A8183" i="1"/>
  <c r="B8183" i="1"/>
  <c r="A8184" i="1"/>
  <c r="B8184" i="1"/>
  <c r="A8185" i="1"/>
  <c r="B8185" i="1"/>
  <c r="A8186" i="1"/>
  <c r="B8186" i="1"/>
  <c r="A8187" i="1"/>
  <c r="B8187" i="1"/>
  <c r="A8188" i="1"/>
  <c r="B8188" i="1"/>
  <c r="A8189" i="1"/>
  <c r="B8189" i="1"/>
  <c r="A8190" i="1"/>
  <c r="B8190" i="1"/>
  <c r="A8191" i="1"/>
  <c r="B8191" i="1"/>
  <c r="A8192" i="1"/>
  <c r="B8192" i="1"/>
  <c r="A8193" i="1"/>
  <c r="B8193" i="1"/>
  <c r="A8194" i="1"/>
  <c r="B8194" i="1"/>
  <c r="A8195" i="1"/>
  <c r="B8195" i="1"/>
  <c r="A8196" i="1"/>
  <c r="B8196" i="1"/>
  <c r="A8197" i="1"/>
  <c r="B8197" i="1"/>
  <c r="A8198" i="1"/>
  <c r="B8198" i="1"/>
  <c r="A8199" i="1"/>
  <c r="B8199" i="1"/>
  <c r="A8200" i="1"/>
  <c r="B8200" i="1"/>
  <c r="A8201" i="1"/>
  <c r="B8201" i="1"/>
  <c r="A8202" i="1"/>
  <c r="B8202" i="1"/>
  <c r="A8203" i="1"/>
  <c r="B8203" i="1"/>
  <c r="A8204" i="1"/>
  <c r="B8204" i="1"/>
  <c r="A8205" i="1"/>
  <c r="B8205" i="1"/>
  <c r="A8206" i="1"/>
  <c r="B8206" i="1"/>
  <c r="A8207" i="1"/>
  <c r="B8207" i="1"/>
  <c r="A8208" i="1"/>
  <c r="B8208" i="1"/>
  <c r="A8209" i="1"/>
  <c r="B8209" i="1"/>
  <c r="A8210" i="1"/>
  <c r="B8210" i="1"/>
  <c r="A8211" i="1"/>
  <c r="B8211" i="1"/>
  <c r="A8212" i="1"/>
  <c r="B8212" i="1"/>
  <c r="A8213" i="1"/>
  <c r="B8213" i="1"/>
  <c r="A8214" i="1"/>
  <c r="B8214" i="1"/>
  <c r="A8215" i="1"/>
  <c r="B8215" i="1"/>
  <c r="A8216" i="1"/>
  <c r="B8216" i="1"/>
  <c r="A8217" i="1"/>
  <c r="B8217" i="1"/>
  <c r="B8218" i="1"/>
  <c r="A8219" i="1"/>
  <c r="B8219" i="1"/>
  <c r="A8220" i="1"/>
  <c r="B8220" i="1"/>
  <c r="A8221" i="1"/>
  <c r="B8221" i="1"/>
  <c r="A8222" i="1"/>
  <c r="B8222" i="1"/>
  <c r="A8223" i="1"/>
  <c r="B8223" i="1"/>
  <c r="A8224" i="1"/>
  <c r="B8224" i="1"/>
  <c r="A8225" i="1"/>
  <c r="B8225" i="1"/>
  <c r="A8226" i="1"/>
  <c r="B8226" i="1"/>
  <c r="A8227" i="1"/>
  <c r="B8227" i="1"/>
  <c r="B8228" i="1"/>
  <c r="A8229" i="1"/>
  <c r="B8229" i="1"/>
  <c r="A8230" i="1"/>
  <c r="B8230" i="1"/>
  <c r="A8231" i="1"/>
  <c r="B8231" i="1"/>
  <c r="A8232" i="1"/>
  <c r="B8232" i="1"/>
  <c r="A8233" i="1"/>
  <c r="B8233" i="1"/>
  <c r="A8234" i="1"/>
  <c r="B8234" i="1"/>
  <c r="A8235" i="1"/>
  <c r="B8235" i="1"/>
  <c r="A8236" i="1"/>
  <c r="B8236" i="1"/>
  <c r="A8237" i="1"/>
  <c r="B8237" i="1"/>
  <c r="A8238" i="1"/>
  <c r="B8238" i="1"/>
  <c r="A8239" i="1"/>
  <c r="B8239" i="1"/>
  <c r="A8240" i="1"/>
  <c r="B8240" i="1"/>
  <c r="A8241" i="1"/>
  <c r="B8241" i="1"/>
  <c r="A8242" i="1"/>
  <c r="B8242" i="1"/>
  <c r="B8243" i="1"/>
  <c r="A8244" i="1"/>
  <c r="B8244" i="1"/>
  <c r="A8245" i="1"/>
  <c r="B8245" i="1"/>
  <c r="A8246" i="1"/>
  <c r="B8246" i="1"/>
  <c r="A8247" i="1"/>
  <c r="B8247" i="1"/>
  <c r="A8248" i="1"/>
  <c r="B8248" i="1"/>
  <c r="A8249" i="1"/>
  <c r="B8249" i="1"/>
  <c r="A8250" i="1"/>
  <c r="B8250" i="1"/>
  <c r="A8251" i="1"/>
  <c r="B8251" i="1"/>
  <c r="A8252" i="1"/>
  <c r="B8252" i="1"/>
  <c r="A8253" i="1"/>
  <c r="B8253" i="1"/>
  <c r="B8254" i="1"/>
  <c r="A8255" i="1"/>
  <c r="B8255" i="1"/>
  <c r="A8256" i="1"/>
  <c r="B8256" i="1"/>
  <c r="A8257" i="1"/>
  <c r="B8257" i="1"/>
  <c r="B8258" i="1"/>
  <c r="A8259" i="1"/>
  <c r="B8259" i="1"/>
  <c r="A8260" i="1"/>
  <c r="B8260" i="1"/>
  <c r="B8261" i="1"/>
  <c r="A8262" i="1"/>
  <c r="B8262" i="1"/>
  <c r="A8263" i="1"/>
  <c r="B8263" i="1"/>
  <c r="A8264" i="1"/>
  <c r="B8264" i="1"/>
  <c r="A8265" i="1"/>
  <c r="B8265" i="1"/>
  <c r="A8266" i="1"/>
  <c r="B8266" i="1"/>
  <c r="A8267" i="1"/>
  <c r="B8267" i="1"/>
  <c r="A8268" i="1"/>
  <c r="B8268" i="1"/>
  <c r="A8269" i="1"/>
  <c r="B8269" i="1"/>
  <c r="A8270" i="1"/>
  <c r="B8270" i="1"/>
  <c r="A8271" i="1"/>
  <c r="B8271" i="1"/>
  <c r="A8272" i="1"/>
  <c r="B8272" i="1"/>
  <c r="A8273" i="1"/>
  <c r="B8273" i="1"/>
  <c r="A8274" i="1"/>
  <c r="B8274" i="1"/>
  <c r="A8275" i="1"/>
  <c r="B8275" i="1"/>
  <c r="A8276" i="1"/>
  <c r="B8276" i="1"/>
  <c r="A8277" i="1"/>
  <c r="B8277" i="1"/>
  <c r="A8278" i="1"/>
  <c r="B8278" i="1"/>
  <c r="A8279" i="1"/>
  <c r="B8279" i="1"/>
  <c r="A8280" i="1"/>
  <c r="B8280" i="1"/>
  <c r="B8281" i="1"/>
  <c r="A8282" i="1"/>
  <c r="B8282" i="1"/>
  <c r="A8283" i="1"/>
  <c r="B8283" i="1"/>
  <c r="A8284" i="1"/>
  <c r="B8284" i="1"/>
  <c r="A8285" i="1"/>
  <c r="B8285" i="1"/>
  <c r="A8286" i="1"/>
  <c r="B8286" i="1"/>
  <c r="A8287" i="1"/>
  <c r="B8287" i="1"/>
  <c r="B8288" i="1"/>
  <c r="A8289" i="1"/>
  <c r="B8289" i="1"/>
  <c r="A8290" i="1"/>
  <c r="B8290" i="1"/>
  <c r="A8291" i="1"/>
  <c r="B8291" i="1"/>
  <c r="A8292" i="1"/>
  <c r="B8292" i="1"/>
  <c r="A8293" i="1"/>
  <c r="B8293" i="1"/>
  <c r="B8294" i="1"/>
  <c r="A8295" i="1"/>
  <c r="B8295" i="1"/>
  <c r="A8296" i="1"/>
  <c r="B8296" i="1"/>
  <c r="A8297" i="1"/>
  <c r="B8297" i="1"/>
  <c r="A8298" i="1"/>
  <c r="B8298" i="1"/>
  <c r="A8299" i="1"/>
  <c r="B8299" i="1"/>
  <c r="A8300" i="1"/>
  <c r="B8300" i="1"/>
  <c r="A8301" i="1"/>
  <c r="B8301" i="1"/>
  <c r="A8302" i="1"/>
  <c r="B8302" i="1"/>
  <c r="A8303" i="1"/>
  <c r="B8303" i="1"/>
  <c r="A8304" i="1"/>
  <c r="B8304" i="1"/>
  <c r="A8305" i="1"/>
  <c r="B8305" i="1"/>
  <c r="A8306" i="1"/>
  <c r="B8306" i="1"/>
  <c r="A8307" i="1"/>
  <c r="B8307" i="1"/>
  <c r="A8308" i="1"/>
  <c r="B8308" i="1"/>
  <c r="A8309" i="1"/>
  <c r="B8309" i="1"/>
  <c r="A8310" i="1"/>
  <c r="B8310" i="1"/>
  <c r="A8311" i="1"/>
  <c r="B8311" i="1"/>
  <c r="A8312" i="1"/>
  <c r="B8312" i="1"/>
  <c r="A8313" i="1"/>
  <c r="B8313" i="1"/>
  <c r="A8314" i="1"/>
  <c r="B8314" i="1"/>
  <c r="A8315" i="1"/>
  <c r="B8315" i="1"/>
  <c r="A8316" i="1"/>
  <c r="B8316" i="1"/>
  <c r="A8317" i="1"/>
  <c r="B8317" i="1"/>
  <c r="A8318" i="1"/>
  <c r="B8318" i="1"/>
  <c r="A8319" i="1"/>
  <c r="B8319" i="1"/>
  <c r="A8320" i="1"/>
  <c r="B8320" i="1"/>
  <c r="A8321" i="1"/>
  <c r="B8321" i="1"/>
  <c r="A8322" i="1"/>
  <c r="B8322" i="1"/>
  <c r="A8323" i="1"/>
  <c r="B8323" i="1"/>
  <c r="A8324" i="1"/>
  <c r="B8324" i="1"/>
  <c r="A8325" i="1"/>
  <c r="B8325" i="1"/>
  <c r="A8326" i="1"/>
  <c r="B8326" i="1"/>
  <c r="A8327" i="1"/>
  <c r="B8327" i="1"/>
  <c r="A8328" i="1"/>
  <c r="B8328" i="1"/>
  <c r="A8329" i="1"/>
  <c r="B8329" i="1"/>
  <c r="A8330" i="1"/>
  <c r="B8330" i="1"/>
  <c r="A8331" i="1"/>
  <c r="B8331" i="1"/>
  <c r="A8332" i="1"/>
  <c r="B8332" i="1"/>
  <c r="A8333" i="1"/>
  <c r="B8333" i="1"/>
  <c r="A8334" i="1"/>
  <c r="B8334" i="1"/>
  <c r="A8335" i="1"/>
  <c r="B8335" i="1"/>
  <c r="A8336" i="1"/>
  <c r="B8336" i="1"/>
  <c r="A8337" i="1"/>
  <c r="B8337" i="1"/>
  <c r="A8338" i="1"/>
  <c r="B8338" i="1"/>
  <c r="A8339" i="1"/>
  <c r="B8339" i="1"/>
  <c r="A8340" i="1"/>
  <c r="B8340" i="1"/>
  <c r="A8341" i="1"/>
  <c r="B8341" i="1"/>
  <c r="A8342" i="1"/>
  <c r="B8342" i="1"/>
  <c r="A8343" i="1"/>
  <c r="B8343" i="1"/>
  <c r="A8344" i="1"/>
  <c r="B8344" i="1"/>
  <c r="B8345" i="1"/>
  <c r="A8346" i="1"/>
  <c r="B8346" i="1"/>
  <c r="A8347" i="1"/>
  <c r="B8347" i="1"/>
  <c r="A8348" i="1"/>
  <c r="B8348" i="1"/>
  <c r="A8349" i="1"/>
  <c r="B8349" i="1"/>
  <c r="A8350" i="1"/>
  <c r="B8350" i="1"/>
  <c r="B8351" i="1"/>
  <c r="A8352" i="1"/>
  <c r="B8352" i="1"/>
  <c r="A8353" i="1"/>
  <c r="B8353" i="1"/>
  <c r="B8354" i="1"/>
  <c r="A8355" i="1"/>
  <c r="B8355" i="1"/>
  <c r="A8356" i="1"/>
  <c r="B8356" i="1"/>
  <c r="A8357" i="1"/>
  <c r="B8357" i="1"/>
  <c r="A8358" i="1"/>
  <c r="B8358" i="1"/>
  <c r="A8359" i="1"/>
  <c r="B8359" i="1"/>
  <c r="A8360" i="1"/>
  <c r="B8360" i="1"/>
  <c r="A8361" i="1"/>
  <c r="B8361" i="1"/>
  <c r="A8362" i="1"/>
  <c r="B8362" i="1"/>
  <c r="A8363" i="1"/>
  <c r="B8363" i="1"/>
  <c r="A8364" i="1"/>
  <c r="B8364" i="1"/>
  <c r="A8365" i="1"/>
  <c r="B8365" i="1"/>
  <c r="A8366" i="1"/>
  <c r="B8366" i="1"/>
  <c r="A8367" i="1"/>
  <c r="B8367" i="1"/>
  <c r="A8368" i="1"/>
  <c r="B8368" i="1"/>
  <c r="A8369" i="1"/>
  <c r="B8369" i="1"/>
  <c r="A8370" i="1"/>
  <c r="B8370" i="1"/>
  <c r="A8371" i="1"/>
  <c r="B8371" i="1"/>
  <c r="A8372" i="1"/>
  <c r="B8372" i="1"/>
  <c r="A8373" i="1"/>
  <c r="B8373" i="1"/>
  <c r="A8374" i="1"/>
  <c r="B8374" i="1"/>
  <c r="A8375" i="1"/>
  <c r="B8375" i="1"/>
  <c r="B8376" i="1"/>
  <c r="A8377" i="1"/>
  <c r="B8377" i="1"/>
  <c r="A8378" i="1"/>
  <c r="B8378" i="1"/>
  <c r="B8379" i="1"/>
  <c r="A8380" i="1"/>
  <c r="B8380" i="1"/>
  <c r="A8381" i="1"/>
  <c r="B8381" i="1"/>
  <c r="A8382" i="1"/>
  <c r="B8382" i="1"/>
  <c r="A8383" i="1"/>
  <c r="B8383" i="1"/>
  <c r="A8384" i="1"/>
  <c r="B8384" i="1"/>
  <c r="A8385" i="1"/>
  <c r="B8385" i="1"/>
  <c r="A8386" i="1"/>
  <c r="B8386" i="1"/>
  <c r="A8387" i="1"/>
  <c r="B8387" i="1"/>
  <c r="A8388" i="1"/>
  <c r="B8388" i="1"/>
  <c r="A8389" i="1"/>
  <c r="B8389" i="1"/>
  <c r="A8390" i="1"/>
  <c r="B8390" i="1"/>
  <c r="A8391" i="1"/>
  <c r="B8391" i="1"/>
  <c r="A8392" i="1"/>
  <c r="B8392" i="1"/>
  <c r="A8393" i="1"/>
  <c r="B8393" i="1"/>
  <c r="A8394" i="1"/>
  <c r="B8394" i="1"/>
  <c r="A8395" i="1"/>
  <c r="B8395" i="1"/>
  <c r="A8396" i="1"/>
  <c r="B8396" i="1"/>
  <c r="A8397" i="1"/>
  <c r="B8397" i="1"/>
  <c r="A8398" i="1"/>
  <c r="B8398" i="1"/>
  <c r="A8399" i="1"/>
  <c r="B8399" i="1"/>
  <c r="A8400" i="1"/>
  <c r="B8400" i="1"/>
  <c r="A8401" i="1"/>
  <c r="B8401" i="1"/>
  <c r="A8402" i="1"/>
  <c r="B8402" i="1"/>
  <c r="A8403" i="1"/>
  <c r="B8403" i="1"/>
  <c r="A8404" i="1"/>
  <c r="B8404" i="1"/>
  <c r="A8405" i="1"/>
  <c r="B8405" i="1"/>
  <c r="A8406" i="1"/>
  <c r="B8406" i="1"/>
  <c r="A8407" i="1"/>
  <c r="B8407" i="1"/>
  <c r="A8408" i="1"/>
  <c r="B8408" i="1"/>
  <c r="A8409" i="1"/>
  <c r="B8409" i="1"/>
  <c r="A8410" i="1"/>
  <c r="B8410" i="1"/>
  <c r="A8411" i="1"/>
  <c r="B8411" i="1"/>
  <c r="A8412" i="1"/>
  <c r="B8412" i="1"/>
  <c r="A8413" i="1"/>
  <c r="B8413" i="1"/>
  <c r="A8414" i="1"/>
  <c r="B8414" i="1"/>
  <c r="A8415" i="1"/>
  <c r="B8415" i="1"/>
  <c r="A8416" i="1"/>
  <c r="B8416" i="1"/>
  <c r="A8417" i="1"/>
  <c r="B8417" i="1"/>
  <c r="A8418" i="1"/>
  <c r="B8418" i="1"/>
  <c r="A8419" i="1"/>
  <c r="B8419" i="1"/>
  <c r="A8420" i="1"/>
  <c r="B8420" i="1"/>
  <c r="A8421" i="1"/>
  <c r="B8421" i="1"/>
  <c r="A8422" i="1"/>
  <c r="B8422" i="1"/>
  <c r="A8423" i="1"/>
  <c r="B8423" i="1"/>
  <c r="A8424" i="1"/>
  <c r="B8424" i="1"/>
  <c r="A8425" i="1"/>
  <c r="B8425" i="1"/>
  <c r="A8426" i="1"/>
  <c r="B8426" i="1"/>
  <c r="A8427" i="1"/>
  <c r="B8427" i="1"/>
  <c r="A8428" i="1"/>
  <c r="B8428" i="1"/>
  <c r="A8429" i="1"/>
  <c r="B8429" i="1"/>
  <c r="A8430" i="1"/>
  <c r="B8430" i="1"/>
  <c r="A8431" i="1"/>
  <c r="B8431" i="1"/>
  <c r="A8432" i="1"/>
  <c r="B8432" i="1"/>
  <c r="A8433" i="1"/>
  <c r="B8433" i="1"/>
  <c r="A8434" i="1"/>
  <c r="B8434" i="1"/>
  <c r="A8435" i="1"/>
  <c r="B8435" i="1"/>
  <c r="A8436" i="1"/>
  <c r="B8436" i="1"/>
  <c r="A8437" i="1"/>
  <c r="B8437" i="1"/>
  <c r="A8438" i="1"/>
  <c r="B8438" i="1"/>
  <c r="A8439" i="1"/>
  <c r="B8439" i="1"/>
  <c r="A8440" i="1"/>
  <c r="B8440" i="1"/>
  <c r="A8441" i="1"/>
  <c r="B8441" i="1"/>
  <c r="A8442" i="1"/>
  <c r="B8442" i="1"/>
  <c r="A8443" i="1"/>
  <c r="B8443" i="1"/>
  <c r="A8444" i="1"/>
  <c r="B8444" i="1"/>
  <c r="A8445" i="1"/>
  <c r="B8445" i="1"/>
  <c r="A8446" i="1"/>
  <c r="B8446" i="1"/>
  <c r="A8447" i="1"/>
  <c r="B8447" i="1"/>
  <c r="A8448" i="1"/>
  <c r="B8448" i="1"/>
  <c r="A8449" i="1"/>
  <c r="B8449" i="1"/>
  <c r="A8450" i="1"/>
  <c r="B8450" i="1"/>
  <c r="A8451" i="1"/>
  <c r="B8451" i="1"/>
  <c r="A8452" i="1"/>
  <c r="B8452" i="1"/>
  <c r="A8453" i="1"/>
  <c r="B8453" i="1"/>
  <c r="A8454" i="1"/>
  <c r="B8454" i="1"/>
  <c r="A8455" i="1"/>
  <c r="B8455" i="1"/>
  <c r="A8456" i="1"/>
  <c r="B8456" i="1"/>
  <c r="A8457" i="1"/>
  <c r="B8457" i="1"/>
  <c r="A8458" i="1"/>
  <c r="B8458" i="1"/>
  <c r="A8459" i="1"/>
  <c r="B8459" i="1"/>
  <c r="A8460" i="1"/>
  <c r="B8460" i="1"/>
  <c r="A8461" i="1"/>
  <c r="B8461" i="1"/>
  <c r="A8462" i="1"/>
  <c r="B8462" i="1"/>
  <c r="A8463" i="1"/>
  <c r="B8463" i="1"/>
  <c r="A8464" i="1"/>
  <c r="B8464" i="1"/>
  <c r="A8465" i="1"/>
  <c r="B8465" i="1"/>
  <c r="A8466" i="1"/>
  <c r="B8466" i="1"/>
  <c r="A8467" i="1"/>
  <c r="B8467" i="1"/>
  <c r="A8468" i="1"/>
  <c r="B8468" i="1"/>
  <c r="A8469" i="1"/>
  <c r="B8469" i="1"/>
  <c r="A8470" i="1"/>
  <c r="B8470" i="1"/>
  <c r="A8471" i="1"/>
  <c r="B8471" i="1"/>
  <c r="A8472" i="1"/>
  <c r="B8472" i="1"/>
  <c r="A8473" i="1"/>
  <c r="B8473" i="1"/>
  <c r="A8474" i="1"/>
  <c r="B8474" i="1"/>
  <c r="A8475" i="1"/>
  <c r="B8475" i="1"/>
  <c r="A8476" i="1"/>
  <c r="B8476" i="1"/>
  <c r="A8477" i="1"/>
  <c r="B8477" i="1"/>
  <c r="A8478" i="1"/>
  <c r="B8478" i="1"/>
  <c r="A8479" i="1"/>
  <c r="B8479" i="1"/>
  <c r="A8480" i="1"/>
  <c r="B8480" i="1"/>
  <c r="A8481" i="1"/>
  <c r="B8481" i="1"/>
  <c r="A8482" i="1"/>
  <c r="B8482" i="1"/>
  <c r="A8483" i="1"/>
  <c r="B8483" i="1"/>
  <c r="A8484" i="1"/>
  <c r="B8484" i="1"/>
  <c r="A8485" i="1"/>
  <c r="B8485" i="1"/>
  <c r="A8486" i="1"/>
  <c r="B8486" i="1"/>
  <c r="A8487" i="1"/>
  <c r="B8487" i="1"/>
  <c r="A8488" i="1"/>
  <c r="B8488" i="1"/>
  <c r="A8489" i="1"/>
  <c r="B8489" i="1"/>
  <c r="A8490" i="1"/>
  <c r="B8490" i="1"/>
  <c r="A8491" i="1"/>
  <c r="B8491" i="1"/>
  <c r="A8492" i="1"/>
  <c r="B8492" i="1"/>
  <c r="A8493" i="1"/>
  <c r="B8493" i="1"/>
  <c r="A8494" i="1"/>
  <c r="B8494" i="1"/>
  <c r="A8495" i="1"/>
  <c r="B8495" i="1"/>
  <c r="A8496" i="1"/>
  <c r="B8496" i="1"/>
  <c r="A8497" i="1"/>
  <c r="B8497" i="1"/>
  <c r="A8498" i="1"/>
  <c r="B8498" i="1"/>
  <c r="A8499" i="1"/>
  <c r="B8499" i="1"/>
  <c r="A8500" i="1"/>
  <c r="B8500" i="1"/>
  <c r="A8501" i="1"/>
  <c r="B8501" i="1"/>
  <c r="A8502" i="1"/>
  <c r="B8502" i="1"/>
  <c r="A8503" i="1"/>
  <c r="B8503" i="1"/>
  <c r="A8504" i="1"/>
  <c r="B8504" i="1"/>
  <c r="A8505" i="1"/>
  <c r="B8505" i="1"/>
  <c r="A8506" i="1"/>
  <c r="B8506" i="1"/>
  <c r="A8507" i="1"/>
  <c r="B8507" i="1"/>
  <c r="A8508" i="1"/>
  <c r="B8508" i="1"/>
  <c r="A8509" i="1"/>
  <c r="B8509" i="1"/>
  <c r="A8510" i="1"/>
  <c r="B8510" i="1"/>
  <c r="A8511" i="1"/>
  <c r="B8511" i="1"/>
  <c r="A8512" i="1"/>
  <c r="B8512" i="1"/>
  <c r="A8513" i="1"/>
  <c r="B8513" i="1"/>
  <c r="A8514" i="1"/>
  <c r="B8514" i="1"/>
  <c r="A8515" i="1"/>
  <c r="B8515" i="1"/>
  <c r="A8516" i="1"/>
  <c r="B8516" i="1"/>
  <c r="A8517" i="1"/>
  <c r="B8517" i="1"/>
  <c r="A8518" i="1"/>
  <c r="B8518" i="1"/>
  <c r="A8519" i="1"/>
  <c r="B8519" i="1"/>
  <c r="A8520" i="1"/>
  <c r="B8520" i="1"/>
  <c r="A8521" i="1"/>
  <c r="B8521" i="1"/>
  <c r="A8522" i="1"/>
  <c r="B8522" i="1"/>
  <c r="A8523" i="1"/>
  <c r="B8523" i="1"/>
  <c r="A8524" i="1"/>
  <c r="B8524" i="1"/>
  <c r="A8525" i="1"/>
  <c r="B8525" i="1"/>
  <c r="A8526" i="1"/>
  <c r="B8526" i="1"/>
  <c r="A8527" i="1"/>
  <c r="B8527" i="1"/>
  <c r="A8528" i="1"/>
  <c r="B8528" i="1"/>
  <c r="A8529" i="1"/>
  <c r="B8529" i="1"/>
  <c r="A8530" i="1"/>
  <c r="B8530" i="1"/>
  <c r="A8531" i="1"/>
  <c r="B8531" i="1"/>
  <c r="A8532" i="1"/>
  <c r="B8532" i="1"/>
  <c r="A8533" i="1"/>
  <c r="B8533" i="1"/>
  <c r="A8534" i="1"/>
  <c r="B8534" i="1"/>
  <c r="A8535" i="1"/>
  <c r="B8535" i="1"/>
  <c r="A8536" i="1"/>
  <c r="B8536" i="1"/>
  <c r="A8537" i="1"/>
  <c r="B8537" i="1"/>
  <c r="A8538" i="1"/>
  <c r="B8538" i="1"/>
  <c r="A8539" i="1"/>
  <c r="B8539" i="1"/>
  <c r="A8540" i="1"/>
  <c r="B8540" i="1"/>
  <c r="A8541" i="1"/>
  <c r="B8541" i="1"/>
  <c r="A8542" i="1"/>
  <c r="B8542" i="1"/>
  <c r="A8543" i="1"/>
  <c r="B8543" i="1"/>
  <c r="A8544" i="1"/>
  <c r="B8544" i="1"/>
  <c r="A8545" i="1"/>
  <c r="B8545" i="1"/>
  <c r="A8546" i="1"/>
  <c r="B8546" i="1"/>
  <c r="A8547" i="1"/>
  <c r="B8547" i="1"/>
  <c r="A8548" i="1"/>
  <c r="B8548" i="1"/>
  <c r="A8549" i="1"/>
  <c r="B8549" i="1"/>
  <c r="A8550" i="1"/>
  <c r="B8550" i="1"/>
  <c r="A8551" i="1"/>
  <c r="B8551" i="1"/>
  <c r="A8552" i="1"/>
  <c r="B8552" i="1"/>
  <c r="A8553" i="1"/>
  <c r="B8553" i="1"/>
  <c r="A8554" i="1"/>
  <c r="B8554" i="1"/>
  <c r="A8555" i="1"/>
  <c r="B8555" i="1"/>
  <c r="A8556" i="1"/>
  <c r="B8556" i="1"/>
  <c r="A8557" i="1"/>
  <c r="B8557" i="1"/>
  <c r="A8558" i="1"/>
  <c r="B8558" i="1"/>
  <c r="A8559" i="1"/>
  <c r="B8559" i="1"/>
  <c r="A8560" i="1"/>
  <c r="B8560" i="1"/>
  <c r="A8561" i="1"/>
  <c r="B8561" i="1"/>
  <c r="A8562" i="1"/>
  <c r="B8562" i="1"/>
  <c r="A8563" i="1"/>
  <c r="B8563" i="1"/>
  <c r="A8564" i="1"/>
  <c r="B8564" i="1"/>
  <c r="A8565" i="1"/>
  <c r="B8565" i="1"/>
  <c r="A8566" i="1"/>
  <c r="B8566" i="1"/>
  <c r="A8567" i="1"/>
  <c r="B8567" i="1"/>
  <c r="A8568" i="1"/>
  <c r="B8568" i="1"/>
  <c r="A8569" i="1"/>
  <c r="B8569" i="1"/>
  <c r="A8570" i="1"/>
  <c r="B8570" i="1"/>
  <c r="A8571" i="1"/>
  <c r="B8571" i="1"/>
  <c r="A8572" i="1"/>
  <c r="B8572" i="1"/>
  <c r="A8573" i="1"/>
  <c r="B8573" i="1"/>
  <c r="A8574" i="1"/>
  <c r="B8574" i="1"/>
  <c r="A8575" i="1"/>
  <c r="B8575" i="1"/>
  <c r="A8576" i="1"/>
  <c r="B8576" i="1"/>
  <c r="A8577" i="1"/>
  <c r="B8577" i="1"/>
  <c r="A8578" i="1"/>
  <c r="B8578" i="1"/>
  <c r="A8579" i="1"/>
  <c r="B8579" i="1"/>
  <c r="A8580" i="1"/>
  <c r="B8580" i="1"/>
  <c r="A8581" i="1"/>
  <c r="B8581" i="1"/>
  <c r="A8582" i="1"/>
  <c r="B8582" i="1"/>
  <c r="A8583" i="1"/>
  <c r="B8583" i="1"/>
  <c r="A8584" i="1"/>
  <c r="B8584" i="1"/>
  <c r="A8585" i="1"/>
  <c r="B8585" i="1"/>
  <c r="A8586" i="1"/>
  <c r="B8586" i="1"/>
  <c r="A8587" i="1"/>
  <c r="B8587" i="1"/>
  <c r="A8588" i="1"/>
  <c r="B8588" i="1"/>
  <c r="A8589" i="1"/>
  <c r="B8589" i="1"/>
  <c r="A8590" i="1"/>
  <c r="B8590" i="1"/>
  <c r="A8591" i="1"/>
  <c r="B8591" i="1"/>
  <c r="A8592" i="1"/>
  <c r="B8592" i="1"/>
  <c r="A8593" i="1"/>
  <c r="B8593" i="1"/>
  <c r="A8594" i="1"/>
  <c r="B8594" i="1"/>
  <c r="A8595" i="1"/>
  <c r="B8595" i="1"/>
  <c r="A8596" i="1"/>
  <c r="B8596" i="1"/>
  <c r="A8597" i="1"/>
  <c r="B8597" i="1"/>
  <c r="A8598" i="1"/>
  <c r="B8598" i="1"/>
  <c r="A8599" i="1"/>
  <c r="B8599" i="1"/>
  <c r="A8600" i="1"/>
  <c r="B8600" i="1"/>
  <c r="A8601" i="1"/>
  <c r="B8601" i="1"/>
  <c r="A8602" i="1"/>
  <c r="B8602" i="1"/>
  <c r="A8603" i="1"/>
  <c r="B8603" i="1"/>
  <c r="A8604" i="1"/>
  <c r="B8604" i="1"/>
  <c r="A8605" i="1"/>
  <c r="B8605" i="1"/>
  <c r="A8606" i="1"/>
  <c r="B8606" i="1"/>
  <c r="A8607" i="1"/>
  <c r="B8607" i="1"/>
  <c r="A8608" i="1"/>
  <c r="B8608" i="1"/>
  <c r="A8609" i="1"/>
  <c r="B8609" i="1"/>
  <c r="A8610" i="1"/>
  <c r="B8610" i="1"/>
  <c r="A8611" i="1"/>
  <c r="B8611" i="1"/>
  <c r="A8612" i="1"/>
  <c r="B8612" i="1"/>
  <c r="A8613" i="1"/>
  <c r="B8613" i="1"/>
  <c r="A8614" i="1"/>
  <c r="B8614" i="1"/>
  <c r="A8615" i="1"/>
  <c r="B8615" i="1"/>
  <c r="A8616" i="1"/>
  <c r="B8616" i="1"/>
  <c r="A8617" i="1"/>
  <c r="B8617" i="1"/>
  <c r="A8618" i="1"/>
  <c r="B8618" i="1"/>
  <c r="A8619" i="1"/>
  <c r="B8619" i="1"/>
  <c r="A8620" i="1"/>
  <c r="B8620" i="1"/>
  <c r="A8621" i="1"/>
  <c r="B8621" i="1"/>
  <c r="A8622" i="1"/>
  <c r="B8622" i="1"/>
  <c r="A8623" i="1"/>
  <c r="B8623" i="1"/>
  <c r="A8624" i="1"/>
  <c r="B8624" i="1"/>
  <c r="A8625" i="1"/>
  <c r="B8625" i="1"/>
  <c r="A8626" i="1"/>
  <c r="B8626" i="1"/>
  <c r="A8627" i="1"/>
  <c r="B8627" i="1"/>
  <c r="A8628" i="1"/>
  <c r="B8628" i="1"/>
  <c r="A8629" i="1"/>
  <c r="B8629" i="1"/>
  <c r="A8630" i="1"/>
  <c r="B8630" i="1"/>
  <c r="A8631" i="1"/>
  <c r="B8631" i="1"/>
  <c r="A8632" i="1"/>
  <c r="B8632" i="1"/>
  <c r="A8633" i="1"/>
  <c r="B8633" i="1"/>
  <c r="A8634" i="1"/>
  <c r="B8634" i="1"/>
  <c r="A8635" i="1"/>
  <c r="B8635" i="1"/>
  <c r="A8636" i="1"/>
  <c r="B8636" i="1"/>
  <c r="A8637" i="1"/>
  <c r="B8637" i="1"/>
  <c r="A8638" i="1"/>
  <c r="B8638" i="1"/>
  <c r="A8639" i="1"/>
  <c r="B8639" i="1"/>
  <c r="A8640" i="1"/>
  <c r="B8640" i="1"/>
  <c r="A8641" i="1"/>
  <c r="B8641" i="1"/>
  <c r="A8642" i="1"/>
  <c r="B8642" i="1"/>
  <c r="A8643" i="1"/>
  <c r="B8643" i="1"/>
  <c r="A8644" i="1"/>
  <c r="B8644" i="1"/>
  <c r="A8645" i="1"/>
  <c r="B8645" i="1"/>
  <c r="A8646" i="1"/>
  <c r="B8646" i="1"/>
  <c r="A8647" i="1"/>
  <c r="B8647" i="1"/>
  <c r="A8648" i="1"/>
  <c r="B8648" i="1"/>
  <c r="A8649" i="1"/>
  <c r="B8649" i="1"/>
  <c r="A8650" i="1"/>
  <c r="B8650" i="1"/>
  <c r="A8651" i="1"/>
  <c r="B8651" i="1"/>
  <c r="A8652" i="1"/>
  <c r="B8652" i="1"/>
  <c r="A8653" i="1"/>
  <c r="B8653" i="1"/>
  <c r="A8654" i="1"/>
  <c r="B8654" i="1"/>
  <c r="A8655" i="1"/>
  <c r="B8655" i="1"/>
  <c r="A8656" i="1"/>
  <c r="B8656" i="1"/>
  <c r="A8657" i="1"/>
  <c r="B8657" i="1"/>
  <c r="A8658" i="1"/>
  <c r="B8658" i="1"/>
  <c r="A8659" i="1"/>
  <c r="B8659" i="1"/>
  <c r="A8660" i="1"/>
  <c r="B8660" i="1"/>
  <c r="A8661" i="1"/>
  <c r="B8661" i="1"/>
  <c r="A8662" i="1"/>
  <c r="B8662" i="1"/>
  <c r="A8663" i="1"/>
  <c r="B8663" i="1"/>
  <c r="A8664" i="1"/>
  <c r="B8664" i="1"/>
  <c r="A8665" i="1"/>
  <c r="B8665" i="1"/>
  <c r="A8666" i="1"/>
  <c r="B8666" i="1"/>
  <c r="A8667" i="1"/>
  <c r="B8667" i="1"/>
  <c r="A8668" i="1"/>
  <c r="B8668" i="1"/>
  <c r="A8669" i="1"/>
  <c r="B8669" i="1"/>
  <c r="A8670" i="1"/>
  <c r="B8670" i="1"/>
  <c r="A8671" i="1"/>
  <c r="B8671" i="1"/>
  <c r="A8672" i="1"/>
  <c r="B8672" i="1"/>
  <c r="A8673" i="1"/>
  <c r="B8673" i="1"/>
  <c r="A8674" i="1"/>
  <c r="B8674" i="1"/>
  <c r="A8675" i="1"/>
  <c r="B8675" i="1"/>
  <c r="A8676" i="1"/>
  <c r="B8676" i="1"/>
  <c r="A8677" i="1"/>
  <c r="B8677" i="1"/>
  <c r="A8678" i="1"/>
  <c r="B8678" i="1"/>
  <c r="A8679" i="1"/>
  <c r="B8679" i="1"/>
  <c r="A8680" i="1"/>
  <c r="B8680" i="1"/>
  <c r="A8681" i="1"/>
  <c r="B8681" i="1"/>
  <c r="A8682" i="1"/>
  <c r="B8682" i="1"/>
  <c r="A8683" i="1"/>
  <c r="B8683" i="1"/>
  <c r="A8684" i="1"/>
  <c r="B8684" i="1"/>
  <c r="A8685" i="1"/>
  <c r="B8685" i="1"/>
  <c r="A8686" i="1"/>
  <c r="B8686" i="1"/>
  <c r="A8687" i="1"/>
  <c r="B8687" i="1"/>
  <c r="A8688" i="1"/>
  <c r="B8688" i="1"/>
  <c r="A8689" i="1"/>
  <c r="B8689" i="1"/>
  <c r="A8690" i="1"/>
  <c r="B8690" i="1"/>
  <c r="A8691" i="1"/>
  <c r="B8691" i="1"/>
  <c r="A8692" i="1"/>
  <c r="B8692" i="1"/>
  <c r="A8693" i="1"/>
  <c r="B8693" i="1"/>
  <c r="A8694" i="1"/>
  <c r="B8694" i="1"/>
  <c r="A8695" i="1"/>
  <c r="B8695" i="1"/>
  <c r="A8696" i="1"/>
  <c r="B8696" i="1"/>
  <c r="A8697" i="1"/>
  <c r="B8697" i="1"/>
  <c r="A8698" i="1"/>
  <c r="B8698" i="1"/>
  <c r="A8699" i="1"/>
  <c r="B8699" i="1"/>
  <c r="A8700" i="1"/>
  <c r="B8700" i="1"/>
  <c r="A8701" i="1"/>
  <c r="B8701" i="1"/>
  <c r="A8702" i="1"/>
  <c r="B8702" i="1"/>
  <c r="A8703" i="1"/>
  <c r="B8703" i="1"/>
  <c r="A8704" i="1"/>
  <c r="B8704" i="1"/>
  <c r="A8705" i="1"/>
  <c r="B8705" i="1"/>
  <c r="A8706" i="1"/>
  <c r="B8706" i="1"/>
  <c r="A8707" i="1"/>
  <c r="B8707" i="1"/>
  <c r="A8708" i="1"/>
  <c r="B8708" i="1"/>
  <c r="A8709" i="1"/>
  <c r="B8709" i="1"/>
  <c r="A8710" i="1"/>
  <c r="B8710" i="1"/>
  <c r="A8711" i="1"/>
  <c r="B8711" i="1"/>
  <c r="A8712" i="1"/>
  <c r="B8712" i="1"/>
  <c r="A8713" i="1"/>
  <c r="B8713" i="1"/>
  <c r="A8714" i="1"/>
  <c r="B8714" i="1"/>
  <c r="A8715" i="1"/>
  <c r="B8715" i="1"/>
  <c r="A8716" i="1"/>
  <c r="B8716" i="1"/>
  <c r="A8717" i="1"/>
  <c r="B8717" i="1"/>
  <c r="A8718" i="1"/>
  <c r="B8718" i="1"/>
  <c r="A8719" i="1"/>
  <c r="B8719" i="1"/>
  <c r="A8720" i="1"/>
  <c r="B8720" i="1"/>
  <c r="A8721" i="1"/>
  <c r="B8721" i="1"/>
  <c r="A8722" i="1"/>
  <c r="B8722" i="1"/>
  <c r="A8723" i="1"/>
  <c r="B8723" i="1"/>
  <c r="A8724" i="1"/>
  <c r="B8724" i="1"/>
  <c r="A8725" i="1"/>
  <c r="B8725" i="1"/>
  <c r="A8726" i="1"/>
  <c r="B8726" i="1"/>
  <c r="A8727" i="1"/>
  <c r="B8727" i="1"/>
  <c r="A8728" i="1"/>
  <c r="B8728" i="1"/>
  <c r="A8729" i="1"/>
  <c r="B8729" i="1"/>
  <c r="A8730" i="1"/>
  <c r="B8730" i="1"/>
  <c r="A8731" i="1"/>
  <c r="B8731" i="1"/>
  <c r="A8732" i="1"/>
  <c r="B8732" i="1"/>
  <c r="A8733" i="1"/>
  <c r="B8733" i="1"/>
  <c r="A8734" i="1"/>
  <c r="B8734" i="1"/>
  <c r="A8735" i="1"/>
  <c r="B8735" i="1"/>
  <c r="A8736" i="1"/>
  <c r="B8736" i="1"/>
  <c r="A8737" i="1"/>
  <c r="B8737" i="1"/>
  <c r="A8738" i="1"/>
  <c r="B8738" i="1"/>
  <c r="A8739" i="1"/>
  <c r="B8739" i="1"/>
  <c r="A8740" i="1"/>
  <c r="B8740" i="1"/>
  <c r="A8741" i="1"/>
  <c r="B8741" i="1"/>
  <c r="A8742" i="1"/>
  <c r="B8742" i="1"/>
  <c r="A8743" i="1"/>
  <c r="B8743" i="1"/>
  <c r="A8744" i="1"/>
  <c r="B8744" i="1"/>
  <c r="A8745" i="1"/>
  <c r="B8745" i="1"/>
  <c r="A8746" i="1"/>
  <c r="B8746" i="1"/>
  <c r="A8747" i="1"/>
  <c r="B8747" i="1"/>
  <c r="A8748" i="1"/>
  <c r="B8748" i="1"/>
  <c r="A8749" i="1"/>
  <c r="B8749" i="1"/>
  <c r="A8750" i="1"/>
  <c r="B8750" i="1"/>
  <c r="A8751" i="1"/>
  <c r="B8751" i="1"/>
  <c r="A8752" i="1"/>
  <c r="B8752" i="1"/>
  <c r="A8753" i="1"/>
  <c r="B8753" i="1"/>
  <c r="A8754" i="1"/>
  <c r="B8754" i="1"/>
  <c r="A8755" i="1"/>
  <c r="B8755" i="1"/>
  <c r="A8756" i="1"/>
  <c r="B8756" i="1"/>
  <c r="A8757" i="1"/>
  <c r="B8757" i="1"/>
  <c r="A8758" i="1"/>
  <c r="B8758" i="1"/>
  <c r="A8759" i="1"/>
  <c r="B8759" i="1"/>
  <c r="A8760" i="1"/>
  <c r="B8760" i="1"/>
  <c r="A8761" i="1"/>
  <c r="B8761" i="1"/>
  <c r="A8762" i="1"/>
  <c r="B8762" i="1"/>
  <c r="A8763" i="1"/>
  <c r="B8763" i="1"/>
  <c r="A8764" i="1"/>
  <c r="B8764" i="1"/>
  <c r="A8765" i="1"/>
  <c r="B8765" i="1"/>
  <c r="A8766" i="1"/>
  <c r="B8766" i="1"/>
  <c r="A8767" i="1"/>
  <c r="B8767" i="1"/>
  <c r="A8768" i="1"/>
  <c r="B8768" i="1"/>
  <c r="A8769" i="1"/>
  <c r="B8769" i="1"/>
  <c r="A8770" i="1"/>
  <c r="B8770" i="1"/>
  <c r="A8771" i="1"/>
  <c r="B8771" i="1"/>
  <c r="A8772" i="1"/>
  <c r="B8772" i="1"/>
  <c r="A8773" i="1"/>
  <c r="B8773" i="1"/>
  <c r="A8774" i="1"/>
  <c r="B8774" i="1"/>
  <c r="A8775" i="1"/>
  <c r="B8775" i="1"/>
  <c r="A8776" i="1"/>
  <c r="B8776" i="1"/>
  <c r="A8777" i="1"/>
  <c r="B8777" i="1"/>
  <c r="A8778" i="1"/>
  <c r="B8778" i="1"/>
  <c r="A8779" i="1"/>
  <c r="B8779" i="1"/>
  <c r="A8780" i="1"/>
  <c r="B8780" i="1"/>
  <c r="A8781" i="1"/>
  <c r="B8781" i="1"/>
  <c r="A8782" i="1"/>
  <c r="B8782" i="1"/>
  <c r="A8783" i="1"/>
  <c r="B8783" i="1"/>
  <c r="A8784" i="1"/>
  <c r="B8784" i="1"/>
  <c r="A8785" i="1"/>
  <c r="B8785" i="1"/>
  <c r="A8786" i="1"/>
  <c r="B8786" i="1"/>
  <c r="A8787" i="1"/>
  <c r="B8787" i="1"/>
  <c r="A8788" i="1"/>
  <c r="B8788" i="1"/>
  <c r="A8789" i="1"/>
  <c r="B8789" i="1"/>
  <c r="A8790" i="1"/>
  <c r="B8790" i="1"/>
  <c r="A8791" i="1"/>
  <c r="B8791" i="1"/>
  <c r="A8792" i="1"/>
  <c r="B8792" i="1"/>
  <c r="A8793" i="1"/>
  <c r="B8793" i="1"/>
  <c r="A8794" i="1"/>
  <c r="B8794" i="1"/>
  <c r="A8795" i="1"/>
  <c r="B8795" i="1"/>
  <c r="A8796" i="1"/>
  <c r="B8796" i="1"/>
  <c r="A8797" i="1"/>
  <c r="B8797" i="1"/>
  <c r="A8798" i="1"/>
  <c r="B8798" i="1"/>
  <c r="A8799" i="1"/>
  <c r="B8799" i="1"/>
  <c r="A8800" i="1"/>
  <c r="B8800" i="1"/>
  <c r="A8801" i="1"/>
  <c r="B8801" i="1"/>
  <c r="A8802" i="1"/>
  <c r="B8802" i="1"/>
  <c r="A8803" i="1"/>
  <c r="B8803" i="1"/>
  <c r="A8804" i="1"/>
  <c r="B8804" i="1"/>
  <c r="A8805" i="1"/>
  <c r="B8805" i="1"/>
  <c r="A8806" i="1"/>
  <c r="B8806" i="1"/>
  <c r="A8807" i="1"/>
  <c r="B8807" i="1"/>
  <c r="A8808" i="1"/>
  <c r="B8808" i="1"/>
  <c r="A8809" i="1"/>
  <c r="B8809" i="1"/>
  <c r="A8810" i="1"/>
  <c r="B8810" i="1"/>
  <c r="A8811" i="1"/>
  <c r="B8811" i="1"/>
  <c r="A8812" i="1"/>
  <c r="B8812" i="1"/>
  <c r="A8813" i="1"/>
  <c r="B8813" i="1"/>
  <c r="A8814" i="1"/>
  <c r="B8814" i="1"/>
  <c r="A8815" i="1"/>
  <c r="B8815" i="1"/>
  <c r="A8816" i="1"/>
  <c r="B8816" i="1"/>
  <c r="A8817" i="1"/>
  <c r="B8817" i="1"/>
  <c r="A8818" i="1"/>
  <c r="B8818" i="1"/>
  <c r="A8819" i="1"/>
  <c r="B8819" i="1"/>
  <c r="A8820" i="1"/>
  <c r="B8820" i="1"/>
  <c r="A8821" i="1"/>
  <c r="B8821" i="1"/>
  <c r="A8822" i="1"/>
  <c r="B8822" i="1"/>
  <c r="A8823" i="1"/>
  <c r="B8823" i="1"/>
  <c r="A8824" i="1"/>
  <c r="B8824" i="1"/>
  <c r="A8825" i="1"/>
  <c r="B8825" i="1"/>
  <c r="A8826" i="1"/>
  <c r="B8826" i="1"/>
  <c r="A8827" i="1"/>
  <c r="B8827" i="1"/>
  <c r="A8828" i="1"/>
  <c r="B8828" i="1"/>
  <c r="A8829" i="1"/>
  <c r="B8829" i="1"/>
  <c r="A8830" i="1"/>
  <c r="B8830" i="1"/>
  <c r="A8831" i="1"/>
  <c r="B8831" i="1"/>
  <c r="A8832" i="1"/>
  <c r="B8832" i="1"/>
  <c r="A8833" i="1"/>
  <c r="B8833" i="1"/>
  <c r="A8834" i="1"/>
  <c r="B8834" i="1"/>
  <c r="A8835" i="1"/>
  <c r="B8835" i="1"/>
  <c r="A8836" i="1"/>
  <c r="B8836" i="1"/>
  <c r="A8837" i="1"/>
  <c r="B8837" i="1"/>
  <c r="A8838" i="1"/>
  <c r="B8838" i="1"/>
  <c r="A8839" i="1"/>
  <c r="B8839" i="1"/>
  <c r="A8840" i="1"/>
  <c r="B8840" i="1"/>
  <c r="A8841" i="1"/>
  <c r="B8841" i="1"/>
  <c r="A8842" i="1"/>
  <c r="B8842" i="1"/>
  <c r="A8843" i="1"/>
  <c r="B8843" i="1"/>
  <c r="A8844" i="1"/>
  <c r="B8844" i="1"/>
  <c r="A8845" i="1"/>
  <c r="B8845" i="1"/>
  <c r="A8846" i="1"/>
  <c r="B8846" i="1"/>
  <c r="A8847" i="1"/>
  <c r="B8847" i="1"/>
  <c r="A8848" i="1"/>
  <c r="B8848" i="1"/>
  <c r="A8849" i="1"/>
  <c r="B8849" i="1"/>
  <c r="A8850" i="1"/>
  <c r="B8850" i="1"/>
  <c r="A8851" i="1"/>
  <c r="B8851" i="1"/>
  <c r="A8852" i="1"/>
  <c r="B8852" i="1"/>
  <c r="A8853" i="1"/>
  <c r="B8853" i="1"/>
  <c r="A8854" i="1"/>
  <c r="B8854" i="1"/>
  <c r="A8855" i="1"/>
  <c r="B8855" i="1"/>
  <c r="A8856" i="1"/>
  <c r="B8856" i="1"/>
  <c r="A8857" i="1"/>
  <c r="B8857" i="1"/>
  <c r="A8858" i="1"/>
  <c r="B8858" i="1"/>
  <c r="A8859" i="1"/>
  <c r="B8859" i="1"/>
  <c r="A8860" i="1"/>
  <c r="B8860" i="1"/>
  <c r="A8861" i="1"/>
  <c r="B8861" i="1"/>
  <c r="A8862" i="1"/>
  <c r="B8862" i="1"/>
  <c r="A8863" i="1"/>
  <c r="B8863" i="1"/>
  <c r="A8864" i="1"/>
  <c r="B8864" i="1"/>
  <c r="A8865" i="1"/>
  <c r="B8865" i="1"/>
  <c r="A8866" i="1"/>
  <c r="B8866" i="1"/>
  <c r="A8867" i="1"/>
  <c r="B8867" i="1"/>
  <c r="A8868" i="1"/>
  <c r="B8868" i="1"/>
  <c r="A8869" i="1"/>
  <c r="B8869" i="1"/>
  <c r="B8870" i="1"/>
  <c r="A8871" i="1"/>
  <c r="B8871" i="1"/>
  <c r="A8872" i="1"/>
  <c r="B8872" i="1"/>
  <c r="B8873" i="1"/>
  <c r="A8874" i="1"/>
  <c r="B8874" i="1"/>
  <c r="A8875" i="1"/>
  <c r="B8875" i="1"/>
  <c r="A8876" i="1"/>
  <c r="B8876" i="1"/>
  <c r="A8877" i="1"/>
  <c r="B8877" i="1"/>
  <c r="A8878" i="1"/>
  <c r="B8878" i="1"/>
  <c r="A8879" i="1"/>
  <c r="B8879" i="1"/>
  <c r="A8880" i="1"/>
  <c r="B8880" i="1"/>
  <c r="A8881" i="1"/>
  <c r="B8881" i="1"/>
  <c r="A8882" i="1"/>
  <c r="B8882" i="1"/>
  <c r="A8883" i="1"/>
  <c r="B8883" i="1"/>
  <c r="A8884" i="1"/>
  <c r="B8884" i="1"/>
  <c r="A8885" i="1"/>
  <c r="B8885" i="1"/>
  <c r="A8886" i="1"/>
  <c r="B8886" i="1"/>
  <c r="A8887" i="1"/>
  <c r="B8887" i="1"/>
  <c r="A8888" i="1"/>
  <c r="B8888" i="1"/>
  <c r="A8889" i="1"/>
  <c r="B8889" i="1"/>
  <c r="A8890" i="1"/>
  <c r="B8890" i="1"/>
  <c r="A8891" i="1"/>
  <c r="B8891" i="1"/>
  <c r="A8892" i="1"/>
  <c r="B8892" i="1"/>
  <c r="A8893" i="1"/>
  <c r="B8893" i="1"/>
  <c r="A8894" i="1"/>
  <c r="B8894" i="1"/>
  <c r="A8895" i="1"/>
  <c r="B8895" i="1"/>
  <c r="A8896" i="1"/>
  <c r="B8896" i="1"/>
  <c r="A8897" i="1"/>
  <c r="B8897" i="1"/>
  <c r="A8898" i="1"/>
  <c r="B8898" i="1"/>
  <c r="A8899" i="1"/>
  <c r="B8899" i="1"/>
  <c r="A8900" i="1"/>
  <c r="B8900" i="1"/>
  <c r="A8901" i="1"/>
  <c r="B8901" i="1"/>
  <c r="A8902" i="1"/>
  <c r="B8902" i="1"/>
  <c r="A8903" i="1"/>
  <c r="B8903" i="1"/>
  <c r="A8904" i="1"/>
  <c r="B8904" i="1"/>
  <c r="A8905" i="1"/>
  <c r="B8905" i="1"/>
  <c r="A8906" i="1"/>
  <c r="B8906" i="1"/>
  <c r="A8907" i="1"/>
  <c r="B8907" i="1"/>
  <c r="A8908" i="1"/>
  <c r="B8908" i="1"/>
  <c r="A8909" i="1"/>
  <c r="B8909" i="1"/>
  <c r="A8910" i="1"/>
  <c r="B8910" i="1"/>
  <c r="A8911" i="1"/>
  <c r="B8911" i="1"/>
  <c r="A8912" i="1"/>
  <c r="B8912" i="1"/>
  <c r="A8913" i="1"/>
  <c r="B8913" i="1"/>
  <c r="A8914" i="1"/>
  <c r="B8914" i="1"/>
  <c r="A8915" i="1"/>
  <c r="B8915" i="1"/>
  <c r="A8916" i="1"/>
  <c r="B8916" i="1"/>
  <c r="A8917" i="1"/>
  <c r="B8917" i="1"/>
  <c r="A8918" i="1"/>
  <c r="B8918" i="1"/>
  <c r="A8919" i="1"/>
  <c r="B8919" i="1"/>
  <c r="A8920" i="1"/>
  <c r="B8920" i="1"/>
  <c r="A8921" i="1"/>
  <c r="B8921" i="1"/>
  <c r="A8922" i="1"/>
  <c r="B8922" i="1"/>
  <c r="A8923" i="1"/>
  <c r="B8923" i="1"/>
  <c r="A8924" i="1"/>
  <c r="B8924" i="1"/>
  <c r="A8925" i="1"/>
  <c r="B8925" i="1"/>
  <c r="A8926" i="1"/>
  <c r="B8926" i="1"/>
  <c r="A8927" i="1"/>
  <c r="B8927" i="1"/>
  <c r="A8928" i="1"/>
  <c r="B8928" i="1"/>
  <c r="A8929" i="1"/>
  <c r="B8929" i="1"/>
  <c r="A8930" i="1"/>
  <c r="B8930" i="1"/>
  <c r="A8931" i="1"/>
  <c r="B8931" i="1"/>
  <c r="A8932" i="1"/>
  <c r="B8932" i="1"/>
  <c r="A8933" i="1"/>
  <c r="B8933" i="1"/>
  <c r="A8934" i="1"/>
  <c r="B8934" i="1"/>
  <c r="A8935" i="1"/>
  <c r="B8935" i="1"/>
  <c r="A8936" i="1"/>
  <c r="B8936" i="1"/>
  <c r="A8937" i="1"/>
  <c r="B8937" i="1"/>
  <c r="A8938" i="1"/>
  <c r="B8938" i="1"/>
  <c r="A8939" i="1"/>
  <c r="B8939" i="1"/>
  <c r="A8940" i="1"/>
  <c r="B8940" i="1"/>
  <c r="A8941" i="1"/>
  <c r="B8941" i="1"/>
  <c r="A8942" i="1"/>
  <c r="B8942" i="1"/>
  <c r="A8943" i="1"/>
  <c r="B8943" i="1"/>
  <c r="A8944" i="1"/>
  <c r="B8944" i="1"/>
  <c r="A8945" i="1"/>
  <c r="B8945" i="1"/>
  <c r="A8946" i="1"/>
  <c r="B8946" i="1"/>
  <c r="A8947" i="1"/>
  <c r="B8947" i="1"/>
  <c r="A8948" i="1"/>
  <c r="B8948" i="1"/>
  <c r="A8949" i="1"/>
  <c r="B8949" i="1"/>
  <c r="A8950" i="1"/>
  <c r="B8950" i="1"/>
  <c r="A8951" i="1"/>
  <c r="B8951" i="1"/>
  <c r="A8952" i="1"/>
  <c r="B8952" i="1"/>
  <c r="A8953" i="1"/>
  <c r="B8953" i="1"/>
  <c r="A8954" i="1"/>
  <c r="B8954" i="1"/>
  <c r="A8955" i="1"/>
  <c r="B8955" i="1"/>
  <c r="A8956" i="1"/>
  <c r="B8956" i="1"/>
  <c r="A8957" i="1"/>
  <c r="B8957" i="1"/>
  <c r="A8958" i="1"/>
  <c r="B8958" i="1"/>
  <c r="A8959" i="1"/>
  <c r="B8959" i="1"/>
  <c r="A8960" i="1"/>
  <c r="B8960" i="1"/>
  <c r="A8961" i="1"/>
  <c r="B8961" i="1"/>
  <c r="A8962" i="1"/>
  <c r="B8962" i="1"/>
  <c r="A8963" i="1"/>
  <c r="B8963" i="1"/>
  <c r="A8964" i="1"/>
  <c r="B8964" i="1"/>
  <c r="A8965" i="1"/>
  <c r="B8965" i="1"/>
  <c r="A8966" i="1"/>
  <c r="B8966" i="1"/>
  <c r="A8967" i="1"/>
  <c r="B8967" i="1"/>
  <c r="A8968" i="1"/>
  <c r="B8968" i="1"/>
  <c r="A8969" i="1"/>
  <c r="B8969" i="1"/>
  <c r="A8970" i="1"/>
  <c r="B8970" i="1"/>
  <c r="A8971" i="1"/>
  <c r="B8971" i="1"/>
  <c r="A8972" i="1"/>
  <c r="B8972" i="1"/>
  <c r="A8973" i="1"/>
  <c r="B8973" i="1"/>
  <c r="A8974" i="1"/>
  <c r="B8974" i="1"/>
  <c r="A8975" i="1"/>
  <c r="B8975" i="1"/>
  <c r="A8976" i="1"/>
  <c r="B8976" i="1"/>
  <c r="A8977" i="1"/>
  <c r="B8977" i="1"/>
  <c r="A8978" i="1"/>
  <c r="B8978" i="1"/>
  <c r="A8979" i="1"/>
  <c r="B8979" i="1"/>
  <c r="A8980" i="1"/>
  <c r="B8980" i="1"/>
  <c r="A8981" i="1"/>
  <c r="B8981" i="1"/>
  <c r="A8982" i="1"/>
  <c r="B8982" i="1"/>
  <c r="A8983" i="1"/>
  <c r="B8983" i="1"/>
  <c r="A8984" i="1"/>
  <c r="B8984" i="1"/>
  <c r="A8985" i="1"/>
  <c r="B8985" i="1"/>
  <c r="A8986" i="1"/>
  <c r="B8986" i="1"/>
  <c r="A8987" i="1"/>
  <c r="B8987" i="1"/>
  <c r="A8988" i="1"/>
  <c r="B8988" i="1"/>
  <c r="A8989" i="1"/>
  <c r="B8989" i="1"/>
  <c r="A8990" i="1"/>
  <c r="B8990" i="1"/>
  <c r="A8991" i="1"/>
  <c r="B8991" i="1"/>
  <c r="A8992" i="1"/>
  <c r="B8992" i="1"/>
  <c r="A8993" i="1"/>
  <c r="B8993" i="1"/>
  <c r="A8994" i="1"/>
  <c r="B8994" i="1"/>
  <c r="A8995" i="1"/>
  <c r="B8995" i="1"/>
  <c r="A8996" i="1"/>
  <c r="B8996" i="1"/>
  <c r="A8997" i="1"/>
  <c r="B8997" i="1"/>
  <c r="A8998" i="1"/>
  <c r="B8998" i="1"/>
  <c r="A8999" i="1"/>
  <c r="B8999" i="1"/>
  <c r="A9000" i="1"/>
  <c r="B9000" i="1"/>
  <c r="A9001" i="1"/>
  <c r="B9001" i="1"/>
  <c r="A9002" i="1"/>
  <c r="B9002" i="1"/>
  <c r="A9003" i="1"/>
  <c r="B9003" i="1"/>
  <c r="A9004" i="1"/>
  <c r="B9004" i="1"/>
  <c r="A9005" i="1"/>
  <c r="B9005" i="1"/>
  <c r="A9006" i="1"/>
  <c r="B9006" i="1"/>
  <c r="A9007" i="1"/>
  <c r="B9007" i="1"/>
  <c r="A9008" i="1"/>
  <c r="B9008" i="1"/>
  <c r="A9009" i="1"/>
  <c r="B9009" i="1"/>
  <c r="A9010" i="1"/>
  <c r="B9010" i="1"/>
  <c r="A9011" i="1"/>
  <c r="B9011" i="1"/>
  <c r="A9012" i="1"/>
  <c r="B9012" i="1"/>
  <c r="A9013" i="1"/>
  <c r="B9013" i="1"/>
  <c r="A9014" i="1"/>
  <c r="B9014" i="1"/>
  <c r="A9015" i="1"/>
  <c r="B9015" i="1"/>
  <c r="A9016" i="1"/>
  <c r="B9016" i="1"/>
  <c r="A9017" i="1"/>
  <c r="B9017" i="1"/>
  <c r="A9018" i="1"/>
  <c r="B9018" i="1"/>
  <c r="A9019" i="1"/>
  <c r="B9019" i="1"/>
  <c r="A9020" i="1"/>
  <c r="B9020" i="1"/>
  <c r="A9021" i="1"/>
  <c r="B9021" i="1"/>
  <c r="A9022" i="1"/>
  <c r="B9022" i="1"/>
  <c r="A9023" i="1"/>
  <c r="B9023" i="1"/>
  <c r="A9024" i="1"/>
  <c r="B9024" i="1"/>
  <c r="A9025" i="1"/>
  <c r="B9025" i="1"/>
  <c r="A9026" i="1"/>
  <c r="B9026" i="1"/>
  <c r="A9027" i="1"/>
  <c r="B9027" i="1"/>
  <c r="A9028" i="1"/>
  <c r="B9028" i="1"/>
  <c r="A9029" i="1"/>
  <c r="B9029" i="1"/>
  <c r="A9030" i="1"/>
  <c r="B9030" i="1"/>
  <c r="A9031" i="1"/>
  <c r="B9031" i="1"/>
  <c r="A9032" i="1"/>
  <c r="B9032" i="1"/>
  <c r="A9033" i="1"/>
  <c r="B9033" i="1"/>
  <c r="A9034" i="1"/>
  <c r="B9034" i="1"/>
  <c r="A9035" i="1"/>
  <c r="B9035" i="1"/>
  <c r="A9036" i="1"/>
  <c r="B9036" i="1"/>
  <c r="A9037" i="1"/>
  <c r="B9037" i="1"/>
  <c r="A9038" i="1"/>
  <c r="B9038" i="1"/>
  <c r="A9039" i="1"/>
  <c r="B9039" i="1"/>
  <c r="A9040" i="1"/>
  <c r="B9040" i="1"/>
  <c r="A9041" i="1"/>
  <c r="B9041" i="1"/>
  <c r="A9042" i="1"/>
  <c r="B9042" i="1"/>
  <c r="A9043" i="1"/>
  <c r="B9043" i="1"/>
  <c r="A9044" i="1"/>
  <c r="B9044" i="1"/>
  <c r="A9045" i="1"/>
  <c r="B9045" i="1"/>
  <c r="A9046" i="1"/>
  <c r="B9046" i="1"/>
  <c r="A9047" i="1"/>
  <c r="B9047" i="1"/>
  <c r="A9048" i="1"/>
  <c r="B9048" i="1"/>
  <c r="A9049" i="1"/>
  <c r="B9049" i="1"/>
  <c r="A9050" i="1"/>
  <c r="B9050" i="1"/>
  <c r="A9051" i="1"/>
  <c r="B9051" i="1"/>
  <c r="A9052" i="1"/>
  <c r="B9052" i="1"/>
  <c r="A9053" i="1"/>
  <c r="B9053" i="1"/>
  <c r="A9054" i="1"/>
  <c r="B9054" i="1"/>
  <c r="A9055" i="1"/>
  <c r="B9055" i="1"/>
  <c r="A9056" i="1"/>
  <c r="B9056" i="1"/>
  <c r="A9057" i="1"/>
  <c r="B9057" i="1"/>
  <c r="A9058" i="1"/>
  <c r="B9058" i="1"/>
  <c r="A9059" i="1"/>
  <c r="B9059" i="1"/>
  <c r="A9060" i="1"/>
  <c r="B9060" i="1"/>
  <c r="A9061" i="1"/>
  <c r="B9061" i="1"/>
  <c r="A9062" i="1"/>
  <c r="B9062" i="1"/>
  <c r="A9063" i="1"/>
  <c r="B9063" i="1"/>
  <c r="A9064" i="1"/>
  <c r="B9064" i="1"/>
  <c r="A9065" i="1"/>
  <c r="B9065" i="1"/>
  <c r="A9066" i="1"/>
  <c r="B9066" i="1"/>
  <c r="A9067" i="1"/>
  <c r="B9067" i="1"/>
  <c r="A9068" i="1"/>
  <c r="B9068" i="1"/>
  <c r="A9069" i="1"/>
  <c r="B9069" i="1"/>
  <c r="A9070" i="1"/>
  <c r="B9070" i="1"/>
  <c r="A9071" i="1"/>
  <c r="B9071" i="1"/>
  <c r="A9072" i="1"/>
  <c r="B9072" i="1"/>
  <c r="A9073" i="1"/>
  <c r="B9073" i="1"/>
  <c r="A9074" i="1"/>
  <c r="B9074" i="1"/>
  <c r="A9075" i="1"/>
  <c r="B9075" i="1"/>
  <c r="A9076" i="1"/>
  <c r="B9076" i="1"/>
  <c r="A9077" i="1"/>
  <c r="B9077" i="1"/>
  <c r="A9078" i="1"/>
  <c r="B9078" i="1"/>
  <c r="A9079" i="1"/>
  <c r="B9079" i="1"/>
  <c r="A9080" i="1"/>
  <c r="B9080" i="1"/>
  <c r="A9081" i="1"/>
  <c r="B9081" i="1"/>
  <c r="A9082" i="1"/>
  <c r="B9082" i="1"/>
  <c r="A9083" i="1"/>
  <c r="B9083" i="1"/>
  <c r="A9084" i="1"/>
  <c r="B9084" i="1"/>
  <c r="A9085" i="1"/>
  <c r="B9085" i="1"/>
  <c r="A9086" i="1"/>
  <c r="B9086" i="1"/>
  <c r="A9087" i="1"/>
  <c r="B9087" i="1"/>
  <c r="A9088" i="1"/>
  <c r="B9088" i="1"/>
  <c r="A9089" i="1"/>
  <c r="B9089" i="1"/>
  <c r="A9090" i="1"/>
  <c r="B9090" i="1"/>
  <c r="A9091" i="1"/>
  <c r="B9091" i="1"/>
  <c r="A9092" i="1"/>
  <c r="B9092" i="1"/>
  <c r="A9093" i="1"/>
  <c r="B9093" i="1"/>
  <c r="A9094" i="1"/>
  <c r="B9094" i="1"/>
  <c r="A9095" i="1"/>
  <c r="B9095" i="1"/>
  <c r="A9096" i="1"/>
  <c r="B9096" i="1"/>
  <c r="A9097" i="1"/>
  <c r="B9097" i="1"/>
  <c r="A9098" i="1"/>
  <c r="B9098" i="1"/>
  <c r="A9099" i="1"/>
  <c r="B9099" i="1"/>
  <c r="A9100" i="1"/>
  <c r="B9100" i="1"/>
  <c r="A9101" i="1"/>
  <c r="B9101" i="1"/>
  <c r="A9102" i="1"/>
  <c r="B9102" i="1"/>
  <c r="A9103" i="1"/>
  <c r="B9103" i="1"/>
  <c r="A9104" i="1"/>
  <c r="B9104" i="1"/>
  <c r="A9105" i="1"/>
  <c r="B9105" i="1"/>
  <c r="A9106" i="1"/>
  <c r="B9106" i="1"/>
  <c r="A9107" i="1"/>
  <c r="B9107" i="1"/>
  <c r="A9108" i="1"/>
  <c r="B9108" i="1"/>
  <c r="A9109" i="1"/>
  <c r="B9109" i="1"/>
  <c r="A9110" i="1"/>
  <c r="B9110" i="1"/>
  <c r="A9111" i="1"/>
  <c r="B9111" i="1"/>
  <c r="A9112" i="1"/>
  <c r="B9112" i="1"/>
  <c r="A9113" i="1"/>
  <c r="B9113" i="1"/>
  <c r="A9114" i="1"/>
  <c r="B9114" i="1"/>
  <c r="A9115" i="1"/>
  <c r="B9115" i="1"/>
  <c r="A9116" i="1"/>
  <c r="B9116" i="1"/>
  <c r="A9117" i="1"/>
  <c r="B9117" i="1"/>
  <c r="A9118" i="1"/>
  <c r="B9118" i="1"/>
  <c r="A9119" i="1"/>
  <c r="B9119" i="1"/>
  <c r="A9120" i="1"/>
  <c r="B9120" i="1"/>
  <c r="A9121" i="1"/>
  <c r="B9121" i="1"/>
  <c r="A9122" i="1"/>
  <c r="B9122" i="1"/>
  <c r="A9123" i="1"/>
  <c r="B9123" i="1"/>
  <c r="A9124" i="1"/>
  <c r="B9124" i="1"/>
  <c r="A9125" i="1"/>
  <c r="B9125" i="1"/>
  <c r="A9126" i="1"/>
  <c r="B9126" i="1"/>
  <c r="A9127" i="1"/>
  <c r="B9127" i="1"/>
  <c r="A9128" i="1"/>
  <c r="B9128" i="1"/>
  <c r="A9129" i="1"/>
  <c r="B9129" i="1"/>
  <c r="A9130" i="1"/>
  <c r="B9130" i="1"/>
  <c r="A9131" i="1"/>
  <c r="B9131" i="1"/>
  <c r="A9132" i="1"/>
  <c r="B9132" i="1"/>
  <c r="A9133" i="1"/>
  <c r="B9133" i="1"/>
  <c r="A9134" i="1"/>
  <c r="B9134" i="1"/>
  <c r="A9135" i="1"/>
  <c r="B9135" i="1"/>
  <c r="A9136" i="1"/>
  <c r="B9136" i="1"/>
  <c r="A9137" i="1"/>
  <c r="B9137" i="1"/>
  <c r="A9138" i="1"/>
  <c r="B9138" i="1"/>
  <c r="A9139" i="1"/>
  <c r="B9139" i="1"/>
  <c r="A9140" i="1"/>
  <c r="B9140" i="1"/>
  <c r="A9141" i="1"/>
  <c r="B9141" i="1"/>
  <c r="A9142" i="1"/>
  <c r="B9142" i="1"/>
  <c r="A9143" i="1"/>
  <c r="B9143" i="1"/>
  <c r="A9144" i="1"/>
  <c r="B9144" i="1"/>
  <c r="A9145" i="1"/>
  <c r="B9145" i="1"/>
  <c r="A9146" i="1"/>
  <c r="B9146" i="1"/>
  <c r="A9147" i="1"/>
  <c r="B9147" i="1"/>
  <c r="A9148" i="1"/>
  <c r="B9148" i="1"/>
  <c r="A9149" i="1"/>
  <c r="B9149" i="1"/>
  <c r="A9150" i="1"/>
  <c r="B9150" i="1"/>
  <c r="A9151" i="1"/>
  <c r="B9151" i="1"/>
  <c r="A9152" i="1"/>
  <c r="B9152" i="1"/>
  <c r="A9153" i="1"/>
  <c r="B9153" i="1"/>
  <c r="A9154" i="1"/>
  <c r="B9154" i="1"/>
  <c r="B9155" i="1"/>
  <c r="A9156" i="1"/>
  <c r="B9156" i="1"/>
  <c r="A9157" i="1"/>
  <c r="B9157" i="1"/>
  <c r="A9158" i="1"/>
  <c r="B9158" i="1"/>
  <c r="A9159" i="1"/>
  <c r="B9159" i="1"/>
  <c r="A9160" i="1"/>
  <c r="B9160" i="1"/>
  <c r="A9161" i="1"/>
  <c r="B9161" i="1"/>
  <c r="A9162" i="1"/>
  <c r="B9162" i="1"/>
  <c r="A9163" i="1"/>
  <c r="B9163" i="1"/>
  <c r="A9164" i="1"/>
  <c r="B9164" i="1"/>
  <c r="A9165" i="1"/>
  <c r="B9165" i="1"/>
  <c r="A9166" i="1"/>
  <c r="B9166" i="1"/>
  <c r="A9167" i="1"/>
  <c r="B9167" i="1"/>
  <c r="A9168" i="1"/>
  <c r="B9168" i="1"/>
  <c r="A9169" i="1"/>
  <c r="B9169" i="1"/>
  <c r="A9170" i="1"/>
  <c r="B9170" i="1"/>
  <c r="A9171" i="1"/>
  <c r="B9171" i="1"/>
  <c r="A9172" i="1"/>
  <c r="B9172" i="1"/>
  <c r="A9173" i="1"/>
  <c r="B9173" i="1"/>
  <c r="A9174" i="1"/>
  <c r="B9174" i="1"/>
  <c r="A9175" i="1"/>
  <c r="B9175" i="1"/>
  <c r="A9176" i="1"/>
  <c r="B9176" i="1"/>
  <c r="A9177" i="1"/>
  <c r="B9177" i="1"/>
  <c r="A9178" i="1"/>
  <c r="B9178" i="1"/>
  <c r="A9179" i="1"/>
  <c r="B9179" i="1"/>
  <c r="A9180" i="1"/>
  <c r="B9180" i="1"/>
  <c r="A9181" i="1"/>
  <c r="B9181" i="1"/>
  <c r="A9182" i="1"/>
  <c r="B9182" i="1"/>
  <c r="A9183" i="1"/>
  <c r="B9183" i="1"/>
  <c r="A9184" i="1"/>
  <c r="B9184" i="1"/>
  <c r="A9185" i="1"/>
  <c r="B9185" i="1"/>
  <c r="A9186" i="1"/>
  <c r="B9186" i="1"/>
  <c r="A9187" i="1"/>
  <c r="B9187" i="1"/>
  <c r="A9188" i="1"/>
  <c r="B9188" i="1"/>
  <c r="A9189" i="1"/>
  <c r="B9189" i="1"/>
  <c r="A9190" i="1"/>
  <c r="B9190" i="1"/>
  <c r="A9191" i="1"/>
  <c r="B9191" i="1"/>
  <c r="A9192" i="1"/>
  <c r="B9192" i="1"/>
  <c r="A9193" i="1"/>
  <c r="B9193" i="1"/>
  <c r="A9194" i="1"/>
  <c r="B9194" i="1"/>
  <c r="A9195" i="1"/>
  <c r="B9195" i="1"/>
  <c r="A9196" i="1"/>
  <c r="B9196" i="1"/>
  <c r="A9197" i="1"/>
  <c r="B9197" i="1"/>
  <c r="A9198" i="1"/>
  <c r="B9198" i="1"/>
  <c r="A9199" i="1"/>
  <c r="B9199" i="1"/>
  <c r="A9200" i="1"/>
  <c r="B9200" i="1"/>
  <c r="A9201" i="1"/>
  <c r="B9201" i="1"/>
  <c r="A9202" i="1"/>
  <c r="B9202" i="1"/>
  <c r="A9203" i="1"/>
  <c r="B9203" i="1"/>
  <c r="A9204" i="1"/>
  <c r="B9204" i="1"/>
  <c r="A9205" i="1"/>
  <c r="B9205" i="1"/>
  <c r="A9206" i="1"/>
  <c r="B9206" i="1"/>
  <c r="A9207" i="1"/>
  <c r="B9207" i="1"/>
  <c r="A9208" i="1"/>
  <c r="B9208" i="1"/>
  <c r="A9209" i="1"/>
  <c r="B9209" i="1"/>
  <c r="A9210" i="1"/>
  <c r="B9210" i="1"/>
  <c r="A9211" i="1"/>
  <c r="B9211" i="1"/>
  <c r="A9212" i="1"/>
  <c r="B9212" i="1"/>
  <c r="A9213" i="1"/>
  <c r="B9213" i="1"/>
  <c r="A9214" i="1"/>
  <c r="B9214" i="1"/>
  <c r="A9215" i="1"/>
  <c r="B9215" i="1"/>
  <c r="A9216" i="1"/>
  <c r="B9216" i="1"/>
  <c r="A9217" i="1"/>
  <c r="B9217" i="1"/>
  <c r="A9218" i="1"/>
  <c r="B9218" i="1"/>
  <c r="A9219" i="1"/>
  <c r="B9219" i="1"/>
  <c r="A9220" i="1"/>
  <c r="B9220" i="1"/>
  <c r="A9221" i="1"/>
  <c r="B9221" i="1"/>
  <c r="A9222" i="1"/>
  <c r="B9222" i="1"/>
  <c r="A9223" i="1"/>
  <c r="B9223" i="1"/>
  <c r="A9224" i="1"/>
  <c r="B9224" i="1"/>
  <c r="A9225" i="1"/>
  <c r="B9225" i="1"/>
  <c r="A9226" i="1"/>
  <c r="B9226" i="1"/>
  <c r="A9227" i="1"/>
  <c r="B9227" i="1"/>
  <c r="A9228" i="1"/>
  <c r="B9228" i="1"/>
  <c r="A9229" i="1"/>
  <c r="B9229" i="1"/>
  <c r="A9230" i="1"/>
  <c r="B9230" i="1"/>
  <c r="A9231" i="1"/>
  <c r="B9231" i="1"/>
  <c r="A9232" i="1"/>
  <c r="B9232" i="1"/>
  <c r="B9233" i="1"/>
  <c r="A9234" i="1"/>
  <c r="B9234" i="1"/>
  <c r="A9235" i="1"/>
  <c r="B9235" i="1"/>
  <c r="A9236" i="1"/>
  <c r="B9236" i="1"/>
  <c r="A9237" i="1"/>
  <c r="B9237" i="1"/>
  <c r="A9238" i="1"/>
  <c r="B9238" i="1"/>
  <c r="A9239" i="1"/>
  <c r="B9239" i="1"/>
  <c r="A9240" i="1"/>
  <c r="B9240" i="1"/>
  <c r="A9241" i="1"/>
  <c r="B9241" i="1"/>
  <c r="A9242" i="1"/>
  <c r="B9242" i="1"/>
  <c r="B9243" i="1"/>
  <c r="A9244" i="1"/>
  <c r="B9244" i="1"/>
  <c r="A9245" i="1"/>
  <c r="B9245" i="1"/>
  <c r="A9246" i="1"/>
  <c r="B9246" i="1"/>
  <c r="A9247" i="1"/>
  <c r="B9247" i="1"/>
  <c r="A9248" i="1"/>
  <c r="B9248" i="1"/>
  <c r="B9249" i="1"/>
  <c r="A9250" i="1"/>
  <c r="B9250" i="1"/>
  <c r="A9251" i="1"/>
  <c r="B9251" i="1"/>
  <c r="A9252" i="1"/>
  <c r="B9252" i="1"/>
  <c r="A9253" i="1"/>
  <c r="B9253" i="1"/>
  <c r="A9254" i="1"/>
  <c r="B9254" i="1"/>
  <c r="B9255" i="1"/>
  <c r="A9256" i="1"/>
  <c r="B9256" i="1"/>
  <c r="A9257" i="1"/>
  <c r="B9257" i="1"/>
  <c r="B9258" i="1"/>
  <c r="A9259" i="1"/>
  <c r="B9259" i="1"/>
  <c r="A9260" i="1"/>
  <c r="B9260" i="1"/>
  <c r="A9261" i="1"/>
  <c r="B9261" i="1"/>
  <c r="A9262" i="1"/>
  <c r="B9262" i="1"/>
  <c r="A9263" i="1"/>
  <c r="B9263" i="1"/>
  <c r="A9264" i="1"/>
  <c r="B9264" i="1"/>
  <c r="A9265" i="1"/>
  <c r="B9265" i="1"/>
  <c r="A9266" i="1"/>
  <c r="B9266" i="1"/>
  <c r="A9267" i="1"/>
  <c r="B9267" i="1"/>
  <c r="A9268" i="1"/>
  <c r="B9268" i="1"/>
  <c r="A9269" i="1"/>
  <c r="B9269" i="1"/>
  <c r="A9270" i="1"/>
  <c r="B9270" i="1"/>
  <c r="A9271" i="1"/>
  <c r="B9271" i="1"/>
  <c r="A9272" i="1"/>
  <c r="B9272" i="1"/>
  <c r="A9273" i="1"/>
  <c r="B9273" i="1"/>
  <c r="A9274" i="1"/>
  <c r="B9274" i="1"/>
  <c r="A9275" i="1"/>
  <c r="B9275" i="1"/>
  <c r="A9276" i="1"/>
  <c r="B9276" i="1"/>
  <c r="A9277" i="1"/>
  <c r="B9277" i="1"/>
  <c r="A9278" i="1"/>
  <c r="B9278" i="1"/>
  <c r="B9279" i="1"/>
  <c r="A9280" i="1"/>
  <c r="B9280" i="1"/>
  <c r="A9281" i="1"/>
  <c r="B9281" i="1"/>
  <c r="A9282" i="1"/>
  <c r="B9282" i="1"/>
  <c r="A9283" i="1"/>
  <c r="B9283" i="1"/>
  <c r="A9284" i="1"/>
  <c r="B9284" i="1"/>
  <c r="A9285" i="1"/>
  <c r="B9285" i="1"/>
  <c r="A9286" i="1"/>
  <c r="B9286" i="1"/>
  <c r="A9287" i="1"/>
  <c r="B9287" i="1"/>
  <c r="A9288" i="1"/>
  <c r="B9288" i="1"/>
  <c r="A9289" i="1"/>
  <c r="B9289" i="1"/>
  <c r="A9290" i="1"/>
  <c r="B9290" i="1"/>
  <c r="A9291" i="1"/>
  <c r="B9291" i="1"/>
  <c r="A9292" i="1"/>
  <c r="B9292" i="1"/>
  <c r="A9293" i="1"/>
  <c r="B9293" i="1"/>
  <c r="A9294" i="1"/>
  <c r="B9294" i="1"/>
  <c r="A9295" i="1"/>
  <c r="B9295" i="1"/>
  <c r="A9296" i="1"/>
  <c r="B9296" i="1"/>
  <c r="A9297" i="1"/>
  <c r="B9297" i="1"/>
  <c r="A9298" i="1"/>
  <c r="B9298" i="1"/>
  <c r="A9299" i="1"/>
  <c r="B9299" i="1"/>
  <c r="A9300" i="1"/>
  <c r="B9300" i="1"/>
  <c r="A9301" i="1"/>
  <c r="B9301" i="1"/>
  <c r="A9302" i="1"/>
  <c r="B9302" i="1"/>
  <c r="A9303" i="1"/>
  <c r="B9303" i="1"/>
  <c r="A9304" i="1"/>
  <c r="B9304" i="1"/>
  <c r="A9305" i="1"/>
  <c r="B9305" i="1"/>
  <c r="A9306" i="1"/>
  <c r="B9306" i="1"/>
  <c r="A9307" i="1"/>
  <c r="B9307" i="1"/>
  <c r="A9308" i="1"/>
  <c r="B9308" i="1"/>
  <c r="A9309" i="1"/>
  <c r="B9309" i="1"/>
  <c r="A9310" i="1"/>
  <c r="B9310" i="1"/>
  <c r="A9311" i="1"/>
  <c r="B9311" i="1"/>
  <c r="A9312" i="1"/>
  <c r="B9312" i="1"/>
  <c r="A9313" i="1"/>
  <c r="B9313" i="1"/>
  <c r="A9314" i="1"/>
  <c r="B9314" i="1"/>
  <c r="A9315" i="1"/>
  <c r="B9315" i="1"/>
  <c r="A9316" i="1"/>
  <c r="B9316" i="1"/>
  <c r="A9317" i="1"/>
  <c r="B9317" i="1"/>
  <c r="A9318" i="1"/>
  <c r="B9318" i="1"/>
  <c r="A9319" i="1"/>
  <c r="B9319" i="1"/>
  <c r="A9320" i="1"/>
  <c r="B9320" i="1"/>
  <c r="A9321" i="1"/>
  <c r="B9321" i="1"/>
  <c r="A9322" i="1"/>
  <c r="B9322" i="1"/>
  <c r="A9323" i="1"/>
  <c r="B9323" i="1"/>
  <c r="A9324" i="1"/>
  <c r="B9324" i="1"/>
  <c r="A9325" i="1"/>
  <c r="B9325" i="1"/>
  <c r="B9326" i="1"/>
  <c r="A9327" i="1"/>
  <c r="B9327" i="1"/>
  <c r="A9328" i="1"/>
  <c r="B9328" i="1"/>
  <c r="A9329" i="1"/>
  <c r="B9329" i="1"/>
  <c r="A9330" i="1"/>
  <c r="B9330" i="1"/>
  <c r="A9331" i="1"/>
  <c r="B9331" i="1"/>
  <c r="A9332" i="1"/>
  <c r="B9332" i="1"/>
  <c r="A9333" i="1"/>
  <c r="B9333" i="1"/>
  <c r="A9334" i="1"/>
  <c r="B9334" i="1"/>
  <c r="B9335" i="1"/>
  <c r="A9336" i="1"/>
  <c r="B9336" i="1"/>
  <c r="A9337" i="1"/>
  <c r="B9337" i="1"/>
  <c r="A9338" i="1"/>
  <c r="B9338" i="1"/>
  <c r="A9339" i="1"/>
  <c r="B9339" i="1"/>
  <c r="A9340" i="1"/>
  <c r="B9340" i="1"/>
  <c r="A9341" i="1"/>
  <c r="B9341" i="1"/>
  <c r="A9342" i="1"/>
  <c r="B9342" i="1"/>
  <c r="A9343" i="1"/>
  <c r="B9343" i="1"/>
  <c r="A9344" i="1"/>
  <c r="B9344" i="1"/>
  <c r="A9345" i="1"/>
  <c r="B9345" i="1"/>
  <c r="A9346" i="1"/>
  <c r="B9346" i="1"/>
  <c r="A9347" i="1"/>
  <c r="B9347" i="1"/>
  <c r="A9348" i="1"/>
  <c r="B9348" i="1"/>
  <c r="A9349" i="1"/>
  <c r="B9349" i="1"/>
  <c r="A9350" i="1"/>
  <c r="B9350" i="1"/>
  <c r="A9351" i="1"/>
  <c r="B9351" i="1"/>
  <c r="A9352" i="1"/>
  <c r="B9352" i="1"/>
  <c r="A9353" i="1"/>
  <c r="B9353" i="1"/>
  <c r="A9354" i="1"/>
  <c r="B9354" i="1"/>
  <c r="A9355" i="1"/>
  <c r="B9355" i="1"/>
  <c r="A9356" i="1"/>
  <c r="B9356" i="1"/>
  <c r="A9357" i="1"/>
  <c r="B9357" i="1"/>
  <c r="A9358" i="1"/>
  <c r="B9358" i="1"/>
  <c r="A9359" i="1"/>
  <c r="B9359" i="1"/>
  <c r="A9360" i="1"/>
  <c r="B9360" i="1"/>
  <c r="A9361" i="1"/>
  <c r="B9361" i="1"/>
  <c r="A9362" i="1"/>
  <c r="B9362" i="1"/>
  <c r="A9363" i="1"/>
  <c r="B9363" i="1"/>
  <c r="A9364" i="1"/>
  <c r="B9364" i="1"/>
  <c r="A9365" i="1"/>
  <c r="B9365" i="1"/>
  <c r="A9366" i="1"/>
  <c r="B9366" i="1"/>
  <c r="A9367" i="1"/>
  <c r="B9367" i="1"/>
  <c r="A9368" i="1"/>
  <c r="B9368" i="1"/>
  <c r="A9369" i="1"/>
  <c r="B9369" i="1"/>
  <c r="A9370" i="1"/>
  <c r="B9370" i="1"/>
  <c r="A9371" i="1"/>
  <c r="B9371" i="1"/>
  <c r="A9372" i="1"/>
  <c r="B9372" i="1"/>
  <c r="A9373" i="1"/>
  <c r="B9373" i="1"/>
  <c r="A9374" i="1"/>
  <c r="B9374" i="1"/>
  <c r="A9375" i="1"/>
  <c r="B9375" i="1"/>
  <c r="A9376" i="1"/>
  <c r="B9376" i="1"/>
  <c r="A9377" i="1"/>
  <c r="B9377" i="1"/>
  <c r="A9378" i="1"/>
  <c r="B9378" i="1"/>
  <c r="A9379" i="1"/>
  <c r="B9379" i="1"/>
  <c r="A9380" i="1"/>
  <c r="B9380" i="1"/>
  <c r="A9381" i="1"/>
  <c r="B9381" i="1"/>
  <c r="B9382" i="1"/>
  <c r="A9383" i="1"/>
  <c r="B9383" i="1"/>
  <c r="A9384" i="1"/>
  <c r="B9384" i="1"/>
  <c r="B9385" i="1"/>
  <c r="A9386" i="1"/>
  <c r="B9386" i="1"/>
  <c r="A9387" i="1"/>
  <c r="B9387" i="1"/>
  <c r="B9388" i="1"/>
  <c r="A9389" i="1"/>
  <c r="B9389" i="1"/>
  <c r="A9390" i="1"/>
  <c r="B9390" i="1"/>
  <c r="A9391" i="1"/>
  <c r="B9391" i="1"/>
  <c r="A9392" i="1"/>
  <c r="B9392" i="1"/>
  <c r="A9393" i="1"/>
  <c r="B9393" i="1"/>
  <c r="A9394" i="1"/>
  <c r="B9394" i="1"/>
  <c r="A9395" i="1"/>
  <c r="B9395" i="1"/>
  <c r="A9396" i="1"/>
  <c r="B9396" i="1"/>
  <c r="B9397" i="1"/>
  <c r="A9398" i="1"/>
  <c r="B9398" i="1"/>
  <c r="A9399" i="1"/>
  <c r="B9399" i="1"/>
  <c r="A9400" i="1"/>
  <c r="B9400" i="1"/>
  <c r="A9401" i="1"/>
  <c r="B9401" i="1"/>
  <c r="A9402" i="1"/>
  <c r="B9402" i="1"/>
  <c r="A9403" i="1"/>
  <c r="B9403" i="1"/>
  <c r="A9404" i="1"/>
  <c r="B9404" i="1"/>
  <c r="A9405" i="1"/>
  <c r="B9405" i="1"/>
  <c r="A9406" i="1"/>
  <c r="B9406" i="1"/>
  <c r="A9407" i="1"/>
  <c r="B9407" i="1"/>
  <c r="A9408" i="1"/>
  <c r="B9408" i="1"/>
  <c r="A9409" i="1"/>
  <c r="B9409" i="1"/>
  <c r="A9410" i="1"/>
  <c r="B9410" i="1"/>
  <c r="A9411" i="1"/>
  <c r="B9411" i="1"/>
  <c r="A9412" i="1"/>
  <c r="B9412" i="1"/>
  <c r="A9413" i="1"/>
  <c r="B9413" i="1"/>
  <c r="A9414" i="1"/>
  <c r="B9414" i="1"/>
  <c r="A9415" i="1"/>
  <c r="B9415" i="1"/>
  <c r="A9416" i="1"/>
  <c r="B9416" i="1"/>
  <c r="B9417" i="1"/>
  <c r="A9418" i="1"/>
  <c r="B9418" i="1"/>
  <c r="A9419" i="1"/>
  <c r="B9419" i="1"/>
  <c r="A9420" i="1"/>
  <c r="B9420" i="1"/>
  <c r="A9421" i="1"/>
  <c r="B9421" i="1"/>
  <c r="B9422" i="1"/>
  <c r="A9423" i="1"/>
  <c r="B9423" i="1"/>
  <c r="A9424" i="1"/>
  <c r="B9424" i="1"/>
  <c r="A9425" i="1"/>
  <c r="B9425" i="1"/>
  <c r="A9426" i="1"/>
  <c r="B9426" i="1"/>
  <c r="A9427" i="1"/>
  <c r="B9427" i="1"/>
  <c r="A9428" i="1"/>
  <c r="B9428" i="1"/>
  <c r="A9429" i="1"/>
  <c r="B9429" i="1"/>
  <c r="A9430" i="1"/>
  <c r="B9430" i="1"/>
  <c r="A9431" i="1"/>
  <c r="B9431" i="1"/>
  <c r="A9432" i="1"/>
  <c r="B9432" i="1"/>
  <c r="A9433" i="1"/>
  <c r="B9433" i="1"/>
  <c r="A9434" i="1"/>
  <c r="B9434" i="1"/>
  <c r="A9435" i="1"/>
  <c r="B9435" i="1"/>
  <c r="A9436" i="1"/>
  <c r="B9436" i="1"/>
  <c r="A9437" i="1"/>
  <c r="B9437" i="1"/>
  <c r="A9438" i="1"/>
  <c r="B9438" i="1"/>
  <c r="A9439" i="1"/>
  <c r="B9439" i="1"/>
  <c r="A9440" i="1"/>
  <c r="B9440" i="1"/>
  <c r="A9441" i="1"/>
  <c r="B9441" i="1"/>
  <c r="A9442" i="1"/>
  <c r="B9442" i="1"/>
  <c r="A9443" i="1"/>
  <c r="B9443" i="1"/>
  <c r="A9444" i="1"/>
  <c r="B9444" i="1"/>
  <c r="A9445" i="1"/>
  <c r="B9445" i="1"/>
  <c r="A9446" i="1"/>
  <c r="B9446" i="1"/>
  <c r="A9447" i="1"/>
  <c r="B9447" i="1"/>
  <c r="A9448" i="1"/>
  <c r="B9448" i="1"/>
  <c r="A9449" i="1"/>
  <c r="B9449" i="1"/>
  <c r="A9450" i="1"/>
  <c r="B9450" i="1"/>
  <c r="A9451" i="1"/>
  <c r="B9451" i="1"/>
  <c r="A9452" i="1"/>
  <c r="B9452" i="1"/>
  <c r="A9453" i="1"/>
  <c r="B9453" i="1"/>
  <c r="A9454" i="1"/>
  <c r="B9454" i="1"/>
  <c r="A9455" i="1"/>
  <c r="B9455" i="1"/>
  <c r="A9456" i="1"/>
  <c r="B9456" i="1"/>
  <c r="A9457" i="1"/>
  <c r="B9457" i="1"/>
  <c r="A9458" i="1"/>
  <c r="B9458" i="1"/>
  <c r="A9459" i="1"/>
  <c r="B9459" i="1"/>
  <c r="A9460" i="1"/>
  <c r="B9460" i="1"/>
  <c r="A9461" i="1"/>
  <c r="B9461" i="1"/>
  <c r="B9462" i="1"/>
  <c r="A9463" i="1"/>
  <c r="B9463" i="1"/>
  <c r="A9464" i="1"/>
  <c r="B9464" i="1"/>
  <c r="A9465" i="1"/>
  <c r="B9465" i="1"/>
  <c r="B9466" i="1"/>
  <c r="A9467" i="1"/>
  <c r="B9467" i="1"/>
  <c r="A9468" i="1"/>
  <c r="B9468" i="1"/>
  <c r="B9469" i="1"/>
  <c r="A9470" i="1"/>
  <c r="B9470" i="1"/>
  <c r="A9471" i="1"/>
  <c r="B9471" i="1"/>
  <c r="A9472" i="1"/>
  <c r="B9472" i="1"/>
  <c r="A9473" i="1"/>
  <c r="B9473" i="1"/>
  <c r="A9474" i="1"/>
  <c r="B9474" i="1"/>
  <c r="A9475" i="1"/>
  <c r="B9475" i="1"/>
  <c r="A9476" i="1"/>
  <c r="B9476" i="1"/>
  <c r="A9477" i="1"/>
  <c r="B9477" i="1"/>
  <c r="A9478" i="1"/>
  <c r="B9478" i="1"/>
  <c r="A9479" i="1"/>
  <c r="B9479" i="1"/>
  <c r="A9480" i="1"/>
  <c r="B9480" i="1"/>
  <c r="A9481" i="1"/>
  <c r="B9481" i="1"/>
  <c r="A9482" i="1"/>
  <c r="B9482" i="1"/>
  <c r="A9483" i="1"/>
  <c r="B9483" i="1"/>
  <c r="A9484" i="1"/>
  <c r="B9484" i="1"/>
  <c r="A9485" i="1"/>
  <c r="B9485" i="1"/>
  <c r="A9486" i="1"/>
  <c r="B9486" i="1"/>
  <c r="A9487" i="1"/>
  <c r="B9487" i="1"/>
  <c r="A9488" i="1"/>
  <c r="B9488" i="1"/>
  <c r="A9489" i="1"/>
  <c r="B9489" i="1"/>
  <c r="A9490" i="1"/>
  <c r="B9490" i="1"/>
  <c r="A9491" i="1"/>
  <c r="B9491" i="1"/>
  <c r="A9492" i="1"/>
  <c r="B9492" i="1"/>
  <c r="A9493" i="1"/>
  <c r="B9493" i="1"/>
  <c r="A9494" i="1"/>
  <c r="B9494" i="1"/>
  <c r="A9495" i="1"/>
  <c r="B9495" i="1"/>
  <c r="A9496" i="1"/>
  <c r="B9496" i="1"/>
  <c r="A9497" i="1"/>
  <c r="B9497" i="1"/>
  <c r="A9498" i="1"/>
  <c r="B9498" i="1"/>
  <c r="A9499" i="1"/>
  <c r="B9499" i="1"/>
  <c r="A9500" i="1"/>
  <c r="B9500" i="1"/>
  <c r="A9501" i="1"/>
  <c r="B9501" i="1"/>
  <c r="A9502" i="1"/>
  <c r="B9502" i="1"/>
  <c r="A9503" i="1"/>
  <c r="B9503" i="1"/>
  <c r="A9504" i="1"/>
  <c r="B9504" i="1"/>
  <c r="A9505" i="1"/>
  <c r="B9505" i="1"/>
  <c r="A9506" i="1"/>
  <c r="B9506" i="1"/>
  <c r="A9507" i="1"/>
  <c r="B9507" i="1"/>
  <c r="A9508" i="1"/>
  <c r="B9508" i="1"/>
  <c r="A9509" i="1"/>
  <c r="B9509" i="1"/>
  <c r="A9510" i="1"/>
  <c r="B9510" i="1"/>
  <c r="A9511" i="1"/>
  <c r="B9511" i="1"/>
  <c r="A9512" i="1"/>
  <c r="B9512" i="1"/>
  <c r="A9513" i="1"/>
  <c r="B9513" i="1"/>
  <c r="A9514" i="1"/>
  <c r="B9514" i="1"/>
  <c r="A9515" i="1"/>
  <c r="B9515" i="1"/>
  <c r="A9516" i="1"/>
  <c r="B9516" i="1"/>
  <c r="A9517" i="1"/>
  <c r="B9517" i="1"/>
  <c r="A9518" i="1"/>
  <c r="B9518" i="1"/>
  <c r="A9519" i="1"/>
  <c r="B9519" i="1"/>
  <c r="A9520" i="1"/>
  <c r="B9520" i="1"/>
  <c r="A9521" i="1"/>
  <c r="B9521" i="1"/>
  <c r="A9522" i="1"/>
  <c r="B9522" i="1"/>
  <c r="A9523" i="1"/>
  <c r="B9523" i="1"/>
  <c r="A9524" i="1"/>
  <c r="B9524" i="1"/>
  <c r="A9525" i="1"/>
  <c r="B9525" i="1"/>
  <c r="A9526" i="1"/>
  <c r="B9526" i="1"/>
  <c r="A9527" i="1"/>
  <c r="B9527" i="1"/>
  <c r="A9528" i="1"/>
  <c r="B9528" i="1"/>
  <c r="A9529" i="1"/>
  <c r="B9529" i="1"/>
  <c r="A9530" i="1"/>
  <c r="B9530" i="1"/>
  <c r="A9531" i="1"/>
  <c r="B9531" i="1"/>
  <c r="A9532" i="1"/>
  <c r="B9532" i="1"/>
  <c r="A9533" i="1"/>
  <c r="B9533" i="1"/>
  <c r="A9534" i="1"/>
  <c r="B9534" i="1"/>
  <c r="B9535" i="1"/>
  <c r="A9536" i="1"/>
  <c r="B9536" i="1"/>
  <c r="A9537" i="1"/>
  <c r="B9537" i="1"/>
  <c r="A9538" i="1"/>
  <c r="B9538" i="1"/>
  <c r="A9539" i="1"/>
  <c r="B9539" i="1"/>
  <c r="A9540" i="1"/>
  <c r="B9540" i="1"/>
  <c r="A9541" i="1"/>
  <c r="B9541" i="1"/>
  <c r="A9542" i="1"/>
  <c r="B9542" i="1"/>
  <c r="A9543" i="1"/>
  <c r="B9543" i="1"/>
  <c r="A9544" i="1"/>
  <c r="B9544" i="1"/>
  <c r="A9545" i="1"/>
  <c r="B9545" i="1"/>
  <c r="A9546" i="1"/>
  <c r="B9546" i="1"/>
  <c r="A9547" i="1"/>
  <c r="B9547" i="1"/>
  <c r="A9548" i="1"/>
  <c r="B9548" i="1"/>
  <c r="A9549" i="1"/>
  <c r="B9549" i="1"/>
  <c r="A9550" i="1"/>
  <c r="B9550" i="1"/>
  <c r="A9551" i="1"/>
  <c r="B9551" i="1"/>
  <c r="A9552" i="1"/>
  <c r="B9552" i="1"/>
  <c r="A9553" i="1"/>
  <c r="B9553" i="1"/>
  <c r="A9554" i="1"/>
  <c r="B9554" i="1"/>
  <c r="A9555" i="1"/>
  <c r="B9555" i="1"/>
  <c r="A9556" i="1"/>
  <c r="B9556" i="1"/>
  <c r="A9557" i="1"/>
  <c r="B9557" i="1"/>
  <c r="A9558" i="1"/>
  <c r="B9558" i="1"/>
  <c r="A9559" i="1"/>
  <c r="B9559" i="1"/>
  <c r="A9560" i="1"/>
  <c r="B9560" i="1"/>
  <c r="A9561" i="1"/>
  <c r="B9561" i="1"/>
  <c r="A9562" i="1"/>
  <c r="B9562" i="1"/>
  <c r="A9563" i="1"/>
  <c r="B9563" i="1"/>
  <c r="A9564" i="1"/>
  <c r="B9564" i="1"/>
  <c r="A9565" i="1"/>
  <c r="B9565" i="1"/>
  <c r="A9566" i="1"/>
  <c r="B9566" i="1"/>
  <c r="A9567" i="1"/>
  <c r="B9567" i="1"/>
  <c r="A9568" i="1"/>
  <c r="B9568" i="1"/>
  <c r="A9569" i="1"/>
  <c r="B9569" i="1"/>
  <c r="A9570" i="1"/>
  <c r="B9570" i="1"/>
  <c r="A9571" i="1"/>
  <c r="B9571" i="1"/>
  <c r="A9572" i="1"/>
  <c r="B9572" i="1"/>
  <c r="A9573" i="1"/>
  <c r="B9573" i="1"/>
  <c r="A9574" i="1"/>
  <c r="B9574" i="1"/>
  <c r="A9575" i="1"/>
  <c r="B9575" i="1"/>
  <c r="A9576" i="1"/>
  <c r="B9576" i="1"/>
  <c r="A9577" i="1"/>
  <c r="B9577" i="1"/>
  <c r="A9578" i="1"/>
  <c r="B9578" i="1"/>
  <c r="A9579" i="1"/>
  <c r="B9579" i="1"/>
  <c r="A9580" i="1"/>
  <c r="B9580" i="1"/>
  <c r="A9581" i="1"/>
  <c r="B9581" i="1"/>
  <c r="A9582" i="1"/>
  <c r="B9582" i="1"/>
  <c r="A9583" i="1"/>
  <c r="B9583" i="1"/>
  <c r="A9584" i="1"/>
  <c r="B9584" i="1"/>
  <c r="A9585" i="1"/>
  <c r="B9585" i="1"/>
  <c r="A9586" i="1"/>
  <c r="B9586" i="1"/>
  <c r="A9587" i="1"/>
  <c r="B9587" i="1"/>
  <c r="A9588" i="1"/>
  <c r="B9588" i="1"/>
  <c r="A9589" i="1"/>
  <c r="B9589" i="1"/>
  <c r="A9590" i="1"/>
  <c r="B9590" i="1"/>
  <c r="A9591" i="1"/>
  <c r="B9591" i="1"/>
  <c r="A9592" i="1"/>
  <c r="B9592" i="1"/>
  <c r="A9593" i="1"/>
  <c r="B9593" i="1"/>
  <c r="A9594" i="1"/>
  <c r="B9594" i="1"/>
  <c r="A9595" i="1"/>
  <c r="B9595" i="1"/>
  <c r="A9596" i="1"/>
  <c r="B9596" i="1"/>
  <c r="A9597" i="1"/>
  <c r="B9597" i="1"/>
  <c r="A9598" i="1"/>
  <c r="B9598" i="1"/>
  <c r="A9599" i="1"/>
  <c r="B9599" i="1"/>
  <c r="A9600" i="1"/>
  <c r="B9600" i="1"/>
  <c r="A9601" i="1"/>
  <c r="B9601" i="1"/>
  <c r="A9602" i="1"/>
  <c r="B9602" i="1"/>
  <c r="A9603" i="1"/>
  <c r="B9603" i="1"/>
  <c r="A9604" i="1"/>
  <c r="B9604" i="1"/>
  <c r="A9605" i="1"/>
  <c r="B9605" i="1"/>
  <c r="A9606" i="1"/>
  <c r="B9606" i="1"/>
  <c r="A9607" i="1"/>
  <c r="B9607" i="1"/>
  <c r="A9608" i="1"/>
  <c r="B9608" i="1"/>
  <c r="A9609" i="1"/>
  <c r="B9609" i="1"/>
  <c r="A9610" i="1"/>
  <c r="B9610" i="1"/>
  <c r="A9611" i="1"/>
  <c r="B9611" i="1"/>
  <c r="A9612" i="1"/>
  <c r="B9612" i="1"/>
  <c r="A9613" i="1"/>
  <c r="B9613" i="1"/>
  <c r="A9614" i="1"/>
  <c r="B9614" i="1"/>
  <c r="A9615" i="1"/>
  <c r="B9615" i="1"/>
  <c r="A9616" i="1"/>
  <c r="B9616" i="1"/>
  <c r="A9617" i="1"/>
  <c r="B9617" i="1"/>
  <c r="A9618" i="1"/>
  <c r="B9618" i="1"/>
  <c r="A9619" i="1"/>
  <c r="B9619" i="1"/>
  <c r="A9620" i="1"/>
  <c r="B9620" i="1"/>
  <c r="A9621" i="1"/>
  <c r="B9621" i="1"/>
  <c r="A9622" i="1"/>
  <c r="B9622" i="1"/>
  <c r="A9623" i="1"/>
  <c r="B9623" i="1"/>
  <c r="A9624" i="1"/>
  <c r="B9624" i="1"/>
  <c r="A9625" i="1"/>
  <c r="B9625" i="1"/>
  <c r="A9626" i="1"/>
  <c r="B9626" i="1"/>
  <c r="A9627" i="1"/>
  <c r="B9627" i="1"/>
  <c r="A9628" i="1"/>
  <c r="B9628" i="1"/>
  <c r="A9629" i="1"/>
  <c r="B9629" i="1"/>
  <c r="A9630" i="1"/>
  <c r="B9630" i="1"/>
  <c r="A9631" i="1"/>
  <c r="B9631" i="1"/>
  <c r="A9632" i="1"/>
  <c r="B9632" i="1"/>
  <c r="A9633" i="1"/>
  <c r="B9633" i="1"/>
  <c r="A9634" i="1"/>
  <c r="B9634" i="1"/>
  <c r="A9635" i="1"/>
  <c r="B9635" i="1"/>
  <c r="A9636" i="1"/>
  <c r="B9636" i="1"/>
  <c r="A9637" i="1"/>
  <c r="B9637" i="1"/>
  <c r="A9638" i="1"/>
  <c r="B9638" i="1"/>
  <c r="A9639" i="1"/>
  <c r="B9639" i="1"/>
  <c r="A9640" i="1"/>
  <c r="B9640" i="1"/>
  <c r="A9641" i="1"/>
  <c r="B9641" i="1"/>
  <c r="A9642" i="1"/>
  <c r="B9642" i="1"/>
  <c r="A9643" i="1"/>
  <c r="B9643" i="1"/>
  <c r="A9644" i="1"/>
  <c r="B9644" i="1"/>
  <c r="A9645" i="1"/>
  <c r="B9645" i="1"/>
  <c r="A9646" i="1"/>
  <c r="B9646" i="1"/>
  <c r="A9647" i="1"/>
  <c r="B9647" i="1"/>
  <c r="A9648" i="1"/>
  <c r="B9648" i="1"/>
  <c r="A9649" i="1"/>
  <c r="B9649" i="1"/>
  <c r="A9650" i="1"/>
  <c r="B9650" i="1"/>
  <c r="A9651" i="1"/>
  <c r="B9651" i="1"/>
  <c r="A9652" i="1"/>
  <c r="B9652" i="1"/>
  <c r="A9653" i="1"/>
  <c r="B9653" i="1"/>
  <c r="A9654" i="1"/>
  <c r="B9654" i="1"/>
  <c r="A9655" i="1"/>
  <c r="B9655" i="1"/>
  <c r="A9656" i="1"/>
  <c r="B9656" i="1"/>
  <c r="A9657" i="1"/>
  <c r="B9657" i="1"/>
  <c r="A9658" i="1"/>
  <c r="B9658" i="1"/>
  <c r="A9659" i="1"/>
  <c r="B9659" i="1"/>
  <c r="A9660" i="1"/>
  <c r="B9660" i="1"/>
  <c r="A9661" i="1"/>
  <c r="B9661" i="1"/>
  <c r="A9662" i="1"/>
  <c r="B9662" i="1"/>
  <c r="A9663" i="1"/>
  <c r="B9663" i="1"/>
  <c r="A9664" i="1"/>
  <c r="B9664" i="1"/>
  <c r="A9665" i="1"/>
  <c r="B9665" i="1"/>
  <c r="A9666" i="1"/>
  <c r="B9666" i="1"/>
  <c r="A9667" i="1"/>
  <c r="B9667" i="1"/>
  <c r="A9668" i="1"/>
  <c r="B9668" i="1"/>
  <c r="A9669" i="1"/>
  <c r="B9669" i="1"/>
  <c r="A9670" i="1"/>
  <c r="B9670" i="1"/>
  <c r="A9671" i="1"/>
  <c r="B9671" i="1"/>
  <c r="A9672" i="1"/>
  <c r="B9672" i="1"/>
  <c r="A9673" i="1"/>
  <c r="B9673" i="1"/>
  <c r="B9674" i="1"/>
  <c r="A9675" i="1"/>
  <c r="B9675" i="1"/>
  <c r="A9676" i="1"/>
  <c r="B9676" i="1"/>
  <c r="B9677" i="1"/>
  <c r="A9678" i="1"/>
  <c r="B9678" i="1"/>
  <c r="A9679" i="1"/>
  <c r="B9679" i="1"/>
  <c r="B9680" i="1"/>
  <c r="A9681" i="1"/>
  <c r="B9681" i="1"/>
  <c r="A9682" i="1"/>
  <c r="B9682" i="1"/>
  <c r="A9683" i="1"/>
  <c r="B9683" i="1"/>
  <c r="A9684" i="1"/>
  <c r="B9684" i="1"/>
  <c r="A9685" i="1"/>
  <c r="B9685" i="1"/>
  <c r="A9686" i="1"/>
  <c r="B9686" i="1"/>
  <c r="A9687" i="1"/>
  <c r="B9687" i="1"/>
  <c r="B9688" i="1"/>
  <c r="A9689" i="1"/>
  <c r="B9689" i="1"/>
  <c r="A9690" i="1"/>
  <c r="B9690" i="1"/>
  <c r="A9691" i="1"/>
  <c r="B9691" i="1"/>
  <c r="B9692" i="1"/>
  <c r="A9693" i="1"/>
  <c r="B9693" i="1"/>
  <c r="A9694" i="1"/>
  <c r="B9694" i="1"/>
  <c r="A9695" i="1"/>
  <c r="B9695" i="1"/>
  <c r="A9696" i="1"/>
  <c r="B9696" i="1"/>
  <c r="A9697" i="1"/>
  <c r="B9697" i="1"/>
  <c r="A9698" i="1"/>
  <c r="B9698" i="1"/>
  <c r="A9699" i="1"/>
  <c r="B9699" i="1"/>
  <c r="A9700" i="1"/>
  <c r="B9700" i="1"/>
  <c r="A9701" i="1"/>
  <c r="B9701" i="1"/>
  <c r="A9702" i="1"/>
  <c r="B9702" i="1"/>
  <c r="A9703" i="1"/>
  <c r="B9703" i="1"/>
  <c r="A9704" i="1"/>
  <c r="B9704" i="1"/>
  <c r="A9705" i="1"/>
  <c r="B9705" i="1"/>
  <c r="A9706" i="1"/>
  <c r="B9706" i="1"/>
  <c r="A9707" i="1"/>
  <c r="B9707" i="1"/>
  <c r="A9708" i="1"/>
  <c r="B9708" i="1"/>
  <c r="A9709" i="1"/>
  <c r="B9709" i="1"/>
  <c r="A9710" i="1"/>
  <c r="B9710" i="1"/>
  <c r="A9711" i="1"/>
  <c r="B9711" i="1"/>
  <c r="A9712" i="1"/>
  <c r="B9712" i="1"/>
  <c r="A9713" i="1"/>
  <c r="B9713" i="1"/>
  <c r="A9714" i="1"/>
  <c r="B9714" i="1"/>
  <c r="A9715" i="1"/>
  <c r="B9715" i="1"/>
  <c r="A9716" i="1"/>
  <c r="B9716" i="1"/>
  <c r="A9717" i="1"/>
  <c r="B9717" i="1"/>
  <c r="A9718" i="1"/>
  <c r="B9718" i="1"/>
  <c r="A9719" i="1"/>
  <c r="B9719" i="1"/>
  <c r="A9720" i="1"/>
  <c r="B9720" i="1"/>
  <c r="A9721" i="1"/>
  <c r="B9721" i="1"/>
  <c r="A9722" i="1"/>
  <c r="B9722" i="1"/>
  <c r="A9723" i="1"/>
  <c r="B9723" i="1"/>
  <c r="A9724" i="1"/>
  <c r="B9724" i="1"/>
  <c r="A9725" i="1"/>
  <c r="B9725" i="1"/>
  <c r="A9726" i="1"/>
  <c r="B9726" i="1"/>
  <c r="A9727" i="1"/>
  <c r="B9727" i="1"/>
  <c r="A9728" i="1"/>
  <c r="B9728" i="1"/>
  <c r="A9729" i="1"/>
  <c r="B9729" i="1"/>
  <c r="A9730" i="1"/>
  <c r="B9730" i="1"/>
  <c r="A9731" i="1"/>
  <c r="B9731" i="1"/>
  <c r="A9732" i="1"/>
  <c r="B9732" i="1"/>
  <c r="A9733" i="1"/>
  <c r="B9733" i="1"/>
  <c r="A9734" i="1"/>
  <c r="B9734" i="1"/>
  <c r="A9735" i="1"/>
  <c r="B9735" i="1"/>
  <c r="A9736" i="1"/>
  <c r="B9736" i="1"/>
  <c r="A9737" i="1"/>
  <c r="B9737" i="1"/>
  <c r="A9738" i="1"/>
  <c r="B9738" i="1"/>
  <c r="A9739" i="1"/>
  <c r="B9739" i="1"/>
  <c r="A9740" i="1"/>
  <c r="B9740" i="1"/>
  <c r="A9741" i="1"/>
  <c r="B9741" i="1"/>
  <c r="A9742" i="1"/>
  <c r="B9742" i="1"/>
  <c r="A9743" i="1"/>
  <c r="B9743" i="1"/>
  <c r="A9744" i="1"/>
  <c r="B9744" i="1"/>
  <c r="A9745" i="1"/>
  <c r="B9745" i="1"/>
  <c r="A9746" i="1"/>
  <c r="B9746" i="1"/>
  <c r="A9747" i="1"/>
  <c r="B9747" i="1"/>
  <c r="A9748" i="1"/>
  <c r="B9748" i="1"/>
  <c r="A9749" i="1"/>
  <c r="B9749" i="1"/>
  <c r="A9750" i="1"/>
  <c r="B9750" i="1"/>
  <c r="A9751" i="1"/>
  <c r="B9751" i="1"/>
  <c r="A9752" i="1"/>
  <c r="B9752" i="1"/>
  <c r="A9753" i="1"/>
  <c r="B9753" i="1"/>
  <c r="A9754" i="1"/>
  <c r="B9754" i="1"/>
  <c r="A9755" i="1"/>
  <c r="B9755" i="1"/>
  <c r="A9756" i="1"/>
  <c r="B9756" i="1"/>
  <c r="A9757" i="1"/>
  <c r="B9757" i="1"/>
  <c r="A9758" i="1"/>
  <c r="B9758" i="1"/>
  <c r="A9759" i="1"/>
  <c r="B9759" i="1"/>
  <c r="A9760" i="1"/>
  <c r="B9760" i="1"/>
  <c r="A9761" i="1"/>
  <c r="B9761" i="1"/>
  <c r="A9762" i="1"/>
  <c r="B9762" i="1"/>
  <c r="A9763" i="1"/>
  <c r="B9763" i="1"/>
  <c r="A9764" i="1"/>
  <c r="B9764" i="1"/>
  <c r="A9765" i="1"/>
  <c r="B9765" i="1"/>
  <c r="A9766" i="1"/>
  <c r="B9766" i="1"/>
  <c r="A9767" i="1"/>
  <c r="B9767" i="1"/>
  <c r="A9768" i="1"/>
  <c r="B9768" i="1"/>
  <c r="A9769" i="1"/>
  <c r="B9769" i="1"/>
  <c r="A9770" i="1"/>
  <c r="B9770" i="1"/>
  <c r="A9771" i="1"/>
  <c r="B9771" i="1"/>
  <c r="A9772" i="1"/>
  <c r="B9772" i="1"/>
  <c r="A9773" i="1"/>
  <c r="B9773" i="1"/>
  <c r="A9774" i="1"/>
  <c r="B9774" i="1"/>
  <c r="A9775" i="1"/>
  <c r="B9775" i="1"/>
  <c r="A9776" i="1"/>
  <c r="B9776" i="1"/>
  <c r="A9777" i="1"/>
  <c r="B9777" i="1"/>
  <c r="A9778" i="1"/>
  <c r="B9778" i="1"/>
  <c r="A9779" i="1"/>
  <c r="B9779" i="1"/>
  <c r="A9780" i="1"/>
  <c r="B9780" i="1"/>
  <c r="A9781" i="1"/>
  <c r="B9781" i="1"/>
  <c r="A9782" i="1"/>
  <c r="B9782" i="1"/>
  <c r="A9783" i="1"/>
  <c r="B9783" i="1"/>
  <c r="A9784" i="1"/>
  <c r="B9784" i="1"/>
  <c r="A9785" i="1"/>
  <c r="B9785" i="1"/>
  <c r="A9786" i="1"/>
  <c r="B9786" i="1"/>
  <c r="A9787" i="1"/>
  <c r="B9787" i="1"/>
  <c r="A9788" i="1"/>
  <c r="B9788" i="1"/>
  <c r="A9789" i="1"/>
  <c r="B9789" i="1"/>
  <c r="A9790" i="1"/>
  <c r="B9790" i="1"/>
  <c r="A9791" i="1"/>
  <c r="B9791" i="1"/>
  <c r="A9792" i="1"/>
  <c r="B9792" i="1"/>
  <c r="A9793" i="1"/>
  <c r="B9793" i="1"/>
  <c r="A9794" i="1"/>
  <c r="B9794" i="1"/>
  <c r="A9795" i="1"/>
  <c r="B9795" i="1"/>
  <c r="A9796" i="1"/>
  <c r="B9796" i="1"/>
  <c r="A9797" i="1"/>
  <c r="B9797" i="1"/>
  <c r="A9798" i="1"/>
  <c r="B9798" i="1"/>
  <c r="A9799" i="1"/>
  <c r="B9799" i="1"/>
  <c r="A9800" i="1"/>
  <c r="B9800" i="1"/>
  <c r="A9801" i="1"/>
  <c r="B9801" i="1"/>
  <c r="A9802" i="1"/>
  <c r="B9802" i="1"/>
  <c r="A9803" i="1"/>
  <c r="B9803" i="1"/>
  <c r="A9804" i="1"/>
  <c r="B9804" i="1"/>
  <c r="A9805" i="1"/>
  <c r="B9805" i="1"/>
  <c r="A9806" i="1"/>
  <c r="B9806" i="1"/>
  <c r="A9807" i="1"/>
  <c r="B9807" i="1"/>
  <c r="A9808" i="1"/>
  <c r="B9808" i="1"/>
  <c r="A9809" i="1"/>
  <c r="B9809" i="1"/>
  <c r="A9810" i="1"/>
  <c r="B9810" i="1"/>
  <c r="A9811" i="1"/>
  <c r="B9811" i="1"/>
  <c r="A9812" i="1"/>
  <c r="B9812" i="1"/>
  <c r="A9813" i="1"/>
  <c r="B9813" i="1"/>
  <c r="A9814" i="1"/>
  <c r="B9814" i="1"/>
  <c r="A9815" i="1"/>
  <c r="B9815" i="1"/>
  <c r="A9816" i="1"/>
  <c r="B9816" i="1"/>
  <c r="A9817" i="1"/>
  <c r="B9817" i="1"/>
  <c r="A9818" i="1"/>
  <c r="B9818" i="1"/>
  <c r="A9819" i="1"/>
  <c r="B9819" i="1"/>
  <c r="A9820" i="1"/>
  <c r="B9820" i="1"/>
  <c r="A9821" i="1"/>
  <c r="B9821" i="1"/>
  <c r="A9822" i="1"/>
  <c r="B9822" i="1"/>
  <c r="A9823" i="1"/>
  <c r="B9823" i="1"/>
  <c r="A9824" i="1"/>
  <c r="B9824" i="1"/>
  <c r="A9825" i="1"/>
  <c r="B9825" i="1"/>
  <c r="A9826" i="1"/>
  <c r="B9826" i="1"/>
  <c r="A9827" i="1"/>
  <c r="B9827" i="1"/>
  <c r="A9828" i="1"/>
  <c r="B9828" i="1"/>
  <c r="A9829" i="1"/>
  <c r="B9829" i="1"/>
  <c r="A9830" i="1"/>
  <c r="B9830" i="1"/>
  <c r="A9831" i="1"/>
  <c r="B9831" i="1"/>
  <c r="A9832" i="1"/>
  <c r="B9832" i="1"/>
  <c r="A9833" i="1"/>
  <c r="B9833" i="1"/>
  <c r="A9834" i="1"/>
  <c r="B9834" i="1"/>
  <c r="A9835" i="1"/>
  <c r="B9835" i="1"/>
  <c r="A9836" i="1"/>
  <c r="B9836" i="1"/>
  <c r="A9837" i="1"/>
  <c r="B9837" i="1"/>
  <c r="A9838" i="1"/>
  <c r="B9838" i="1"/>
  <c r="A9839" i="1"/>
  <c r="B9839" i="1"/>
  <c r="A9840" i="1"/>
  <c r="B9840" i="1"/>
  <c r="A9841" i="1"/>
  <c r="B9841" i="1"/>
  <c r="A9842" i="1"/>
  <c r="B9842" i="1"/>
  <c r="A9843" i="1"/>
  <c r="B9843" i="1"/>
  <c r="A9844" i="1"/>
  <c r="B9844" i="1"/>
  <c r="A9845" i="1"/>
  <c r="B9845" i="1"/>
  <c r="A9846" i="1"/>
  <c r="B9846" i="1"/>
  <c r="A9847" i="1"/>
  <c r="B9847" i="1"/>
  <c r="A9848" i="1"/>
  <c r="B9848" i="1"/>
  <c r="A9849" i="1"/>
  <c r="B9849" i="1"/>
  <c r="A9850" i="1"/>
  <c r="B9850" i="1"/>
  <c r="A9851" i="1"/>
  <c r="B9851" i="1"/>
  <c r="A9852" i="1"/>
  <c r="B9852" i="1"/>
  <c r="A9853" i="1"/>
  <c r="B9853" i="1"/>
  <c r="A9854" i="1"/>
  <c r="B9854" i="1"/>
  <c r="A9855" i="1"/>
  <c r="B9855" i="1"/>
  <c r="A9856" i="1"/>
  <c r="B9856" i="1"/>
  <c r="A9857" i="1"/>
  <c r="B9857" i="1"/>
  <c r="A9858" i="1"/>
  <c r="B9858" i="1"/>
  <c r="A9859" i="1"/>
  <c r="B9859" i="1"/>
  <c r="A9860" i="1"/>
  <c r="B9860" i="1"/>
  <c r="A9861" i="1"/>
  <c r="B9861" i="1"/>
  <c r="A9862" i="1"/>
  <c r="B9862" i="1"/>
  <c r="A9863" i="1"/>
  <c r="B9863" i="1"/>
  <c r="A9864" i="1"/>
  <c r="B9864" i="1"/>
  <c r="A9865" i="1"/>
  <c r="B9865" i="1"/>
  <c r="A9866" i="1"/>
  <c r="B9866" i="1"/>
  <c r="A9867" i="1"/>
  <c r="B9867" i="1"/>
  <c r="A9868" i="1"/>
  <c r="B9868" i="1"/>
  <c r="A9869" i="1"/>
  <c r="B9869" i="1"/>
  <c r="A9870" i="1"/>
  <c r="B9870" i="1"/>
  <c r="A9871" i="1"/>
  <c r="B9871" i="1"/>
  <c r="A9872" i="1"/>
  <c r="B9872" i="1"/>
  <c r="B9873" i="1"/>
  <c r="A9874" i="1"/>
  <c r="B9874" i="1"/>
  <c r="A9875" i="1"/>
  <c r="B9875" i="1"/>
  <c r="A9876" i="1"/>
  <c r="B9876" i="1"/>
  <c r="B9877" i="1"/>
  <c r="A9878" i="1"/>
  <c r="B9878" i="1"/>
  <c r="A9879" i="1"/>
  <c r="B9879" i="1"/>
  <c r="B9880" i="1"/>
  <c r="A9881" i="1"/>
  <c r="B9881" i="1"/>
  <c r="A9882" i="1"/>
  <c r="B9882" i="1"/>
  <c r="A9883" i="1"/>
  <c r="B9883" i="1"/>
  <c r="A9884" i="1"/>
  <c r="B9884" i="1"/>
  <c r="A9885" i="1"/>
  <c r="B9885" i="1"/>
  <c r="A9886" i="1"/>
  <c r="B9886" i="1"/>
  <c r="A9887" i="1"/>
  <c r="B9887" i="1"/>
  <c r="A9888" i="1"/>
  <c r="B9888" i="1"/>
  <c r="A9889" i="1"/>
  <c r="B9889" i="1"/>
  <c r="A9890" i="1"/>
  <c r="B9890" i="1"/>
  <c r="B9891" i="1"/>
  <c r="A9892" i="1"/>
  <c r="B9892" i="1"/>
  <c r="A9893" i="1"/>
  <c r="B9893" i="1"/>
  <c r="A9894" i="1"/>
  <c r="B9894" i="1"/>
  <c r="A9895" i="1"/>
  <c r="B9895" i="1"/>
  <c r="A9896" i="1"/>
  <c r="B9896" i="1"/>
  <c r="A9897" i="1"/>
  <c r="B9897" i="1"/>
  <c r="A9898" i="1"/>
  <c r="B9898" i="1"/>
  <c r="A9899" i="1"/>
  <c r="B9899" i="1"/>
  <c r="A9900" i="1"/>
  <c r="B9900" i="1"/>
  <c r="A9901" i="1"/>
  <c r="B9901" i="1"/>
  <c r="A9902" i="1"/>
  <c r="B9902" i="1"/>
  <c r="A9903" i="1"/>
  <c r="B9903" i="1"/>
  <c r="A9904" i="1"/>
  <c r="B9904" i="1"/>
  <c r="A9905" i="1"/>
  <c r="B9905" i="1"/>
  <c r="A9906" i="1"/>
  <c r="B9906" i="1"/>
  <c r="A9907" i="1"/>
  <c r="B9907" i="1"/>
  <c r="A9908" i="1"/>
  <c r="B9908" i="1"/>
  <c r="A9909" i="1"/>
  <c r="B9909" i="1"/>
  <c r="A9910" i="1"/>
  <c r="B9910" i="1"/>
  <c r="A9911" i="1"/>
  <c r="B9911" i="1"/>
  <c r="A9912" i="1"/>
  <c r="B9912" i="1"/>
  <c r="B9913" i="1"/>
  <c r="A9914" i="1"/>
  <c r="B9914" i="1"/>
  <c r="A9915" i="1"/>
  <c r="B9915" i="1"/>
  <c r="A9916" i="1"/>
  <c r="B9916" i="1"/>
  <c r="A9917" i="1"/>
  <c r="B9917" i="1"/>
  <c r="A9918" i="1"/>
  <c r="B9918" i="1"/>
  <c r="A9919" i="1"/>
  <c r="B9919" i="1"/>
  <c r="A9920" i="1"/>
  <c r="B9920" i="1"/>
  <c r="A9921" i="1"/>
  <c r="B9921" i="1"/>
  <c r="A9922" i="1"/>
  <c r="B9922" i="1"/>
  <c r="A9923" i="1"/>
  <c r="B9923" i="1"/>
  <c r="A9924" i="1"/>
  <c r="B9924" i="1"/>
  <c r="A9925" i="1"/>
  <c r="B9925" i="1"/>
  <c r="A9926" i="1"/>
  <c r="B9926" i="1"/>
  <c r="A9927" i="1"/>
  <c r="B9927" i="1"/>
  <c r="A9928" i="1"/>
  <c r="B9928" i="1"/>
  <c r="A9929" i="1"/>
  <c r="B9929" i="1"/>
  <c r="B9930" i="1"/>
  <c r="A9931" i="1"/>
  <c r="B9931" i="1"/>
  <c r="A9932" i="1"/>
  <c r="B9932" i="1"/>
  <c r="A9933" i="1"/>
  <c r="B9933" i="1"/>
  <c r="A9934" i="1"/>
  <c r="B9934" i="1"/>
  <c r="A9935" i="1"/>
  <c r="B9935" i="1"/>
  <c r="A9936" i="1"/>
  <c r="B9936" i="1"/>
  <c r="A9937" i="1"/>
  <c r="B9937" i="1"/>
  <c r="A9938" i="1"/>
  <c r="B9938" i="1"/>
  <c r="A9939" i="1"/>
  <c r="B9939" i="1"/>
  <c r="A9940" i="1"/>
  <c r="B9940" i="1"/>
  <c r="B9941" i="1"/>
  <c r="A9942" i="1"/>
  <c r="B9942" i="1"/>
  <c r="A9943" i="1"/>
  <c r="B9943" i="1"/>
  <c r="A9944" i="1"/>
  <c r="B9944" i="1"/>
  <c r="A9945" i="1"/>
  <c r="B9945" i="1"/>
  <c r="A9946" i="1"/>
  <c r="B9946" i="1"/>
  <c r="B9947" i="1"/>
  <c r="A9948" i="1"/>
  <c r="B9948" i="1"/>
  <c r="A9949" i="1"/>
  <c r="B9949" i="1"/>
  <c r="A9950" i="1"/>
  <c r="B9950" i="1"/>
  <c r="A9951" i="1"/>
  <c r="B9951" i="1"/>
  <c r="A9952" i="1"/>
  <c r="B9952" i="1"/>
  <c r="A9953" i="1"/>
  <c r="B9953" i="1"/>
  <c r="A9954" i="1"/>
  <c r="B9954" i="1"/>
  <c r="A9955" i="1"/>
  <c r="B9955" i="1"/>
  <c r="A9956" i="1"/>
  <c r="B9956" i="1"/>
  <c r="A9957" i="1"/>
  <c r="B9957" i="1"/>
  <c r="A9958" i="1"/>
  <c r="B9958" i="1"/>
  <c r="A9959" i="1"/>
  <c r="B9959" i="1"/>
  <c r="A9960" i="1"/>
  <c r="B9960" i="1"/>
  <c r="A9961" i="1"/>
  <c r="B9961" i="1"/>
  <c r="A9962" i="1"/>
  <c r="B9962" i="1"/>
  <c r="A9963" i="1"/>
  <c r="B9963" i="1"/>
  <c r="A9964" i="1"/>
  <c r="B9964" i="1"/>
  <c r="A9965" i="1"/>
  <c r="B9965" i="1"/>
  <c r="A9966" i="1"/>
  <c r="B9966" i="1"/>
  <c r="A9967" i="1"/>
  <c r="B9967" i="1"/>
  <c r="A9968" i="1"/>
  <c r="B9968" i="1"/>
  <c r="A9969" i="1"/>
  <c r="B9969" i="1"/>
  <c r="A9970" i="1"/>
  <c r="B9970" i="1"/>
  <c r="A9971" i="1"/>
  <c r="B9971" i="1"/>
  <c r="A9972" i="1"/>
  <c r="B9972" i="1"/>
  <c r="A9973" i="1"/>
  <c r="B9973" i="1"/>
  <c r="A9974" i="1"/>
  <c r="B9974" i="1"/>
  <c r="A9975" i="1"/>
  <c r="B9975" i="1"/>
  <c r="A9976" i="1"/>
  <c r="B9976" i="1"/>
  <c r="A9977" i="1"/>
  <c r="B9977" i="1"/>
  <c r="A9978" i="1"/>
  <c r="B9978" i="1"/>
  <c r="A9979" i="1"/>
  <c r="B9979" i="1"/>
  <c r="A9980" i="1"/>
  <c r="B9980" i="1"/>
  <c r="A9981" i="1"/>
  <c r="B9981" i="1"/>
  <c r="A9982" i="1"/>
  <c r="B9982" i="1"/>
  <c r="A9983" i="1"/>
  <c r="B9983" i="1"/>
  <c r="A9984" i="1"/>
  <c r="B9984" i="1"/>
  <c r="A9985" i="1"/>
  <c r="B9985" i="1"/>
  <c r="A9986" i="1"/>
  <c r="B9986" i="1"/>
  <c r="A9987" i="1"/>
  <c r="B9987" i="1"/>
  <c r="A9988" i="1"/>
  <c r="B9988" i="1"/>
  <c r="A9989" i="1"/>
  <c r="B9989" i="1"/>
  <c r="A9990" i="1"/>
  <c r="B9990" i="1"/>
  <c r="A9991" i="1"/>
  <c r="B9991" i="1"/>
  <c r="A9992" i="1"/>
  <c r="B9992" i="1"/>
  <c r="A9993" i="1"/>
  <c r="B9993" i="1"/>
  <c r="A9994" i="1"/>
  <c r="B9994" i="1"/>
  <c r="A9995" i="1"/>
  <c r="B9995" i="1"/>
  <c r="A9996" i="1"/>
  <c r="B9996" i="1"/>
  <c r="A9997" i="1"/>
  <c r="B9997" i="1"/>
  <c r="A9998" i="1"/>
  <c r="B9998" i="1"/>
  <c r="A9999" i="1"/>
  <c r="B9999" i="1"/>
  <c r="A10000" i="1"/>
  <c r="B10000" i="1"/>
  <c r="A10001" i="1"/>
  <c r="B10001" i="1"/>
  <c r="A10002" i="1"/>
  <c r="B10002" i="1"/>
  <c r="A10003" i="1"/>
  <c r="B10003" i="1"/>
  <c r="A10004" i="1"/>
  <c r="B10004" i="1"/>
  <c r="A10005" i="1"/>
  <c r="B10005" i="1"/>
  <c r="A10006" i="1"/>
  <c r="B10006" i="1"/>
  <c r="A10007" i="1"/>
  <c r="B10007" i="1"/>
  <c r="A10008" i="1"/>
  <c r="B10008" i="1"/>
  <c r="A10009" i="1"/>
  <c r="B10009" i="1"/>
  <c r="A10010" i="1"/>
  <c r="B10010" i="1"/>
  <c r="A10011" i="1"/>
  <c r="B10011" i="1"/>
  <c r="A10012" i="1"/>
  <c r="B10012" i="1"/>
  <c r="A10013" i="1"/>
  <c r="B10013" i="1"/>
  <c r="A10014" i="1"/>
  <c r="B10014" i="1"/>
  <c r="A10015" i="1"/>
  <c r="B10015" i="1"/>
  <c r="A10016" i="1"/>
  <c r="B10016" i="1"/>
  <c r="A10017" i="1"/>
  <c r="B10017" i="1"/>
  <c r="A10018" i="1"/>
  <c r="B10018" i="1"/>
  <c r="A10019" i="1"/>
  <c r="B10019" i="1"/>
  <c r="A10020" i="1"/>
  <c r="B10020" i="1"/>
  <c r="A10021" i="1"/>
  <c r="B10021" i="1"/>
  <c r="A10022" i="1"/>
  <c r="B10022" i="1"/>
  <c r="A10023" i="1"/>
  <c r="B10023" i="1"/>
  <c r="A10024" i="1"/>
  <c r="B10024" i="1"/>
  <c r="A10025" i="1"/>
  <c r="B10025" i="1"/>
  <c r="A10026" i="1"/>
  <c r="B10026" i="1"/>
  <c r="A10027" i="1"/>
  <c r="B10027" i="1"/>
  <c r="A10028" i="1"/>
  <c r="B10028" i="1"/>
  <c r="A10029" i="1"/>
  <c r="B10029" i="1"/>
  <c r="A10030" i="1"/>
  <c r="B10030" i="1"/>
  <c r="A10031" i="1"/>
  <c r="B10031" i="1"/>
  <c r="A10032" i="1"/>
  <c r="B10032" i="1"/>
  <c r="A10033" i="1"/>
  <c r="B10033" i="1"/>
  <c r="A10034" i="1"/>
  <c r="B10034" i="1"/>
  <c r="A10035" i="1"/>
  <c r="B10035" i="1"/>
  <c r="A10036" i="1"/>
  <c r="B10036" i="1"/>
  <c r="A10037" i="1"/>
  <c r="B10037" i="1"/>
  <c r="A10038" i="1"/>
  <c r="B10038" i="1"/>
  <c r="A10039" i="1"/>
  <c r="B10039" i="1"/>
  <c r="A10040" i="1"/>
  <c r="B10040" i="1"/>
  <c r="A10041" i="1"/>
  <c r="B10041" i="1"/>
  <c r="A10042" i="1"/>
  <c r="B10042" i="1"/>
  <c r="A10043" i="1"/>
  <c r="B10043" i="1"/>
  <c r="A10044" i="1"/>
  <c r="B10044" i="1"/>
  <c r="A10045" i="1"/>
  <c r="B10045" i="1"/>
  <c r="A10046" i="1"/>
  <c r="B10046" i="1"/>
  <c r="A10047" i="1"/>
  <c r="B10047" i="1"/>
  <c r="A10048" i="1"/>
  <c r="B10048" i="1"/>
  <c r="A10049" i="1"/>
  <c r="B10049" i="1"/>
  <c r="A10050" i="1"/>
  <c r="B10050" i="1"/>
  <c r="A10051" i="1"/>
  <c r="B10051" i="1"/>
  <c r="A10052" i="1"/>
  <c r="B10052" i="1"/>
  <c r="A10053" i="1"/>
  <c r="B10053" i="1"/>
  <c r="A10054" i="1"/>
  <c r="B10054" i="1"/>
  <c r="A10055" i="1"/>
  <c r="B10055" i="1"/>
  <c r="A10056" i="1"/>
  <c r="B10056" i="1"/>
  <c r="A10057" i="1"/>
  <c r="B10057" i="1"/>
  <c r="A10058" i="1"/>
  <c r="B10058" i="1"/>
  <c r="A10059" i="1"/>
  <c r="B10059" i="1"/>
  <c r="A10060" i="1"/>
  <c r="B10060" i="1"/>
  <c r="A10061" i="1"/>
  <c r="B10061" i="1"/>
  <c r="A10062" i="1"/>
  <c r="B10062" i="1"/>
  <c r="A10063" i="1"/>
  <c r="B10063" i="1"/>
  <c r="A10064" i="1"/>
  <c r="B10064" i="1"/>
  <c r="A10065" i="1"/>
  <c r="B10065" i="1"/>
  <c r="A10066" i="1"/>
  <c r="B10066" i="1"/>
  <c r="A10067" i="1"/>
  <c r="B10067" i="1"/>
  <c r="A10068" i="1"/>
  <c r="B10068" i="1"/>
  <c r="A10069" i="1"/>
  <c r="B10069" i="1"/>
  <c r="A10070" i="1"/>
  <c r="B10070" i="1"/>
  <c r="A10071" i="1"/>
  <c r="B10071" i="1"/>
  <c r="A10072" i="1"/>
  <c r="B10072" i="1"/>
  <c r="A10073" i="1"/>
  <c r="B10073" i="1"/>
  <c r="A10074" i="1"/>
  <c r="B10074" i="1"/>
  <c r="A10075" i="1"/>
  <c r="B10075" i="1"/>
  <c r="A10076" i="1"/>
  <c r="B10076" i="1"/>
  <c r="A10077" i="1"/>
  <c r="B10077" i="1"/>
  <c r="A10078" i="1"/>
  <c r="B10078" i="1"/>
  <c r="A10079" i="1"/>
  <c r="B10079" i="1"/>
  <c r="A10080" i="1"/>
  <c r="B10080" i="1"/>
  <c r="A10081" i="1"/>
  <c r="B10081" i="1"/>
  <c r="A10082" i="1"/>
  <c r="B10082" i="1"/>
  <c r="A10083" i="1"/>
  <c r="B10083" i="1"/>
  <c r="A10084" i="1"/>
  <c r="B10084" i="1"/>
  <c r="A10085" i="1"/>
  <c r="B10085" i="1"/>
  <c r="A10086" i="1"/>
  <c r="B10086" i="1"/>
  <c r="A10087" i="1"/>
  <c r="B10087" i="1"/>
  <c r="A10088" i="1"/>
  <c r="B10088" i="1"/>
  <c r="A10089" i="1"/>
  <c r="B10089" i="1"/>
  <c r="A10090" i="1"/>
  <c r="B10090" i="1"/>
  <c r="A10091" i="1"/>
  <c r="B10091" i="1"/>
  <c r="A10092" i="1"/>
  <c r="B10092" i="1"/>
  <c r="A10093" i="1"/>
  <c r="B10093" i="1"/>
  <c r="A10094" i="1"/>
  <c r="B10094" i="1"/>
  <c r="A10095" i="1"/>
  <c r="B10095" i="1"/>
  <c r="A10096" i="1"/>
  <c r="B10096" i="1"/>
  <c r="A10097" i="1"/>
  <c r="B10097" i="1"/>
  <c r="A10098" i="1"/>
  <c r="B10098" i="1"/>
  <c r="A10099" i="1"/>
  <c r="B10099" i="1"/>
  <c r="A10100" i="1"/>
  <c r="B10100" i="1"/>
  <c r="A10101" i="1"/>
  <c r="B10101" i="1"/>
  <c r="A10102" i="1"/>
  <c r="B10102" i="1"/>
  <c r="A10103" i="1"/>
  <c r="B10103" i="1"/>
  <c r="A10104" i="1"/>
  <c r="B10104" i="1"/>
  <c r="A10105" i="1"/>
  <c r="B10105" i="1"/>
  <c r="A10106" i="1"/>
  <c r="B10106" i="1"/>
  <c r="A10107" i="1"/>
  <c r="B10107" i="1"/>
  <c r="A10108" i="1"/>
  <c r="B10108" i="1"/>
  <c r="A10109" i="1"/>
  <c r="B10109" i="1"/>
  <c r="A10110" i="1"/>
  <c r="B10110" i="1"/>
  <c r="A10111" i="1"/>
  <c r="B10111" i="1"/>
  <c r="A10112" i="1"/>
  <c r="B10112" i="1"/>
  <c r="A10113" i="1"/>
  <c r="B10113" i="1"/>
  <c r="A10114" i="1"/>
  <c r="B10114" i="1"/>
  <c r="A10115" i="1"/>
  <c r="B10115" i="1"/>
  <c r="A10116" i="1"/>
  <c r="B10116" i="1"/>
  <c r="A10117" i="1"/>
  <c r="B10117" i="1"/>
  <c r="A10118" i="1"/>
  <c r="B10118" i="1"/>
  <c r="A10119" i="1"/>
  <c r="B10119" i="1"/>
  <c r="A10120" i="1"/>
  <c r="B10120" i="1"/>
  <c r="A10121" i="1"/>
  <c r="B10121" i="1"/>
  <c r="A10122" i="1"/>
  <c r="B10122" i="1"/>
  <c r="A10123" i="1"/>
  <c r="B10123" i="1"/>
  <c r="A10124" i="1"/>
  <c r="B10124" i="1"/>
  <c r="A10125" i="1"/>
  <c r="B10125" i="1"/>
  <c r="A10126" i="1"/>
  <c r="B10126" i="1"/>
  <c r="A10127" i="1"/>
  <c r="B10127" i="1"/>
  <c r="A10128" i="1"/>
  <c r="B10128" i="1"/>
  <c r="A10129" i="1"/>
  <c r="B10129" i="1"/>
  <c r="A10130" i="1"/>
  <c r="B10130" i="1"/>
  <c r="A10131" i="1"/>
  <c r="B10131" i="1"/>
  <c r="A10132" i="1"/>
  <c r="B10132" i="1"/>
  <c r="A10133" i="1"/>
  <c r="B10133" i="1"/>
  <c r="A10134" i="1"/>
  <c r="B10134" i="1"/>
  <c r="A10135" i="1"/>
  <c r="B10135" i="1"/>
  <c r="A10136" i="1"/>
  <c r="B10136" i="1"/>
  <c r="A10137" i="1"/>
  <c r="B10137" i="1"/>
  <c r="A10138" i="1"/>
  <c r="B10138" i="1"/>
  <c r="A10139" i="1"/>
  <c r="B10139" i="1"/>
  <c r="A10140" i="1"/>
  <c r="B10140" i="1"/>
  <c r="A10141" i="1"/>
  <c r="B10141" i="1"/>
  <c r="A10142" i="1"/>
  <c r="B10142" i="1"/>
  <c r="A10143" i="1"/>
  <c r="B10143" i="1"/>
  <c r="A10144" i="1"/>
  <c r="B10144" i="1"/>
  <c r="A10145" i="1"/>
  <c r="B10145" i="1"/>
  <c r="A10146" i="1"/>
  <c r="B10146" i="1"/>
  <c r="A10147" i="1"/>
  <c r="B10147" i="1"/>
  <c r="A10148" i="1"/>
  <c r="B10148" i="1"/>
  <c r="A10149" i="1"/>
  <c r="B10149" i="1"/>
  <c r="A10150" i="1"/>
  <c r="B10150" i="1"/>
  <c r="A10151" i="1"/>
  <c r="B10151" i="1"/>
  <c r="A10152" i="1"/>
  <c r="B10152" i="1"/>
  <c r="A10153" i="1"/>
  <c r="B10153" i="1"/>
  <c r="A10154" i="1"/>
  <c r="B10154" i="1"/>
  <c r="A10155" i="1"/>
  <c r="B10155" i="1"/>
  <c r="A10156" i="1"/>
  <c r="B10156" i="1"/>
  <c r="A10157" i="1"/>
  <c r="B10157" i="1"/>
  <c r="A10158" i="1"/>
  <c r="B10158" i="1"/>
  <c r="A10159" i="1"/>
  <c r="B10159" i="1"/>
  <c r="A10160" i="1"/>
  <c r="B10160" i="1"/>
  <c r="A10161" i="1"/>
  <c r="B10161" i="1"/>
  <c r="A10162" i="1"/>
  <c r="B10162" i="1"/>
  <c r="A10163" i="1"/>
  <c r="B10163" i="1"/>
  <c r="A10164" i="1"/>
  <c r="B10164" i="1"/>
  <c r="A10165" i="1"/>
  <c r="B10165" i="1"/>
  <c r="A10166" i="1"/>
  <c r="B10166" i="1"/>
  <c r="A10167" i="1"/>
  <c r="B10167" i="1"/>
  <c r="A10168" i="1"/>
  <c r="B10168" i="1"/>
  <c r="A10169" i="1"/>
  <c r="B10169" i="1"/>
  <c r="A10170" i="1"/>
  <c r="B10170" i="1"/>
  <c r="A10171" i="1"/>
  <c r="B10171" i="1"/>
  <c r="A10172" i="1"/>
  <c r="B10172" i="1"/>
  <c r="A10173" i="1"/>
  <c r="B10173" i="1"/>
  <c r="A10174" i="1"/>
  <c r="B10174" i="1"/>
  <c r="A10175" i="1"/>
  <c r="B10175" i="1"/>
  <c r="A10176" i="1"/>
  <c r="B10176" i="1"/>
  <c r="A10177" i="1"/>
  <c r="B10177" i="1"/>
  <c r="A10178" i="1"/>
  <c r="B10178" i="1"/>
  <c r="A10179" i="1"/>
  <c r="B10179" i="1"/>
  <c r="A10180" i="1"/>
  <c r="B10180" i="1"/>
  <c r="A10181" i="1"/>
  <c r="B10181" i="1"/>
  <c r="A10182" i="1"/>
  <c r="B10182" i="1"/>
  <c r="A10183" i="1"/>
  <c r="B10183" i="1"/>
  <c r="A10184" i="1"/>
  <c r="B10184" i="1"/>
  <c r="A10185" i="1"/>
  <c r="B10185" i="1"/>
  <c r="A10186" i="1"/>
  <c r="B10186" i="1"/>
  <c r="A10187" i="1"/>
  <c r="B10187" i="1"/>
  <c r="A10188" i="1"/>
  <c r="B10188" i="1"/>
  <c r="A10189" i="1"/>
  <c r="B10189" i="1"/>
  <c r="A10190" i="1"/>
  <c r="B10190" i="1"/>
  <c r="A10191" i="1"/>
  <c r="B10191" i="1"/>
  <c r="A10192" i="1"/>
  <c r="B10192" i="1"/>
  <c r="A10193" i="1"/>
  <c r="B10193" i="1"/>
  <c r="A10194" i="1"/>
  <c r="B10194" i="1"/>
  <c r="A10195" i="1"/>
  <c r="B10195" i="1"/>
  <c r="A10196" i="1"/>
  <c r="B10196" i="1"/>
  <c r="A10197" i="1"/>
  <c r="B10197" i="1"/>
  <c r="A10198" i="1"/>
  <c r="B10198" i="1"/>
  <c r="A10199" i="1"/>
  <c r="B10199" i="1"/>
  <c r="A10200" i="1"/>
  <c r="B10200" i="1"/>
  <c r="A10201" i="1"/>
  <c r="B10201" i="1"/>
  <c r="A10202" i="1"/>
  <c r="B10202" i="1"/>
  <c r="A10203" i="1"/>
  <c r="B10203" i="1"/>
  <c r="A10204" i="1"/>
  <c r="B10204" i="1"/>
  <c r="A10205" i="1"/>
  <c r="B10205" i="1"/>
  <c r="A10206" i="1"/>
  <c r="B10206" i="1"/>
  <c r="A10207" i="1"/>
  <c r="B10207" i="1"/>
  <c r="A10208" i="1"/>
  <c r="B10208" i="1"/>
  <c r="A10209" i="1"/>
  <c r="B10209" i="1"/>
  <c r="A10210" i="1"/>
  <c r="B10210" i="1"/>
  <c r="A10211" i="1"/>
  <c r="B10211" i="1"/>
  <c r="A10212" i="1"/>
  <c r="B10212" i="1"/>
  <c r="A10213" i="1"/>
  <c r="B10213" i="1"/>
  <c r="A10214" i="1"/>
  <c r="B10214" i="1"/>
  <c r="A10215" i="1"/>
  <c r="B10215" i="1"/>
  <c r="A10216" i="1"/>
  <c r="B10216" i="1"/>
  <c r="A10217" i="1"/>
  <c r="B10217" i="1"/>
  <c r="A10218" i="1"/>
  <c r="B10218" i="1"/>
  <c r="A10219" i="1"/>
  <c r="B10219" i="1"/>
  <c r="A10220" i="1"/>
  <c r="B10220" i="1"/>
  <c r="A10221" i="1"/>
  <c r="B10221" i="1"/>
  <c r="A10222" i="1"/>
  <c r="B10222" i="1"/>
  <c r="A10223" i="1"/>
  <c r="B10223" i="1"/>
  <c r="A10224" i="1"/>
  <c r="B10224" i="1"/>
  <c r="A10225" i="1"/>
  <c r="B10225" i="1"/>
  <c r="A10226" i="1"/>
  <c r="B10226" i="1"/>
  <c r="A10227" i="1"/>
  <c r="B10227" i="1"/>
  <c r="A10228" i="1"/>
  <c r="B10228" i="1"/>
  <c r="A10229" i="1"/>
  <c r="B10229" i="1"/>
  <c r="A10230" i="1"/>
  <c r="B10230" i="1"/>
  <c r="A10231" i="1"/>
  <c r="B10231" i="1"/>
  <c r="A10232" i="1"/>
  <c r="B10232" i="1"/>
  <c r="A10233" i="1"/>
  <c r="B10233" i="1"/>
  <c r="A10234" i="1"/>
  <c r="B10234" i="1"/>
  <c r="A10235" i="1"/>
  <c r="B10235" i="1"/>
  <c r="A10236" i="1"/>
  <c r="B10236" i="1"/>
  <c r="A10237" i="1"/>
  <c r="B10237" i="1"/>
  <c r="A10238" i="1"/>
  <c r="B10238" i="1"/>
  <c r="A10239" i="1"/>
  <c r="B10239" i="1"/>
  <c r="A10240" i="1"/>
  <c r="B10240" i="1"/>
  <c r="A10241" i="1"/>
  <c r="B10241" i="1"/>
  <c r="A10242" i="1"/>
  <c r="B10242" i="1"/>
  <c r="A10243" i="1"/>
  <c r="B10243" i="1"/>
  <c r="A10244" i="1"/>
  <c r="B10244" i="1"/>
  <c r="A10245" i="1"/>
  <c r="B10245" i="1"/>
  <c r="A10246" i="1"/>
  <c r="B10246" i="1"/>
  <c r="A10247" i="1"/>
  <c r="B10247" i="1"/>
  <c r="A10248" i="1"/>
  <c r="B10248" i="1"/>
  <c r="A10249" i="1"/>
  <c r="B10249" i="1"/>
  <c r="A10250" i="1"/>
  <c r="B10250" i="1"/>
  <c r="A10251" i="1"/>
  <c r="B10251" i="1"/>
  <c r="A10252" i="1"/>
  <c r="B10252" i="1"/>
  <c r="A10253" i="1"/>
  <c r="B10253" i="1"/>
  <c r="A10254" i="1"/>
  <c r="B10254" i="1"/>
  <c r="A10255" i="1"/>
  <c r="B10255" i="1"/>
  <c r="A10256" i="1"/>
  <c r="B10256" i="1"/>
  <c r="A10257" i="1"/>
  <c r="B10257" i="1"/>
  <c r="A10258" i="1"/>
  <c r="B10258" i="1"/>
  <c r="A10259" i="1"/>
  <c r="B10259" i="1"/>
  <c r="A10260" i="1"/>
  <c r="B10260" i="1"/>
  <c r="A10261" i="1"/>
  <c r="B10261" i="1"/>
  <c r="A10262" i="1"/>
  <c r="B10262" i="1"/>
  <c r="A10263" i="1"/>
  <c r="B10263" i="1"/>
  <c r="A10264" i="1"/>
  <c r="B10264" i="1"/>
  <c r="A10265" i="1"/>
  <c r="B10265" i="1"/>
  <c r="A10266" i="1"/>
  <c r="B10266" i="1"/>
  <c r="A10267" i="1"/>
  <c r="B10267" i="1"/>
  <c r="A10268" i="1"/>
  <c r="B10268" i="1"/>
  <c r="A10269" i="1"/>
  <c r="B10269" i="1"/>
  <c r="A10270" i="1"/>
  <c r="B10270" i="1"/>
  <c r="A10271" i="1"/>
  <c r="B10271" i="1"/>
  <c r="A10272" i="1"/>
  <c r="B10272" i="1"/>
  <c r="A10273" i="1"/>
  <c r="B10273" i="1"/>
  <c r="A10274" i="1"/>
  <c r="B10274" i="1"/>
  <c r="A10275" i="1"/>
  <c r="B10275" i="1"/>
  <c r="A10276" i="1"/>
  <c r="B10276" i="1"/>
  <c r="A10277" i="1"/>
  <c r="B10277" i="1"/>
  <c r="A10278" i="1"/>
  <c r="B10278" i="1"/>
  <c r="A10279" i="1"/>
  <c r="B10279" i="1"/>
  <c r="A10280" i="1"/>
  <c r="B10280" i="1"/>
  <c r="A10281" i="1"/>
  <c r="B10281" i="1"/>
  <c r="A10282" i="1"/>
  <c r="B10282" i="1"/>
  <c r="A10283" i="1"/>
  <c r="B10283" i="1"/>
  <c r="A10284" i="1"/>
  <c r="B10284" i="1"/>
  <c r="A10285" i="1"/>
  <c r="B10285" i="1"/>
  <c r="A10286" i="1"/>
  <c r="B10286" i="1"/>
  <c r="A10287" i="1"/>
  <c r="B10287" i="1"/>
  <c r="A10288" i="1"/>
  <c r="B10288" i="1"/>
  <c r="A10289" i="1"/>
  <c r="B10289" i="1"/>
  <c r="A10290" i="1"/>
  <c r="B10290" i="1"/>
  <c r="A10291" i="1"/>
  <c r="B10291" i="1"/>
  <c r="A10292" i="1"/>
  <c r="B10292" i="1"/>
  <c r="A10293" i="1"/>
  <c r="B10293" i="1"/>
  <c r="A10294" i="1"/>
  <c r="B10294" i="1"/>
  <c r="A10295" i="1"/>
  <c r="B10295" i="1"/>
  <c r="A10296" i="1"/>
  <c r="B10296" i="1"/>
  <c r="A10297" i="1"/>
  <c r="B10297" i="1"/>
  <c r="A10298" i="1"/>
  <c r="B10298" i="1"/>
  <c r="A10299" i="1"/>
  <c r="B10299" i="1"/>
  <c r="A10300" i="1"/>
  <c r="B10300" i="1"/>
  <c r="A10301" i="1"/>
  <c r="B10301" i="1"/>
  <c r="A10302" i="1"/>
  <c r="B10302" i="1"/>
  <c r="A10303" i="1"/>
  <c r="B10303" i="1"/>
  <c r="A10304" i="1"/>
  <c r="B10304" i="1"/>
  <c r="A10305" i="1"/>
  <c r="B10305" i="1"/>
  <c r="A10306" i="1"/>
  <c r="B10306" i="1"/>
  <c r="A10307" i="1"/>
  <c r="B10307" i="1"/>
  <c r="A10308" i="1"/>
  <c r="B10308" i="1"/>
  <c r="A10309" i="1"/>
  <c r="B10309" i="1"/>
  <c r="A10310" i="1"/>
  <c r="B10310" i="1"/>
  <c r="A10311" i="1"/>
  <c r="B10311" i="1"/>
  <c r="A10312" i="1"/>
  <c r="B10312" i="1"/>
  <c r="A10313" i="1"/>
  <c r="B10313" i="1"/>
  <c r="A10314" i="1"/>
  <c r="B10314" i="1"/>
  <c r="A10315" i="1"/>
  <c r="B10315" i="1"/>
  <c r="A10316" i="1"/>
  <c r="B10316" i="1"/>
  <c r="A10317" i="1"/>
  <c r="B10317" i="1"/>
  <c r="A10318" i="1"/>
  <c r="B10318" i="1"/>
  <c r="A10319" i="1"/>
  <c r="B10319" i="1"/>
  <c r="A10320" i="1"/>
  <c r="B10320" i="1"/>
  <c r="A10321" i="1"/>
  <c r="B10321" i="1"/>
  <c r="A10322" i="1"/>
  <c r="B10322" i="1"/>
  <c r="A10323" i="1"/>
  <c r="B10323" i="1"/>
  <c r="A10324" i="1"/>
  <c r="B10324" i="1"/>
  <c r="A10325" i="1"/>
  <c r="B10325" i="1"/>
  <c r="A10326" i="1"/>
  <c r="B10326" i="1"/>
  <c r="A10327" i="1"/>
  <c r="B10327" i="1"/>
  <c r="A10328" i="1"/>
  <c r="B10328" i="1"/>
  <c r="A10329" i="1"/>
  <c r="B10329" i="1"/>
  <c r="A10330" i="1"/>
  <c r="B10330" i="1"/>
  <c r="A10331" i="1"/>
  <c r="B10331" i="1"/>
  <c r="A10332" i="1"/>
  <c r="B10332" i="1"/>
  <c r="A10333" i="1"/>
  <c r="B10333" i="1"/>
  <c r="A10334" i="1"/>
  <c r="B10334" i="1"/>
  <c r="A10335" i="1"/>
  <c r="B10335" i="1"/>
  <c r="A10336" i="1"/>
  <c r="B10336" i="1"/>
  <c r="A10337" i="1"/>
  <c r="B10337" i="1"/>
  <c r="A10338" i="1"/>
  <c r="B10338" i="1"/>
  <c r="A10339" i="1"/>
  <c r="B10339" i="1"/>
  <c r="A10340" i="1"/>
  <c r="B10340" i="1"/>
  <c r="A10341" i="1"/>
  <c r="B10341" i="1"/>
  <c r="A10342" i="1"/>
  <c r="B10342" i="1"/>
  <c r="A10343" i="1"/>
  <c r="B10343" i="1"/>
  <c r="A10344" i="1"/>
  <c r="B10344" i="1"/>
  <c r="A10345" i="1"/>
  <c r="B10345" i="1"/>
  <c r="A10346" i="1"/>
  <c r="B10346" i="1"/>
  <c r="A10347" i="1"/>
  <c r="B10347" i="1"/>
  <c r="A10348" i="1"/>
  <c r="B10348" i="1"/>
  <c r="A10349" i="1"/>
  <c r="B10349" i="1"/>
  <c r="A10350" i="1"/>
  <c r="B10350" i="1"/>
  <c r="A10351" i="1"/>
  <c r="B10351" i="1"/>
  <c r="A10352" i="1"/>
  <c r="B10352" i="1"/>
  <c r="A10353" i="1"/>
  <c r="B10353" i="1"/>
  <c r="A10354" i="1"/>
  <c r="B10354" i="1"/>
  <c r="A10355" i="1"/>
  <c r="B10355" i="1"/>
  <c r="A10356" i="1"/>
  <c r="B10356" i="1"/>
  <c r="A10357" i="1"/>
  <c r="B10357" i="1"/>
  <c r="A10358" i="1"/>
  <c r="B10358" i="1"/>
  <c r="A10359" i="1"/>
  <c r="B10359" i="1"/>
  <c r="A10360" i="1"/>
  <c r="B10360" i="1"/>
  <c r="A10361" i="1"/>
  <c r="B10361" i="1"/>
  <c r="A10362" i="1"/>
  <c r="B10362" i="1"/>
  <c r="A10363" i="1"/>
  <c r="B10363" i="1"/>
  <c r="A10364" i="1"/>
  <c r="B10364" i="1"/>
  <c r="A10365" i="1"/>
  <c r="B10365" i="1"/>
  <c r="A10366" i="1"/>
  <c r="B10366" i="1"/>
  <c r="A10367" i="1"/>
  <c r="B10367" i="1"/>
  <c r="A10368" i="1"/>
  <c r="B10368" i="1"/>
  <c r="A10369" i="1"/>
  <c r="B10369" i="1"/>
  <c r="A10370" i="1"/>
  <c r="B10370" i="1"/>
  <c r="A10371" i="1"/>
  <c r="B10371" i="1"/>
  <c r="A10372" i="1"/>
  <c r="B10372" i="1"/>
  <c r="A10373" i="1"/>
  <c r="B10373" i="1"/>
  <c r="A10374" i="1"/>
  <c r="B10374" i="1"/>
  <c r="A10375" i="1"/>
  <c r="B10375" i="1"/>
  <c r="A10376" i="1"/>
  <c r="B10376" i="1"/>
  <c r="A10377" i="1"/>
  <c r="B10377" i="1"/>
  <c r="A10378" i="1"/>
  <c r="B10378" i="1"/>
  <c r="A10379" i="1"/>
  <c r="B10379" i="1"/>
  <c r="A10380" i="1"/>
  <c r="B10380" i="1"/>
  <c r="A10381" i="1"/>
  <c r="B10381" i="1"/>
  <c r="A10382" i="1"/>
  <c r="B10382" i="1"/>
  <c r="A10383" i="1"/>
  <c r="B10383" i="1"/>
  <c r="A10384" i="1"/>
  <c r="B10384" i="1"/>
  <c r="A10385" i="1"/>
  <c r="B10385" i="1"/>
  <c r="A10386" i="1"/>
  <c r="B10386" i="1"/>
  <c r="A10387" i="1"/>
  <c r="B10387" i="1"/>
  <c r="A10388" i="1"/>
  <c r="B10388" i="1"/>
  <c r="A10389" i="1"/>
  <c r="B10389" i="1"/>
  <c r="A10390" i="1"/>
  <c r="B10390" i="1"/>
  <c r="A10391" i="1"/>
  <c r="B10391" i="1"/>
  <c r="A10392" i="1"/>
  <c r="B10392" i="1"/>
  <c r="A10393" i="1"/>
  <c r="B10393" i="1"/>
  <c r="A10394" i="1"/>
  <c r="B10394" i="1"/>
  <c r="A10395" i="1"/>
  <c r="B10395" i="1"/>
  <c r="A10396" i="1"/>
  <c r="B10396" i="1"/>
  <c r="A10397" i="1"/>
  <c r="B10397" i="1"/>
  <c r="A10398" i="1"/>
  <c r="B10398" i="1"/>
  <c r="A10399" i="1"/>
  <c r="B10399" i="1"/>
  <c r="A10400" i="1"/>
  <c r="B10400" i="1"/>
  <c r="A10401" i="1"/>
  <c r="B10401" i="1"/>
  <c r="A10402" i="1"/>
  <c r="B10402" i="1"/>
  <c r="A10403" i="1"/>
  <c r="B10403" i="1"/>
  <c r="A10404" i="1"/>
  <c r="B10404" i="1"/>
  <c r="A10405" i="1"/>
  <c r="B10405" i="1"/>
  <c r="A10406" i="1"/>
  <c r="B10406" i="1"/>
  <c r="A10407" i="1"/>
  <c r="B10407" i="1"/>
  <c r="A10408" i="1"/>
  <c r="B10408" i="1"/>
  <c r="A10409" i="1"/>
  <c r="B10409" i="1"/>
  <c r="A10410" i="1"/>
  <c r="B10410" i="1"/>
  <c r="A10411" i="1"/>
  <c r="B10411" i="1"/>
  <c r="A10412" i="1"/>
  <c r="B10412" i="1"/>
  <c r="A10413" i="1"/>
  <c r="B10413" i="1"/>
  <c r="A10414" i="1"/>
  <c r="B10414" i="1"/>
  <c r="A10415" i="1"/>
  <c r="B10415" i="1"/>
  <c r="A10416" i="1"/>
  <c r="B10416" i="1"/>
  <c r="A10417" i="1"/>
  <c r="B10417" i="1"/>
  <c r="A10418" i="1"/>
  <c r="B10418" i="1"/>
  <c r="A10419" i="1"/>
  <c r="B10419" i="1"/>
  <c r="A10420" i="1"/>
  <c r="B10420" i="1"/>
  <c r="A10421" i="1"/>
  <c r="B10421" i="1"/>
  <c r="A10422" i="1"/>
  <c r="B10422" i="1"/>
  <c r="A10423" i="1"/>
  <c r="B10423" i="1"/>
  <c r="A10424" i="1"/>
  <c r="B10424" i="1"/>
  <c r="A10425" i="1"/>
  <c r="B10425" i="1"/>
  <c r="A10426" i="1"/>
  <c r="B10426" i="1"/>
  <c r="A10427" i="1"/>
  <c r="B10427" i="1"/>
  <c r="A10428" i="1"/>
  <c r="B10428" i="1"/>
  <c r="A10429" i="1"/>
  <c r="B10429" i="1"/>
  <c r="A10430" i="1"/>
  <c r="B10430" i="1"/>
  <c r="A10431" i="1"/>
  <c r="B10431" i="1"/>
  <c r="A10432" i="1"/>
  <c r="B10432" i="1"/>
  <c r="A10433" i="1"/>
  <c r="B10433" i="1"/>
  <c r="A10434" i="1"/>
  <c r="B10434" i="1"/>
  <c r="A10435" i="1"/>
  <c r="B10435" i="1"/>
  <c r="A10436" i="1"/>
  <c r="B10436" i="1"/>
  <c r="A10437" i="1"/>
  <c r="B10437" i="1"/>
  <c r="A10438" i="1"/>
  <c r="B10438" i="1"/>
  <c r="A10439" i="1"/>
  <c r="B10439" i="1"/>
  <c r="A10440" i="1"/>
  <c r="B10440" i="1"/>
  <c r="A10441" i="1"/>
  <c r="B10441" i="1"/>
  <c r="A10442" i="1"/>
  <c r="B10442" i="1"/>
  <c r="A10443" i="1"/>
  <c r="B10443" i="1"/>
  <c r="A10444" i="1"/>
  <c r="B10444" i="1"/>
  <c r="A10445" i="1"/>
  <c r="B10445" i="1"/>
  <c r="A10446" i="1"/>
  <c r="B10446" i="1"/>
  <c r="A10447" i="1"/>
  <c r="B10447" i="1"/>
  <c r="A10448" i="1"/>
  <c r="B10448" i="1"/>
  <c r="A10449" i="1"/>
  <c r="B10449" i="1"/>
  <c r="A10450" i="1"/>
  <c r="B10450" i="1"/>
  <c r="A10451" i="1"/>
  <c r="B10451" i="1"/>
  <c r="A10452" i="1"/>
  <c r="B10452" i="1"/>
  <c r="A10453" i="1"/>
  <c r="B10453" i="1"/>
  <c r="A10454" i="1"/>
  <c r="B10454" i="1"/>
  <c r="A10455" i="1"/>
  <c r="B10455" i="1"/>
  <c r="A10456" i="1"/>
  <c r="B10456" i="1"/>
  <c r="A10457" i="1"/>
  <c r="B10457" i="1"/>
  <c r="A10458" i="1"/>
  <c r="B10458" i="1"/>
  <c r="A10459" i="1"/>
  <c r="B10459" i="1"/>
  <c r="A10460" i="1"/>
  <c r="B10460" i="1"/>
  <c r="A10461" i="1"/>
  <c r="B10461" i="1"/>
  <c r="A10462" i="1"/>
  <c r="B10462" i="1"/>
  <c r="A10463" i="1"/>
  <c r="B10463" i="1"/>
  <c r="A10464" i="1"/>
  <c r="B10464" i="1"/>
  <c r="A10465" i="1"/>
  <c r="B10465" i="1"/>
  <c r="A10466" i="1"/>
  <c r="B10466" i="1"/>
  <c r="A10467" i="1"/>
  <c r="B10467" i="1"/>
  <c r="A10468" i="1"/>
  <c r="B10468" i="1"/>
  <c r="A10469" i="1"/>
  <c r="B10469" i="1"/>
  <c r="A10470" i="1"/>
  <c r="B10470" i="1"/>
  <c r="A10471" i="1"/>
  <c r="B10471" i="1"/>
  <c r="A10472" i="1"/>
  <c r="B10472" i="1"/>
  <c r="A10473" i="1"/>
  <c r="B10473" i="1"/>
  <c r="A10474" i="1"/>
  <c r="B10474" i="1"/>
  <c r="A10475" i="1"/>
  <c r="B10475" i="1"/>
  <c r="A10476" i="1"/>
  <c r="B10476" i="1"/>
  <c r="A10477" i="1"/>
  <c r="B10477" i="1"/>
  <c r="A10478" i="1"/>
  <c r="B10478" i="1"/>
  <c r="A10479" i="1"/>
  <c r="B10479" i="1"/>
  <c r="A10480" i="1"/>
  <c r="B10480" i="1"/>
  <c r="A10481" i="1"/>
  <c r="B10481" i="1"/>
  <c r="A10482" i="1"/>
  <c r="B10482" i="1"/>
  <c r="A10483" i="1"/>
  <c r="B10483" i="1"/>
  <c r="A10484" i="1"/>
  <c r="B10484" i="1"/>
  <c r="A10485" i="1"/>
  <c r="B10485" i="1"/>
  <c r="A10486" i="1"/>
  <c r="B10486" i="1"/>
  <c r="A10487" i="1"/>
  <c r="B10487" i="1"/>
  <c r="A10488" i="1"/>
  <c r="B10488" i="1"/>
  <c r="A10489" i="1"/>
  <c r="B10489" i="1"/>
  <c r="A10490" i="1"/>
  <c r="B10490" i="1"/>
  <c r="A10491" i="1"/>
  <c r="B10491" i="1"/>
  <c r="A10492" i="1"/>
  <c r="B10492" i="1"/>
  <c r="A10493" i="1"/>
  <c r="B10493" i="1"/>
  <c r="A10494" i="1"/>
  <c r="B10494" i="1"/>
  <c r="A10495" i="1"/>
  <c r="B10495" i="1"/>
  <c r="A10496" i="1"/>
  <c r="B10496" i="1"/>
  <c r="A10497" i="1"/>
  <c r="B10497" i="1"/>
  <c r="A10498" i="1"/>
  <c r="B10498" i="1"/>
  <c r="A10499" i="1"/>
  <c r="B10499" i="1"/>
  <c r="A10500" i="1"/>
  <c r="B10500" i="1"/>
  <c r="A10501" i="1"/>
  <c r="B10501" i="1"/>
  <c r="A10502" i="1"/>
  <c r="B10502" i="1"/>
  <c r="A10503" i="1"/>
  <c r="B10503" i="1"/>
  <c r="A10504" i="1"/>
  <c r="B10504" i="1"/>
  <c r="A10505" i="1"/>
  <c r="B10505" i="1"/>
  <c r="A10506" i="1"/>
  <c r="B10506" i="1"/>
  <c r="A10507" i="1"/>
  <c r="B10507" i="1"/>
  <c r="A10508" i="1"/>
  <c r="B10508" i="1"/>
  <c r="A10509" i="1"/>
  <c r="B10509" i="1"/>
  <c r="A10510" i="1"/>
  <c r="B10510" i="1"/>
  <c r="A10511" i="1"/>
  <c r="B10511" i="1"/>
  <c r="A10512" i="1"/>
  <c r="B10512" i="1"/>
  <c r="A10513" i="1"/>
  <c r="B10513" i="1"/>
  <c r="A10514" i="1"/>
  <c r="B10514" i="1"/>
  <c r="A10515" i="1"/>
  <c r="B10515" i="1"/>
  <c r="A10516" i="1"/>
  <c r="B10516" i="1"/>
  <c r="A10517" i="1"/>
  <c r="B10517" i="1"/>
  <c r="A10518" i="1"/>
  <c r="B10518" i="1"/>
  <c r="A10519" i="1"/>
  <c r="B10519" i="1"/>
  <c r="A10520" i="1"/>
  <c r="B10520" i="1"/>
  <c r="A10521" i="1"/>
  <c r="B10521" i="1"/>
  <c r="A10522" i="1"/>
  <c r="B10522" i="1"/>
  <c r="A10523" i="1"/>
  <c r="B10523" i="1"/>
  <c r="A10524" i="1"/>
  <c r="B10524" i="1"/>
  <c r="A10525" i="1"/>
  <c r="B10525" i="1"/>
  <c r="A10526" i="1"/>
  <c r="B10526" i="1"/>
  <c r="A10527" i="1"/>
  <c r="B10527" i="1"/>
  <c r="A10528" i="1"/>
  <c r="B10528" i="1"/>
  <c r="A10529" i="1"/>
  <c r="B10529" i="1"/>
  <c r="A10530" i="1"/>
  <c r="B10530" i="1"/>
  <c r="A10531" i="1"/>
  <c r="B10531" i="1"/>
  <c r="A10532" i="1"/>
  <c r="B10532" i="1"/>
  <c r="A10533" i="1"/>
  <c r="B10533" i="1"/>
  <c r="A10534" i="1"/>
  <c r="B10534" i="1"/>
  <c r="A10535" i="1"/>
  <c r="B10535" i="1"/>
  <c r="A10536" i="1"/>
  <c r="B10536" i="1"/>
  <c r="A10537" i="1"/>
  <c r="B10537" i="1"/>
  <c r="A10538" i="1"/>
  <c r="B10538" i="1"/>
  <c r="A10539" i="1"/>
  <c r="B10539" i="1"/>
  <c r="A10540" i="1"/>
  <c r="B10540" i="1"/>
  <c r="A10541" i="1"/>
  <c r="B10541" i="1"/>
  <c r="A10542" i="1"/>
  <c r="B10542" i="1"/>
  <c r="A10543" i="1"/>
  <c r="B10543" i="1"/>
  <c r="A10544" i="1"/>
  <c r="B10544" i="1"/>
  <c r="A10545" i="1"/>
  <c r="B10545" i="1"/>
  <c r="A10546" i="1"/>
  <c r="B10546" i="1"/>
  <c r="A10547" i="1"/>
  <c r="B10547" i="1"/>
  <c r="A10548" i="1"/>
  <c r="B10548" i="1"/>
  <c r="A10549" i="1"/>
  <c r="B10549" i="1"/>
  <c r="A10550" i="1"/>
  <c r="B10550" i="1"/>
  <c r="A10551" i="1"/>
  <c r="B10551" i="1"/>
  <c r="A10552" i="1"/>
  <c r="B10552" i="1"/>
  <c r="A10553" i="1"/>
  <c r="B10553" i="1"/>
  <c r="A10554" i="1"/>
  <c r="B10554" i="1"/>
  <c r="A10555" i="1"/>
  <c r="B10555" i="1"/>
  <c r="A10556" i="1"/>
  <c r="B10556" i="1"/>
  <c r="A10557" i="1"/>
  <c r="B10557" i="1"/>
  <c r="A10558" i="1"/>
  <c r="B10558" i="1"/>
  <c r="A10559" i="1"/>
  <c r="B10559" i="1"/>
  <c r="A10560" i="1"/>
  <c r="B10560" i="1"/>
  <c r="A10561" i="1"/>
  <c r="B10561" i="1"/>
  <c r="A10562" i="1"/>
  <c r="B10562" i="1"/>
  <c r="A10563" i="1"/>
  <c r="B10563" i="1"/>
  <c r="A10564" i="1"/>
  <c r="B10564" i="1"/>
  <c r="A10565" i="1"/>
  <c r="B10565" i="1"/>
  <c r="A10566" i="1"/>
  <c r="B10566" i="1"/>
  <c r="A10567" i="1"/>
  <c r="B10567" i="1"/>
  <c r="A10568" i="1"/>
  <c r="B10568" i="1"/>
  <c r="A10569" i="1"/>
  <c r="B10569" i="1"/>
  <c r="A10570" i="1"/>
  <c r="B10570" i="1"/>
  <c r="A10571" i="1"/>
  <c r="B10571" i="1"/>
  <c r="A10572" i="1"/>
  <c r="B10572" i="1"/>
  <c r="A10573" i="1"/>
  <c r="B10573" i="1"/>
  <c r="A10574" i="1"/>
  <c r="B10574" i="1"/>
  <c r="A10575" i="1"/>
  <c r="B10575" i="1"/>
  <c r="A10576" i="1"/>
  <c r="B10576" i="1"/>
  <c r="A10577" i="1"/>
  <c r="B10577" i="1"/>
  <c r="A10578" i="1"/>
  <c r="B10578" i="1"/>
  <c r="A10579" i="1"/>
  <c r="B10579" i="1"/>
  <c r="A10580" i="1"/>
  <c r="B10580" i="1"/>
  <c r="A10581" i="1"/>
  <c r="B10581" i="1"/>
  <c r="A10582" i="1"/>
  <c r="B10582" i="1"/>
  <c r="A10583" i="1"/>
  <c r="B10583" i="1"/>
  <c r="A10584" i="1"/>
  <c r="B10584" i="1"/>
  <c r="A10585" i="1"/>
  <c r="B10585" i="1"/>
  <c r="A10586" i="1"/>
  <c r="B10586" i="1"/>
  <c r="A10587" i="1"/>
  <c r="B10587" i="1"/>
  <c r="A10588" i="1"/>
  <c r="B10588" i="1"/>
  <c r="A10589" i="1"/>
  <c r="B10589" i="1"/>
  <c r="A10590" i="1"/>
  <c r="B10590" i="1"/>
  <c r="A10591" i="1"/>
  <c r="B10591" i="1"/>
  <c r="A10592" i="1"/>
  <c r="B10592" i="1"/>
  <c r="A10593" i="1"/>
  <c r="B10593" i="1"/>
  <c r="A10594" i="1"/>
  <c r="B10594" i="1"/>
  <c r="A10595" i="1"/>
  <c r="B10595" i="1"/>
  <c r="A10596" i="1"/>
  <c r="B10596" i="1"/>
  <c r="A10597" i="1"/>
  <c r="B10597" i="1"/>
  <c r="A10598" i="1"/>
  <c r="B10598" i="1"/>
  <c r="A10599" i="1"/>
  <c r="B10599" i="1"/>
  <c r="A10600" i="1"/>
  <c r="B10600" i="1"/>
  <c r="A10601" i="1"/>
  <c r="B10601" i="1"/>
  <c r="A10602" i="1"/>
  <c r="B10602" i="1"/>
  <c r="A10603" i="1"/>
  <c r="B10603" i="1"/>
  <c r="A10604" i="1"/>
  <c r="B10604" i="1"/>
  <c r="A10605" i="1"/>
  <c r="B10605" i="1"/>
  <c r="A10606" i="1"/>
  <c r="B10606" i="1"/>
  <c r="A10607" i="1"/>
  <c r="B10607" i="1"/>
  <c r="A10608" i="1"/>
  <c r="B10608" i="1"/>
  <c r="A10609" i="1"/>
  <c r="B10609" i="1"/>
  <c r="A10610" i="1"/>
  <c r="B10610" i="1"/>
  <c r="A10611" i="1"/>
  <c r="B10611" i="1"/>
  <c r="A10612" i="1"/>
  <c r="B10612" i="1"/>
  <c r="A10613" i="1"/>
  <c r="B10613" i="1"/>
  <c r="A10614" i="1"/>
  <c r="B10614" i="1"/>
  <c r="A10615" i="1"/>
  <c r="B10615" i="1"/>
  <c r="A10616" i="1"/>
  <c r="B10616" i="1"/>
  <c r="A10617" i="1"/>
  <c r="B10617" i="1"/>
  <c r="A10618" i="1"/>
  <c r="B10618" i="1"/>
  <c r="A10619" i="1"/>
  <c r="B10619" i="1"/>
  <c r="A10620" i="1"/>
  <c r="B10620" i="1"/>
  <c r="A10621" i="1"/>
  <c r="B10621" i="1"/>
  <c r="A10622" i="1"/>
  <c r="B10622" i="1"/>
  <c r="A10623" i="1"/>
  <c r="B10623" i="1"/>
  <c r="A10624" i="1"/>
  <c r="B10624" i="1"/>
  <c r="A10625" i="1"/>
  <c r="B10625" i="1"/>
  <c r="A10626" i="1"/>
  <c r="B10626" i="1"/>
  <c r="A10627" i="1"/>
  <c r="B10627" i="1"/>
  <c r="A10628" i="1"/>
  <c r="B10628" i="1"/>
  <c r="A10629" i="1"/>
  <c r="B10629" i="1"/>
  <c r="A10630" i="1"/>
  <c r="B10630" i="1"/>
  <c r="A10631" i="1"/>
  <c r="B10631" i="1"/>
  <c r="A10632" i="1"/>
  <c r="B10632" i="1"/>
  <c r="A10633" i="1"/>
  <c r="B10633" i="1"/>
  <c r="A10634" i="1"/>
  <c r="B10634" i="1"/>
  <c r="A10635" i="1"/>
  <c r="B10635" i="1"/>
  <c r="A10636" i="1"/>
  <c r="B10636" i="1"/>
  <c r="A10637" i="1"/>
  <c r="B10637" i="1"/>
  <c r="A10638" i="1"/>
  <c r="B10638" i="1"/>
  <c r="A10639" i="1"/>
  <c r="B10639" i="1"/>
  <c r="A10640" i="1"/>
  <c r="B10640" i="1"/>
  <c r="A10641" i="1"/>
  <c r="B10641" i="1"/>
  <c r="A10642" i="1"/>
  <c r="B10642" i="1"/>
  <c r="A10643" i="1"/>
  <c r="B10643" i="1"/>
  <c r="A10644" i="1"/>
  <c r="B10644" i="1"/>
  <c r="A10645" i="1"/>
  <c r="B10645" i="1"/>
  <c r="A10646" i="1"/>
  <c r="B10646" i="1"/>
  <c r="A10647" i="1"/>
  <c r="B10647" i="1"/>
  <c r="A10648" i="1"/>
  <c r="B10648" i="1"/>
  <c r="A10649" i="1"/>
  <c r="B10649" i="1"/>
  <c r="A10650" i="1"/>
  <c r="B10650" i="1"/>
  <c r="A10651" i="1"/>
  <c r="B10651" i="1"/>
  <c r="A10652" i="1"/>
  <c r="B10652" i="1"/>
  <c r="A10653" i="1"/>
  <c r="B10653" i="1"/>
  <c r="A10654" i="1"/>
  <c r="B10654" i="1"/>
  <c r="A10655" i="1"/>
  <c r="B10655" i="1"/>
  <c r="A10656" i="1"/>
  <c r="B10656" i="1"/>
  <c r="A10657" i="1"/>
  <c r="B10657" i="1"/>
  <c r="A10658" i="1"/>
  <c r="B10658" i="1"/>
  <c r="A10659" i="1"/>
  <c r="B10659" i="1"/>
  <c r="A10660" i="1"/>
  <c r="B10660" i="1"/>
  <c r="A10661" i="1"/>
  <c r="B10661" i="1"/>
  <c r="A10662" i="1"/>
  <c r="B10662" i="1"/>
  <c r="A10663" i="1"/>
  <c r="B10663" i="1"/>
  <c r="A10664" i="1"/>
  <c r="B10664" i="1"/>
  <c r="A10665" i="1"/>
  <c r="B10665" i="1"/>
  <c r="A10666" i="1"/>
  <c r="B10666" i="1"/>
  <c r="A10667" i="1"/>
  <c r="B10667" i="1"/>
  <c r="A10668" i="1"/>
  <c r="B10668" i="1"/>
  <c r="A10669" i="1"/>
  <c r="B10669" i="1"/>
  <c r="A10670" i="1"/>
  <c r="B10670" i="1"/>
  <c r="A10671" i="1"/>
  <c r="B10671" i="1"/>
  <c r="A10672" i="1"/>
  <c r="B10672" i="1"/>
  <c r="A10673" i="1"/>
  <c r="B10673" i="1"/>
  <c r="A10674" i="1"/>
  <c r="B10674" i="1"/>
  <c r="A10675" i="1"/>
  <c r="B10675" i="1"/>
  <c r="A10676" i="1"/>
  <c r="B10676" i="1"/>
  <c r="A10677" i="1"/>
  <c r="B10677" i="1"/>
  <c r="A10678" i="1"/>
  <c r="B10678" i="1"/>
  <c r="A10679" i="1"/>
  <c r="B10679" i="1"/>
  <c r="A10680" i="1"/>
  <c r="B10680" i="1"/>
  <c r="A10681" i="1"/>
  <c r="B10681" i="1"/>
  <c r="A10682" i="1"/>
  <c r="B10682" i="1"/>
  <c r="A10683" i="1"/>
  <c r="B10683" i="1"/>
  <c r="A10684" i="1"/>
  <c r="B10684" i="1"/>
  <c r="A10685" i="1"/>
  <c r="B10685" i="1"/>
  <c r="A10686" i="1"/>
  <c r="B10686" i="1"/>
  <c r="A10687" i="1"/>
  <c r="B10687" i="1"/>
  <c r="A10688" i="1"/>
  <c r="B10688" i="1"/>
  <c r="A10689" i="1"/>
  <c r="B10689" i="1"/>
  <c r="A10690" i="1"/>
  <c r="B10690" i="1"/>
  <c r="A10691" i="1"/>
  <c r="B10691" i="1"/>
  <c r="A10692" i="1"/>
  <c r="B10692" i="1"/>
  <c r="A10693" i="1"/>
  <c r="B10693" i="1"/>
  <c r="A10694" i="1"/>
  <c r="B10694" i="1"/>
  <c r="A10695" i="1"/>
  <c r="B10695" i="1"/>
  <c r="A10696" i="1"/>
  <c r="B10696" i="1"/>
  <c r="A10697" i="1"/>
  <c r="B10697" i="1"/>
  <c r="A10698" i="1"/>
  <c r="B10698" i="1"/>
  <c r="A10699" i="1"/>
  <c r="B10699" i="1"/>
  <c r="A10700" i="1"/>
  <c r="B10700" i="1"/>
  <c r="A10701" i="1"/>
  <c r="B10701" i="1"/>
  <c r="A10702" i="1"/>
  <c r="B10702" i="1"/>
  <c r="A10703" i="1"/>
  <c r="B10703" i="1"/>
  <c r="A10704" i="1"/>
  <c r="B10704" i="1"/>
  <c r="A10705" i="1"/>
  <c r="B10705" i="1"/>
  <c r="A10706" i="1"/>
  <c r="B10706" i="1"/>
  <c r="A10707" i="1"/>
  <c r="B10707" i="1"/>
  <c r="A10708" i="1"/>
  <c r="B10708" i="1"/>
  <c r="A10709" i="1"/>
  <c r="B10709" i="1"/>
  <c r="A10710" i="1"/>
  <c r="B10710" i="1"/>
  <c r="A10711" i="1"/>
  <c r="B10711" i="1"/>
  <c r="A10712" i="1"/>
  <c r="B10712" i="1"/>
  <c r="A10713" i="1"/>
  <c r="B10713" i="1"/>
  <c r="A10714" i="1"/>
  <c r="B10714" i="1"/>
  <c r="A10715" i="1"/>
  <c r="B10715" i="1"/>
  <c r="A10716" i="1"/>
  <c r="B10716" i="1"/>
  <c r="A10717" i="1"/>
  <c r="B10717" i="1"/>
  <c r="A10718" i="1"/>
  <c r="B10718" i="1"/>
  <c r="A10719" i="1"/>
  <c r="B10719" i="1"/>
  <c r="A10720" i="1"/>
  <c r="B10720" i="1"/>
  <c r="A10721" i="1"/>
  <c r="B10721" i="1"/>
  <c r="A10722" i="1"/>
  <c r="B10722" i="1"/>
  <c r="A10723" i="1"/>
  <c r="B10723" i="1"/>
  <c r="A10724" i="1"/>
  <c r="B10724" i="1"/>
  <c r="A10725" i="1"/>
  <c r="B10725" i="1"/>
  <c r="A10726" i="1"/>
  <c r="B10726" i="1"/>
  <c r="A10727" i="1"/>
  <c r="B10727" i="1"/>
  <c r="A10728" i="1"/>
  <c r="B10728" i="1"/>
  <c r="A10729" i="1"/>
  <c r="B10729" i="1"/>
  <c r="A10730" i="1"/>
  <c r="B10730" i="1"/>
  <c r="A10731" i="1"/>
  <c r="B10731" i="1"/>
  <c r="A10732" i="1"/>
  <c r="B10732" i="1"/>
  <c r="A10733" i="1"/>
  <c r="B10733" i="1"/>
  <c r="A10734" i="1"/>
  <c r="B10734" i="1"/>
  <c r="A10735" i="1"/>
  <c r="B10735" i="1"/>
  <c r="A10736" i="1"/>
  <c r="B10736" i="1"/>
  <c r="A10737" i="1"/>
  <c r="B10737" i="1"/>
  <c r="A10738" i="1"/>
  <c r="B10738" i="1"/>
  <c r="A10739" i="1"/>
  <c r="B10739" i="1"/>
  <c r="A10740" i="1"/>
  <c r="B10740" i="1"/>
  <c r="A10741" i="1"/>
  <c r="B10741" i="1"/>
  <c r="A10742" i="1"/>
  <c r="B10742" i="1"/>
  <c r="A10743" i="1"/>
  <c r="B10743" i="1"/>
  <c r="A10744" i="1"/>
  <c r="B10744" i="1"/>
  <c r="A10745" i="1"/>
  <c r="B10745" i="1"/>
  <c r="A10746" i="1"/>
  <c r="B10746" i="1"/>
  <c r="A10747" i="1"/>
  <c r="B10747" i="1"/>
  <c r="A10748" i="1"/>
  <c r="B10748" i="1"/>
  <c r="A10749" i="1"/>
  <c r="B10749" i="1"/>
  <c r="A10750" i="1"/>
  <c r="B10750" i="1"/>
  <c r="A10751" i="1"/>
  <c r="B10751" i="1"/>
  <c r="A10752" i="1"/>
  <c r="B10752" i="1"/>
  <c r="A10753" i="1"/>
  <c r="B10753" i="1"/>
  <c r="A10754" i="1"/>
  <c r="B10754" i="1"/>
  <c r="A10755" i="1"/>
  <c r="B10755" i="1"/>
  <c r="A10756" i="1"/>
  <c r="B10756" i="1"/>
  <c r="A10757" i="1"/>
  <c r="B10757" i="1"/>
  <c r="A10758" i="1"/>
  <c r="B10758" i="1"/>
  <c r="A10759" i="1"/>
  <c r="B10759" i="1"/>
  <c r="A10760" i="1"/>
  <c r="B10760" i="1"/>
  <c r="A10761" i="1"/>
  <c r="B10761" i="1"/>
  <c r="A10762" i="1"/>
  <c r="B10762" i="1"/>
  <c r="A10763" i="1"/>
  <c r="B10763" i="1"/>
  <c r="A10764" i="1"/>
  <c r="B10764" i="1"/>
  <c r="A10765" i="1"/>
  <c r="B10765" i="1"/>
  <c r="A10766" i="1"/>
  <c r="B10766" i="1"/>
  <c r="A10767" i="1"/>
  <c r="B10767" i="1"/>
  <c r="A10768" i="1"/>
  <c r="B10768" i="1"/>
  <c r="A10769" i="1"/>
  <c r="B10769" i="1"/>
  <c r="A10770" i="1"/>
  <c r="B10770" i="1"/>
  <c r="A10771" i="1"/>
  <c r="B10771" i="1"/>
  <c r="A10772" i="1"/>
  <c r="B10772" i="1"/>
  <c r="A10773" i="1"/>
  <c r="B10773" i="1"/>
  <c r="A10774" i="1"/>
  <c r="B10774" i="1"/>
  <c r="A10775" i="1"/>
  <c r="B10775" i="1"/>
  <c r="A10776" i="1"/>
  <c r="B10776" i="1"/>
  <c r="A10777" i="1"/>
  <c r="B10777" i="1"/>
  <c r="A10778" i="1"/>
  <c r="B10778" i="1"/>
  <c r="A10779" i="1"/>
  <c r="B10779" i="1"/>
  <c r="A10780" i="1"/>
  <c r="B10780" i="1"/>
  <c r="A10781" i="1"/>
  <c r="B10781" i="1"/>
  <c r="A10782" i="1"/>
  <c r="B10782" i="1"/>
  <c r="A10783" i="1"/>
  <c r="B10783" i="1"/>
  <c r="A10784" i="1"/>
  <c r="B10784" i="1"/>
  <c r="A10785" i="1"/>
  <c r="B10785" i="1"/>
  <c r="A10786" i="1"/>
  <c r="B10786" i="1"/>
  <c r="A10787" i="1"/>
  <c r="B10787" i="1"/>
  <c r="A10788" i="1"/>
  <c r="B10788" i="1"/>
  <c r="A10789" i="1"/>
  <c r="B10789" i="1"/>
  <c r="A10790" i="1"/>
  <c r="B10790" i="1"/>
  <c r="A10791" i="1"/>
  <c r="B10791" i="1"/>
  <c r="A10792" i="1"/>
  <c r="B10792" i="1"/>
  <c r="A10793" i="1"/>
  <c r="B10793" i="1"/>
  <c r="A10794" i="1"/>
  <c r="B10794" i="1"/>
  <c r="A10795" i="1"/>
  <c r="B10795" i="1"/>
  <c r="A10796" i="1"/>
  <c r="B10796" i="1"/>
  <c r="A10797" i="1"/>
  <c r="B10797" i="1"/>
  <c r="A10798" i="1"/>
  <c r="B10798" i="1"/>
  <c r="A10799" i="1"/>
  <c r="B10799" i="1"/>
  <c r="A10800" i="1"/>
  <c r="B10800" i="1"/>
  <c r="A10801" i="1"/>
  <c r="B10801" i="1"/>
  <c r="A10802" i="1"/>
  <c r="B10802" i="1"/>
  <c r="A10803" i="1"/>
  <c r="B10803" i="1"/>
  <c r="A10804" i="1"/>
  <c r="B10804" i="1"/>
  <c r="A10805" i="1"/>
  <c r="B10805" i="1"/>
  <c r="A10806" i="1"/>
  <c r="B10806" i="1"/>
  <c r="A10807" i="1"/>
  <c r="B10807" i="1"/>
  <c r="A10808" i="1"/>
  <c r="B10808" i="1"/>
  <c r="A10809" i="1"/>
  <c r="B10809" i="1"/>
  <c r="A10810" i="1"/>
  <c r="B10810" i="1"/>
  <c r="A10811" i="1"/>
  <c r="B10811" i="1"/>
  <c r="A10812" i="1"/>
  <c r="B10812" i="1"/>
  <c r="A10813" i="1"/>
  <c r="B10813" i="1"/>
  <c r="A10814" i="1"/>
  <c r="B10814" i="1"/>
  <c r="A10815" i="1"/>
  <c r="B10815" i="1"/>
  <c r="A10816" i="1"/>
  <c r="B10816" i="1"/>
  <c r="A10817" i="1"/>
  <c r="B10817" i="1"/>
  <c r="A10818" i="1"/>
  <c r="B10818" i="1"/>
  <c r="A10819" i="1"/>
  <c r="B10819" i="1"/>
  <c r="A10820" i="1"/>
  <c r="B10820" i="1"/>
  <c r="B10821" i="1"/>
  <c r="A10822" i="1"/>
  <c r="B10822" i="1"/>
  <c r="A10823" i="1"/>
  <c r="B10823" i="1"/>
  <c r="A10824" i="1"/>
  <c r="B10824" i="1"/>
  <c r="A10825" i="1"/>
  <c r="B10825" i="1"/>
  <c r="A10826" i="1"/>
  <c r="B10826" i="1"/>
  <c r="A10827" i="1"/>
  <c r="B10827" i="1"/>
  <c r="A10828" i="1"/>
  <c r="B10828" i="1"/>
  <c r="A10829" i="1"/>
  <c r="B10829" i="1"/>
  <c r="A10830" i="1"/>
  <c r="B10830" i="1"/>
  <c r="A10831" i="1"/>
  <c r="B10831" i="1"/>
  <c r="A10832" i="1"/>
  <c r="B10832" i="1"/>
  <c r="A10833" i="1"/>
  <c r="B10833" i="1"/>
  <c r="A10834" i="1"/>
  <c r="B10834" i="1"/>
  <c r="A10835" i="1"/>
  <c r="B10835" i="1"/>
  <c r="A10836" i="1"/>
  <c r="B10836" i="1"/>
  <c r="A10837" i="1"/>
  <c r="B10837" i="1"/>
  <c r="A10838" i="1"/>
  <c r="B10838" i="1"/>
  <c r="A10839" i="1"/>
  <c r="B10839" i="1"/>
  <c r="A10840" i="1"/>
  <c r="B10840" i="1"/>
  <c r="A10841" i="1"/>
  <c r="B10841" i="1"/>
  <c r="A10842" i="1"/>
  <c r="B10842" i="1"/>
  <c r="A10843" i="1"/>
  <c r="B10843" i="1"/>
  <c r="A10844" i="1"/>
  <c r="B10844" i="1"/>
  <c r="A10845" i="1"/>
  <c r="B10845" i="1"/>
  <c r="A10846" i="1"/>
  <c r="B10846" i="1"/>
  <c r="A10847" i="1"/>
  <c r="B10847" i="1"/>
  <c r="A10848" i="1"/>
  <c r="B10848" i="1"/>
  <c r="A10849" i="1"/>
  <c r="B10849" i="1"/>
  <c r="A10850" i="1"/>
  <c r="B10850" i="1"/>
  <c r="A10851" i="1"/>
  <c r="B10851" i="1"/>
  <c r="A10852" i="1"/>
  <c r="B10852" i="1"/>
  <c r="A10853" i="1"/>
  <c r="B10853" i="1"/>
  <c r="A10854" i="1"/>
  <c r="B10854" i="1"/>
  <c r="A10855" i="1"/>
  <c r="B10855" i="1"/>
  <c r="A10856" i="1"/>
  <c r="B10856" i="1"/>
  <c r="A10857" i="1"/>
  <c r="B10857" i="1"/>
  <c r="A10858" i="1"/>
  <c r="B10858" i="1"/>
  <c r="A10859" i="1"/>
  <c r="B10859" i="1"/>
  <c r="A10860" i="1"/>
  <c r="B10860" i="1"/>
  <c r="A10861" i="1"/>
  <c r="B10861" i="1"/>
  <c r="A10862" i="1"/>
  <c r="B10862" i="1"/>
  <c r="A10863" i="1"/>
  <c r="B10863" i="1"/>
  <c r="A10864" i="1"/>
  <c r="B10864" i="1"/>
  <c r="A10865" i="1"/>
  <c r="B10865" i="1"/>
  <c r="A10866" i="1"/>
  <c r="B10866" i="1"/>
  <c r="A10867" i="1"/>
  <c r="B10867" i="1"/>
  <c r="A10868" i="1"/>
  <c r="B10868" i="1"/>
  <c r="A10869" i="1"/>
  <c r="B10869" i="1"/>
  <c r="A10870" i="1"/>
  <c r="B10870" i="1"/>
  <c r="A10871" i="1"/>
  <c r="B10871" i="1"/>
  <c r="A10872" i="1"/>
  <c r="B10872" i="1"/>
  <c r="A10873" i="1"/>
  <c r="B10873" i="1"/>
  <c r="A10874" i="1"/>
  <c r="B10874" i="1"/>
  <c r="A10875" i="1"/>
  <c r="B10875" i="1"/>
  <c r="A10876" i="1"/>
  <c r="B10876" i="1"/>
  <c r="A10877" i="1"/>
  <c r="B10877" i="1"/>
  <c r="A10878" i="1"/>
  <c r="B10878" i="1"/>
  <c r="A10879" i="1"/>
  <c r="B10879" i="1"/>
  <c r="A10880" i="1"/>
  <c r="B10880" i="1"/>
  <c r="A10881" i="1"/>
  <c r="B10881" i="1"/>
  <c r="A10882" i="1"/>
  <c r="B10882" i="1"/>
  <c r="A10883" i="1"/>
  <c r="B10883" i="1"/>
  <c r="A10884" i="1"/>
  <c r="B10884" i="1"/>
  <c r="A10885" i="1"/>
  <c r="B10885" i="1"/>
  <c r="A10886" i="1"/>
  <c r="B10886" i="1"/>
  <c r="A10887" i="1"/>
  <c r="B10887" i="1"/>
  <c r="A10888" i="1"/>
  <c r="B10888" i="1"/>
  <c r="A10889" i="1"/>
  <c r="B10889" i="1"/>
  <c r="A10890" i="1"/>
  <c r="B10890" i="1"/>
  <c r="A10891" i="1"/>
  <c r="B10891" i="1"/>
  <c r="A10892" i="1"/>
  <c r="B10892" i="1"/>
  <c r="A10893" i="1"/>
  <c r="B10893" i="1"/>
  <c r="A10894" i="1"/>
  <c r="B10894" i="1"/>
  <c r="A10895" i="1"/>
  <c r="B10895" i="1"/>
  <c r="A10896" i="1"/>
  <c r="B10896" i="1"/>
  <c r="A10897" i="1"/>
  <c r="B10897" i="1"/>
  <c r="B10898" i="1"/>
  <c r="A10899" i="1"/>
  <c r="B10899" i="1"/>
  <c r="A10900" i="1"/>
  <c r="B10900" i="1"/>
  <c r="A10901" i="1"/>
  <c r="B10901" i="1"/>
  <c r="A10902" i="1"/>
  <c r="B10902" i="1"/>
  <c r="B10903" i="1"/>
  <c r="A10904" i="1"/>
  <c r="B10904" i="1"/>
  <c r="A10905" i="1"/>
  <c r="B10905" i="1"/>
  <c r="B10906" i="1"/>
  <c r="A10907" i="1"/>
  <c r="B10907" i="1"/>
  <c r="A10908" i="1"/>
  <c r="B10908" i="1"/>
  <c r="A10909" i="1"/>
  <c r="B10909" i="1"/>
  <c r="A10910" i="1"/>
  <c r="B10910" i="1"/>
  <c r="A10911" i="1"/>
  <c r="B10911" i="1"/>
  <c r="A10912" i="1"/>
  <c r="B10912" i="1"/>
  <c r="A10913" i="1"/>
  <c r="B10913" i="1"/>
  <c r="A10914" i="1"/>
  <c r="B10914" i="1"/>
  <c r="A10915" i="1"/>
  <c r="B10915" i="1"/>
  <c r="A10916" i="1"/>
  <c r="B10916" i="1"/>
  <c r="A10917" i="1"/>
  <c r="B10917" i="1"/>
  <c r="A10918" i="1"/>
  <c r="B10918" i="1"/>
  <c r="A10919" i="1"/>
  <c r="B10919" i="1"/>
  <c r="A10920" i="1"/>
  <c r="B10920" i="1"/>
  <c r="A10921" i="1"/>
  <c r="B10921" i="1"/>
  <c r="A10922" i="1"/>
  <c r="B10922" i="1"/>
  <c r="A10923" i="1"/>
  <c r="B10923" i="1"/>
  <c r="A10924" i="1"/>
  <c r="B10924" i="1"/>
  <c r="A10925" i="1"/>
  <c r="B10925" i="1"/>
  <c r="A10926" i="1"/>
  <c r="B10926" i="1"/>
  <c r="A10927" i="1"/>
  <c r="B10927" i="1"/>
  <c r="A10928" i="1"/>
  <c r="B10928" i="1"/>
  <c r="A10929" i="1"/>
  <c r="B10929" i="1"/>
  <c r="A10930" i="1"/>
  <c r="B10930" i="1"/>
  <c r="A10931" i="1"/>
  <c r="B10931" i="1"/>
  <c r="A10932" i="1"/>
  <c r="B10932" i="1"/>
  <c r="A10933" i="1"/>
  <c r="B10933" i="1"/>
  <c r="A10934" i="1"/>
  <c r="B10934" i="1"/>
  <c r="A10935" i="1"/>
  <c r="B10935" i="1"/>
  <c r="A10936" i="1"/>
  <c r="B10936" i="1"/>
  <c r="A10937" i="1"/>
  <c r="B10937" i="1"/>
  <c r="A10938" i="1"/>
  <c r="B10938" i="1"/>
  <c r="A10939" i="1"/>
  <c r="B10939" i="1"/>
  <c r="A10940" i="1"/>
  <c r="B10940" i="1"/>
  <c r="A10941" i="1"/>
  <c r="B10941" i="1"/>
  <c r="A10942" i="1"/>
  <c r="B10942" i="1"/>
  <c r="A10943" i="1"/>
  <c r="B10943" i="1"/>
  <c r="A10944" i="1"/>
  <c r="B10944" i="1"/>
  <c r="A10945" i="1"/>
  <c r="B10945" i="1"/>
  <c r="A10946" i="1"/>
  <c r="B10946" i="1"/>
  <c r="A10947" i="1"/>
  <c r="B10947" i="1"/>
  <c r="A10948" i="1"/>
  <c r="B10948" i="1"/>
  <c r="A10949" i="1"/>
  <c r="B10949" i="1"/>
  <c r="A10950" i="1"/>
  <c r="B10950" i="1"/>
  <c r="A10951" i="1"/>
  <c r="B10951" i="1"/>
  <c r="A10952" i="1"/>
  <c r="B10952" i="1"/>
  <c r="A10953" i="1"/>
  <c r="B10953" i="1"/>
  <c r="A10954" i="1"/>
  <c r="B10954" i="1"/>
  <c r="A10955" i="1"/>
  <c r="B10955" i="1"/>
  <c r="A10956" i="1"/>
  <c r="B10956" i="1"/>
  <c r="A10957" i="1"/>
  <c r="B10957" i="1"/>
  <c r="A10958" i="1"/>
  <c r="B10958" i="1"/>
  <c r="A10959" i="1"/>
  <c r="B10959" i="1"/>
  <c r="A10960" i="1"/>
  <c r="B10960" i="1"/>
  <c r="A10961" i="1"/>
  <c r="B10961" i="1"/>
  <c r="A10962" i="1"/>
  <c r="B10962" i="1"/>
  <c r="A10963" i="1"/>
  <c r="B10963" i="1"/>
  <c r="A10964" i="1"/>
  <c r="B10964" i="1"/>
  <c r="A10965" i="1"/>
  <c r="B10965" i="1"/>
  <c r="A10966" i="1"/>
  <c r="B10966" i="1"/>
  <c r="A10967" i="1"/>
  <c r="B10967" i="1"/>
  <c r="A10968" i="1"/>
  <c r="B10968" i="1"/>
  <c r="A10969" i="1"/>
  <c r="B10969" i="1"/>
  <c r="A10970" i="1"/>
  <c r="B10970" i="1"/>
  <c r="A10971" i="1"/>
  <c r="B10971" i="1"/>
  <c r="A10972" i="1"/>
  <c r="B10972" i="1"/>
  <c r="A10973" i="1"/>
  <c r="B10973" i="1"/>
  <c r="A10974" i="1"/>
  <c r="B10974" i="1"/>
  <c r="A10975" i="1"/>
  <c r="B10975" i="1"/>
  <c r="A10976" i="1"/>
  <c r="B10976" i="1"/>
  <c r="A10977" i="1"/>
  <c r="B10977" i="1"/>
  <c r="A10978" i="1"/>
  <c r="B10978" i="1"/>
  <c r="A10979" i="1"/>
  <c r="B10979" i="1"/>
  <c r="A10980" i="1"/>
  <c r="B10980" i="1"/>
  <c r="A10981" i="1"/>
  <c r="B10981" i="1"/>
  <c r="A10982" i="1"/>
  <c r="B10982" i="1"/>
  <c r="A10983" i="1"/>
  <c r="B10983" i="1"/>
  <c r="A10984" i="1"/>
  <c r="B10984" i="1"/>
  <c r="A10985" i="1"/>
  <c r="B10985" i="1"/>
  <c r="A10986" i="1"/>
  <c r="B10986" i="1"/>
  <c r="A10987" i="1"/>
  <c r="B10987" i="1"/>
  <c r="A10988" i="1"/>
  <c r="B10988" i="1"/>
  <c r="A10989" i="1"/>
  <c r="B10989" i="1"/>
  <c r="A10990" i="1"/>
  <c r="B10990" i="1"/>
  <c r="A10991" i="1"/>
  <c r="B10991" i="1"/>
  <c r="A10992" i="1"/>
  <c r="B10992" i="1"/>
  <c r="A10993" i="1"/>
  <c r="B10993" i="1"/>
  <c r="A10994" i="1"/>
  <c r="B10994" i="1"/>
  <c r="A10995" i="1"/>
  <c r="B10995" i="1"/>
  <c r="A10996" i="1"/>
  <c r="B10996" i="1"/>
  <c r="A10997" i="1"/>
  <c r="B10997" i="1"/>
  <c r="A10998" i="1"/>
  <c r="B10998" i="1"/>
  <c r="A10999" i="1"/>
  <c r="B10999" i="1"/>
  <c r="B11000" i="1"/>
  <c r="A11001" i="1"/>
  <c r="B11001" i="1"/>
  <c r="A11002" i="1"/>
  <c r="B11002" i="1"/>
  <c r="A11003" i="1"/>
  <c r="B11003" i="1"/>
  <c r="A11004" i="1"/>
  <c r="B11004" i="1"/>
  <c r="A11005" i="1"/>
  <c r="B11005" i="1"/>
  <c r="A11006" i="1"/>
  <c r="B11006" i="1"/>
  <c r="A11007" i="1"/>
  <c r="B11007" i="1"/>
  <c r="A11008" i="1"/>
  <c r="B11008" i="1"/>
  <c r="A11009" i="1"/>
  <c r="B11009" i="1"/>
  <c r="A11010" i="1"/>
  <c r="B11010" i="1"/>
  <c r="A11011" i="1"/>
  <c r="B11011" i="1"/>
  <c r="A11012" i="1"/>
  <c r="B11012" i="1"/>
  <c r="A11013" i="1"/>
  <c r="B11013" i="1"/>
  <c r="A11014" i="1"/>
  <c r="B11014" i="1"/>
  <c r="A11015" i="1"/>
  <c r="B11015" i="1"/>
  <c r="A11016" i="1"/>
  <c r="B11016" i="1"/>
  <c r="A11017" i="1"/>
  <c r="B11017" i="1"/>
  <c r="A11018" i="1"/>
  <c r="B11018" i="1"/>
  <c r="A11019" i="1"/>
  <c r="B11019" i="1"/>
  <c r="A11020" i="1"/>
  <c r="B11020" i="1"/>
  <c r="A11021" i="1"/>
  <c r="B11021" i="1"/>
  <c r="A11022" i="1"/>
  <c r="B11022" i="1"/>
  <c r="A11023" i="1"/>
  <c r="B11023" i="1"/>
  <c r="A11024" i="1"/>
  <c r="B11024" i="1"/>
  <c r="A11025" i="1"/>
  <c r="B11025" i="1"/>
  <c r="A11026" i="1"/>
  <c r="B11026" i="1"/>
  <c r="A11027" i="1"/>
  <c r="B11027" i="1"/>
  <c r="A11028" i="1"/>
  <c r="B11028" i="1"/>
  <c r="A11029" i="1"/>
  <c r="B11029" i="1"/>
  <c r="A11030" i="1"/>
  <c r="B11030" i="1"/>
  <c r="A11031" i="1"/>
  <c r="B11031" i="1"/>
  <c r="A11032" i="1"/>
  <c r="B11032" i="1"/>
  <c r="A11033" i="1"/>
  <c r="B11033" i="1"/>
  <c r="A11034" i="1"/>
  <c r="B11034" i="1"/>
  <c r="A11035" i="1"/>
  <c r="B11035" i="1"/>
  <c r="A11036" i="1"/>
  <c r="B11036" i="1"/>
  <c r="A11037" i="1"/>
  <c r="B11037" i="1"/>
  <c r="A11038" i="1"/>
  <c r="B11038" i="1"/>
  <c r="A11039" i="1"/>
  <c r="B11039" i="1"/>
  <c r="A11040" i="1"/>
  <c r="B11040" i="1"/>
  <c r="A11041" i="1"/>
  <c r="B11041" i="1"/>
  <c r="A11042" i="1"/>
  <c r="B11042" i="1"/>
  <c r="A11043" i="1"/>
  <c r="B11043" i="1"/>
  <c r="A11044" i="1"/>
  <c r="B11044" i="1"/>
  <c r="A11045" i="1"/>
  <c r="B11045" i="1"/>
  <c r="A11046" i="1"/>
  <c r="B11046" i="1"/>
  <c r="A11047" i="1"/>
  <c r="B11047" i="1"/>
  <c r="A11048" i="1"/>
  <c r="B11048" i="1"/>
  <c r="A11049" i="1"/>
  <c r="B11049" i="1"/>
  <c r="A11050" i="1"/>
  <c r="B11050" i="1"/>
  <c r="A11051" i="1"/>
  <c r="B11051" i="1"/>
  <c r="A11052" i="1"/>
  <c r="B11052" i="1"/>
  <c r="A11053" i="1"/>
  <c r="B11053" i="1"/>
  <c r="A11054" i="1"/>
  <c r="B11054" i="1"/>
  <c r="A11055" i="1"/>
  <c r="B11055" i="1"/>
  <c r="A11056" i="1"/>
  <c r="B11056" i="1"/>
  <c r="A11057" i="1"/>
  <c r="B11057" i="1"/>
  <c r="A11058" i="1"/>
  <c r="B11058" i="1"/>
  <c r="A11059" i="1"/>
  <c r="B11059" i="1"/>
  <c r="A11060" i="1"/>
  <c r="B11060" i="1"/>
  <c r="A11061" i="1"/>
  <c r="B11061" i="1"/>
  <c r="A11062" i="1"/>
  <c r="B11062" i="1"/>
  <c r="A11063" i="1"/>
  <c r="B11063" i="1"/>
  <c r="A11064" i="1"/>
  <c r="B11064" i="1"/>
  <c r="A11065" i="1"/>
  <c r="B11065" i="1"/>
  <c r="A11066" i="1"/>
  <c r="B11066" i="1"/>
  <c r="A11067" i="1"/>
  <c r="B11067" i="1"/>
  <c r="A11068" i="1"/>
  <c r="B11068" i="1"/>
  <c r="A11069" i="1"/>
  <c r="B11069" i="1"/>
  <c r="A11070" i="1"/>
  <c r="B11070" i="1"/>
  <c r="A11071" i="1"/>
  <c r="B11071" i="1"/>
  <c r="A11072" i="1"/>
  <c r="B11072" i="1"/>
  <c r="A11073" i="1"/>
  <c r="B11073" i="1"/>
  <c r="A11074" i="1"/>
  <c r="B11074" i="1"/>
  <c r="A11075" i="1"/>
  <c r="B11075" i="1"/>
  <c r="A11076" i="1"/>
  <c r="B11076" i="1"/>
  <c r="A11077" i="1"/>
  <c r="B11077" i="1"/>
  <c r="A11078" i="1"/>
  <c r="B11078" i="1"/>
  <c r="A11079" i="1"/>
  <c r="B11079" i="1"/>
  <c r="A11080" i="1"/>
  <c r="B11080" i="1"/>
  <c r="A11081" i="1"/>
  <c r="B11081" i="1"/>
  <c r="A11082" i="1"/>
  <c r="B11082" i="1"/>
  <c r="A11083" i="1"/>
  <c r="B11083" i="1"/>
  <c r="A11084" i="1"/>
  <c r="B11084" i="1"/>
  <c r="A11085" i="1"/>
  <c r="B11085" i="1"/>
  <c r="A11086" i="1"/>
  <c r="B11086" i="1"/>
  <c r="A11087" i="1"/>
  <c r="B11087" i="1"/>
  <c r="A11088" i="1"/>
  <c r="B11088" i="1"/>
  <c r="A11089" i="1"/>
  <c r="B11089" i="1"/>
  <c r="A11090" i="1"/>
  <c r="B11090" i="1"/>
  <c r="A11091" i="1"/>
  <c r="B11091" i="1"/>
  <c r="A11092" i="1"/>
  <c r="B11092" i="1"/>
  <c r="A11093" i="1"/>
  <c r="B11093" i="1"/>
  <c r="A11094" i="1"/>
  <c r="B11094" i="1"/>
  <c r="A11095" i="1"/>
  <c r="B11095" i="1"/>
  <c r="A11096" i="1"/>
  <c r="B11096" i="1"/>
  <c r="A11097" i="1"/>
  <c r="B11097" i="1"/>
  <c r="A11098" i="1"/>
  <c r="B11098" i="1"/>
  <c r="A11099" i="1"/>
  <c r="B11099" i="1"/>
  <c r="A11100" i="1"/>
  <c r="B11100" i="1"/>
  <c r="A11101" i="1"/>
  <c r="B11101" i="1"/>
  <c r="A11102" i="1"/>
  <c r="B11102" i="1"/>
  <c r="A11103" i="1"/>
  <c r="B11103" i="1"/>
  <c r="A11104" i="1"/>
  <c r="B11104" i="1"/>
  <c r="A11105" i="1"/>
  <c r="B11105" i="1"/>
  <c r="A11106" i="1"/>
  <c r="B11106" i="1"/>
  <c r="A11107" i="1"/>
  <c r="B11107" i="1"/>
  <c r="A11108" i="1"/>
  <c r="B11108" i="1"/>
  <c r="A11109" i="1"/>
  <c r="B11109" i="1"/>
  <c r="A11110" i="1"/>
  <c r="B11110" i="1"/>
  <c r="A11111" i="1"/>
  <c r="B11111" i="1"/>
  <c r="A11112" i="1"/>
  <c r="B11112" i="1"/>
  <c r="A11113" i="1"/>
  <c r="B11113" i="1"/>
  <c r="A11114" i="1"/>
  <c r="B11114" i="1"/>
  <c r="A11115" i="1"/>
  <c r="B11115" i="1"/>
  <c r="A11116" i="1"/>
  <c r="B11116" i="1"/>
  <c r="A11117" i="1"/>
  <c r="B11117" i="1"/>
  <c r="A11118" i="1"/>
  <c r="B11118" i="1"/>
  <c r="A11119" i="1"/>
  <c r="B11119" i="1"/>
  <c r="A11120" i="1"/>
  <c r="B11120" i="1"/>
  <c r="A11121" i="1"/>
  <c r="B11121" i="1"/>
  <c r="A11122" i="1"/>
  <c r="B11122" i="1"/>
  <c r="A11123" i="1"/>
  <c r="B11123" i="1"/>
  <c r="A11124" i="1"/>
  <c r="B11124" i="1"/>
  <c r="A11125" i="1"/>
  <c r="B11125" i="1"/>
  <c r="A11126" i="1"/>
  <c r="B11126" i="1"/>
  <c r="A11127" i="1"/>
  <c r="B11127" i="1"/>
  <c r="A11128" i="1"/>
  <c r="B11128" i="1"/>
  <c r="A11129" i="1"/>
  <c r="B11129" i="1"/>
  <c r="A11130" i="1"/>
  <c r="B11130" i="1"/>
  <c r="A11131" i="1"/>
  <c r="B11131" i="1"/>
  <c r="A11132" i="1"/>
  <c r="B11132" i="1"/>
  <c r="A11133" i="1"/>
  <c r="B11133" i="1"/>
  <c r="A11134" i="1"/>
  <c r="B11134" i="1"/>
  <c r="A11135" i="1"/>
  <c r="B11135" i="1"/>
  <c r="A11136" i="1"/>
  <c r="B11136" i="1"/>
  <c r="A11137" i="1"/>
  <c r="B11137" i="1"/>
  <c r="A11138" i="1"/>
  <c r="B11138" i="1"/>
  <c r="A11139" i="1"/>
  <c r="B11139" i="1"/>
  <c r="A11140" i="1"/>
  <c r="B11140" i="1"/>
  <c r="A11141" i="1"/>
  <c r="B11141" i="1"/>
  <c r="A11142" i="1"/>
  <c r="B11142" i="1"/>
  <c r="A11143" i="1"/>
  <c r="B11143" i="1"/>
  <c r="A11144" i="1"/>
  <c r="B11144" i="1"/>
  <c r="A11145" i="1"/>
  <c r="B11145" i="1"/>
  <c r="A11146" i="1"/>
  <c r="B11146" i="1"/>
  <c r="A11147" i="1"/>
  <c r="B11147" i="1"/>
  <c r="A11148" i="1"/>
  <c r="B11148" i="1"/>
  <c r="A11149" i="1"/>
  <c r="B11149" i="1"/>
  <c r="A11150" i="1"/>
  <c r="B11150" i="1"/>
  <c r="A11151" i="1"/>
  <c r="B11151" i="1"/>
  <c r="A11152" i="1"/>
  <c r="B11152" i="1"/>
  <c r="A11153" i="1"/>
  <c r="B11153" i="1"/>
  <c r="A11154" i="1"/>
  <c r="B11154" i="1"/>
  <c r="A11155" i="1"/>
  <c r="B11155" i="1"/>
  <c r="A11156" i="1"/>
  <c r="B11156" i="1"/>
  <c r="A11157" i="1"/>
  <c r="B11157" i="1"/>
  <c r="A11158" i="1"/>
  <c r="B11158" i="1"/>
  <c r="A11159" i="1"/>
  <c r="B11159" i="1"/>
  <c r="A11160" i="1"/>
  <c r="B11160" i="1"/>
  <c r="A11161" i="1"/>
  <c r="B11161" i="1"/>
  <c r="A11162" i="1"/>
  <c r="B11162" i="1"/>
  <c r="A11163" i="1"/>
  <c r="B11163" i="1"/>
  <c r="A11164" i="1"/>
  <c r="B11164" i="1"/>
  <c r="A11165" i="1"/>
  <c r="B11165" i="1"/>
  <c r="A11166" i="1"/>
  <c r="B11166" i="1"/>
  <c r="A11167" i="1"/>
  <c r="B11167" i="1"/>
  <c r="A11168" i="1"/>
  <c r="B11168" i="1"/>
  <c r="A11169" i="1"/>
  <c r="B11169" i="1"/>
  <c r="A11170" i="1"/>
  <c r="B11170" i="1"/>
  <c r="A11171" i="1"/>
  <c r="B11171" i="1"/>
  <c r="A11172" i="1"/>
  <c r="B11172" i="1"/>
  <c r="A11173" i="1"/>
  <c r="B11173" i="1"/>
  <c r="A11174" i="1"/>
  <c r="B11174" i="1"/>
  <c r="A11175" i="1"/>
  <c r="B11175" i="1"/>
  <c r="A11176" i="1"/>
  <c r="B11176" i="1"/>
  <c r="A11177" i="1"/>
  <c r="B11177" i="1"/>
  <c r="A11178" i="1"/>
  <c r="B11178" i="1"/>
  <c r="A11179" i="1"/>
  <c r="B11179" i="1"/>
  <c r="A11180" i="1"/>
  <c r="B11180" i="1"/>
  <c r="A11181" i="1"/>
  <c r="B11181" i="1"/>
  <c r="A11182" i="1"/>
  <c r="B11182" i="1"/>
  <c r="A11183" i="1"/>
  <c r="B11183" i="1"/>
  <c r="A11184" i="1"/>
  <c r="B11184" i="1"/>
  <c r="A11185" i="1"/>
  <c r="B11185" i="1"/>
  <c r="A11186" i="1"/>
  <c r="B11186" i="1"/>
  <c r="A11187" i="1"/>
  <c r="B11187" i="1"/>
  <c r="A11188" i="1"/>
  <c r="B11188" i="1"/>
  <c r="A11189" i="1"/>
  <c r="B11189" i="1"/>
  <c r="A11190" i="1"/>
  <c r="B11190" i="1"/>
  <c r="A11191" i="1"/>
  <c r="B11191" i="1"/>
  <c r="A11192" i="1"/>
  <c r="B11192" i="1"/>
  <c r="B11193" i="1"/>
  <c r="A11194" i="1"/>
  <c r="B11194" i="1"/>
  <c r="A11195" i="1"/>
  <c r="B11195" i="1"/>
  <c r="B11196" i="1"/>
  <c r="A11197" i="1"/>
  <c r="B11197" i="1"/>
  <c r="A11198" i="1"/>
  <c r="B11198" i="1"/>
  <c r="A11199" i="1"/>
  <c r="B11199" i="1"/>
  <c r="A11200" i="1"/>
  <c r="B11200" i="1"/>
  <c r="A11201" i="1"/>
  <c r="B11201" i="1"/>
  <c r="A11202" i="1"/>
  <c r="B11202" i="1"/>
  <c r="A11203" i="1"/>
  <c r="B11203" i="1"/>
  <c r="A11204" i="1"/>
  <c r="B11204" i="1"/>
  <c r="A11205" i="1"/>
  <c r="B11205" i="1"/>
  <c r="A11206" i="1"/>
  <c r="B11206" i="1"/>
  <c r="A11207" i="1"/>
  <c r="B11207" i="1"/>
  <c r="A11208" i="1"/>
  <c r="B11208" i="1"/>
  <c r="A11209" i="1"/>
  <c r="B11209" i="1"/>
  <c r="A11210" i="1"/>
  <c r="B11210" i="1"/>
  <c r="A11211" i="1"/>
  <c r="B11211" i="1"/>
  <c r="A11212" i="1"/>
  <c r="B11212" i="1"/>
  <c r="A11213" i="1"/>
  <c r="B11213" i="1"/>
  <c r="A11214" i="1"/>
  <c r="B11214" i="1"/>
  <c r="A11215" i="1"/>
  <c r="B11215" i="1"/>
  <c r="A11216" i="1"/>
  <c r="B11216" i="1"/>
  <c r="A11217" i="1"/>
  <c r="B11217" i="1"/>
  <c r="A11218" i="1"/>
  <c r="B11218" i="1"/>
  <c r="A11219" i="1"/>
  <c r="B11219" i="1"/>
  <c r="A11220" i="1"/>
  <c r="B11220" i="1"/>
  <c r="A11221" i="1"/>
  <c r="B11221" i="1"/>
  <c r="A11222" i="1"/>
  <c r="B11222" i="1"/>
  <c r="A11223" i="1"/>
  <c r="B11223" i="1"/>
  <c r="A11224" i="1"/>
  <c r="B11224" i="1"/>
  <c r="A11225" i="1"/>
  <c r="B11225" i="1"/>
  <c r="A11226" i="1"/>
  <c r="B11226" i="1"/>
  <c r="A11227" i="1"/>
  <c r="B11227" i="1"/>
  <c r="A11228" i="1"/>
  <c r="B11228" i="1"/>
  <c r="A11229" i="1"/>
  <c r="B11229" i="1"/>
  <c r="A11230" i="1"/>
  <c r="B11230" i="1"/>
  <c r="A11231" i="1"/>
  <c r="B11231" i="1"/>
  <c r="A11232" i="1"/>
  <c r="B11232" i="1"/>
  <c r="A11233" i="1"/>
  <c r="B11233" i="1"/>
  <c r="A11234" i="1"/>
  <c r="B11234" i="1"/>
  <c r="B11235" i="1"/>
  <c r="A11236" i="1"/>
  <c r="B11236" i="1"/>
  <c r="A11237" i="1"/>
  <c r="B11237" i="1"/>
  <c r="A11238" i="1"/>
  <c r="B11238" i="1"/>
  <c r="B11239" i="1"/>
  <c r="A11240" i="1"/>
  <c r="B11240" i="1"/>
  <c r="A11241" i="1"/>
  <c r="B11241" i="1"/>
  <c r="A11242" i="1"/>
  <c r="B11242" i="1"/>
  <c r="A11243" i="1"/>
  <c r="B11243" i="1"/>
  <c r="A11244" i="1"/>
  <c r="B11244" i="1"/>
  <c r="A11245" i="1"/>
  <c r="B11245" i="1"/>
  <c r="A11246" i="1"/>
  <c r="B11246" i="1"/>
  <c r="A11247" i="1"/>
  <c r="B11247" i="1"/>
  <c r="A11248" i="1"/>
  <c r="B11248" i="1"/>
  <c r="A11249" i="1"/>
  <c r="B11249" i="1"/>
  <c r="A11250" i="1"/>
  <c r="B11250" i="1"/>
  <c r="A11251" i="1"/>
  <c r="B11251" i="1"/>
  <c r="A11252" i="1"/>
  <c r="B11252" i="1"/>
  <c r="A11253" i="1"/>
  <c r="B11253" i="1"/>
  <c r="A11254" i="1"/>
  <c r="B11254" i="1"/>
  <c r="A11255" i="1"/>
  <c r="B11255" i="1"/>
  <c r="A11256" i="1"/>
  <c r="B11256" i="1"/>
  <c r="A11257" i="1"/>
  <c r="B11257" i="1"/>
  <c r="A11258" i="1"/>
  <c r="B11258" i="1"/>
  <c r="A11259" i="1"/>
  <c r="B11259" i="1"/>
  <c r="A11260" i="1"/>
  <c r="B11260" i="1"/>
  <c r="A11261" i="1"/>
  <c r="B11261" i="1"/>
  <c r="A11262" i="1"/>
  <c r="B11262" i="1"/>
  <c r="A11263" i="1"/>
  <c r="B11263" i="1"/>
  <c r="A11264" i="1"/>
  <c r="B11264" i="1"/>
  <c r="B11265" i="1"/>
  <c r="A11266" i="1"/>
  <c r="B11266" i="1"/>
  <c r="A11267" i="1"/>
  <c r="B11267" i="1"/>
  <c r="A11268" i="1"/>
  <c r="B11268" i="1"/>
  <c r="B11269" i="1"/>
  <c r="A11270" i="1"/>
  <c r="B11270" i="1"/>
  <c r="A11271" i="1"/>
  <c r="B11271" i="1"/>
  <c r="A11272" i="1"/>
  <c r="B11272" i="1"/>
  <c r="A11273" i="1"/>
  <c r="B11273" i="1"/>
  <c r="A11274" i="1"/>
  <c r="B11274" i="1"/>
  <c r="A11275" i="1"/>
  <c r="B11275" i="1"/>
  <c r="A11276" i="1"/>
  <c r="B11276" i="1"/>
  <c r="A11277" i="1"/>
  <c r="B11277" i="1"/>
  <c r="A11278" i="1"/>
  <c r="B11278" i="1"/>
  <c r="A11279" i="1"/>
  <c r="B11279" i="1"/>
  <c r="A11280" i="1"/>
  <c r="B11280" i="1"/>
  <c r="A11281" i="1"/>
  <c r="B11281" i="1"/>
  <c r="A11282" i="1"/>
  <c r="B11282" i="1"/>
  <c r="A11283" i="1"/>
  <c r="B11283" i="1"/>
  <c r="A11284" i="1"/>
  <c r="B11284" i="1"/>
  <c r="A11285" i="1"/>
  <c r="B11285" i="1"/>
  <c r="A11286" i="1"/>
  <c r="B11286" i="1"/>
  <c r="A11287" i="1"/>
  <c r="B11287" i="1"/>
  <c r="A11288" i="1"/>
  <c r="B11288" i="1"/>
  <c r="A11289" i="1"/>
  <c r="B11289" i="1"/>
  <c r="A11290" i="1"/>
  <c r="B11290" i="1"/>
  <c r="A11291" i="1"/>
  <c r="B11291" i="1"/>
  <c r="B11292" i="1"/>
  <c r="A11293" i="1"/>
  <c r="B11293" i="1"/>
  <c r="A11294" i="1"/>
  <c r="B11294" i="1"/>
  <c r="A11295" i="1"/>
  <c r="B11295" i="1"/>
  <c r="A11296" i="1"/>
  <c r="B11296" i="1"/>
  <c r="A11297" i="1"/>
  <c r="B11297" i="1"/>
  <c r="A11298" i="1"/>
  <c r="B11298" i="1"/>
  <c r="A11299" i="1"/>
  <c r="B11299" i="1"/>
  <c r="A11300" i="1"/>
  <c r="B11300" i="1"/>
  <c r="A11301" i="1"/>
  <c r="B11301" i="1"/>
  <c r="A11302" i="1"/>
  <c r="B11302" i="1"/>
  <c r="A11303" i="1"/>
  <c r="B11303" i="1"/>
  <c r="A11304" i="1"/>
  <c r="B11304" i="1"/>
  <c r="A11305" i="1"/>
  <c r="B11305" i="1"/>
  <c r="A11306" i="1"/>
  <c r="B11306" i="1"/>
  <c r="A11307" i="1"/>
  <c r="B11307" i="1"/>
  <c r="A11308" i="1"/>
  <c r="B11308" i="1"/>
  <c r="A11309" i="1"/>
  <c r="B11309" i="1"/>
  <c r="A11310" i="1"/>
  <c r="B11310" i="1"/>
  <c r="A11311" i="1"/>
  <c r="B11311" i="1"/>
  <c r="A11312" i="1"/>
  <c r="B11312" i="1"/>
  <c r="A11313" i="1"/>
  <c r="B11313" i="1"/>
  <c r="A11314" i="1"/>
  <c r="B11314" i="1"/>
  <c r="A11315" i="1"/>
  <c r="B11315" i="1"/>
  <c r="A11316" i="1"/>
  <c r="B11316" i="1"/>
  <c r="A11317" i="1"/>
  <c r="B11317" i="1"/>
  <c r="A11318" i="1"/>
  <c r="B11318" i="1"/>
  <c r="A11319" i="1"/>
  <c r="B11319" i="1"/>
  <c r="A11320" i="1"/>
  <c r="B11320" i="1"/>
  <c r="A11321" i="1"/>
  <c r="B11321" i="1"/>
  <c r="A11322" i="1"/>
  <c r="B11322" i="1"/>
  <c r="A11323" i="1"/>
  <c r="B11323" i="1"/>
  <c r="A11324" i="1"/>
  <c r="B11324" i="1"/>
  <c r="A11325" i="1"/>
  <c r="B11325" i="1"/>
  <c r="A11326" i="1"/>
  <c r="B11326" i="1"/>
  <c r="A11327" i="1"/>
  <c r="B11327" i="1"/>
  <c r="A11328" i="1"/>
  <c r="B11328" i="1"/>
  <c r="A11329" i="1"/>
  <c r="B11329" i="1"/>
  <c r="A11330" i="1"/>
  <c r="B11330" i="1"/>
  <c r="A11331" i="1"/>
  <c r="B11331" i="1"/>
  <c r="A11332" i="1"/>
  <c r="B11332" i="1"/>
  <c r="A11333" i="1"/>
  <c r="B11333" i="1"/>
  <c r="A11334" i="1"/>
  <c r="B11334" i="1"/>
  <c r="A11335" i="1"/>
  <c r="B11335" i="1"/>
  <c r="A11336" i="1"/>
  <c r="B11336" i="1"/>
  <c r="A11337" i="1"/>
  <c r="B11337" i="1"/>
  <c r="A11338" i="1"/>
  <c r="B11338" i="1"/>
  <c r="A11339" i="1"/>
  <c r="B11339" i="1"/>
  <c r="A11340" i="1"/>
  <c r="B11340" i="1"/>
  <c r="A11341" i="1"/>
  <c r="B11341" i="1"/>
  <c r="A11342" i="1"/>
  <c r="B11342" i="1"/>
  <c r="A11343" i="1"/>
  <c r="B11343" i="1"/>
  <c r="A11344" i="1"/>
  <c r="B11344" i="1"/>
  <c r="A11345" i="1"/>
  <c r="B11345" i="1"/>
  <c r="A11346" i="1"/>
  <c r="B11346" i="1"/>
  <c r="A11347" i="1"/>
  <c r="B11347" i="1"/>
  <c r="A11348" i="1"/>
  <c r="B11348" i="1"/>
  <c r="A11349" i="1"/>
  <c r="B11349" i="1"/>
  <c r="A11350" i="1"/>
  <c r="B11350" i="1"/>
  <c r="A11351" i="1"/>
  <c r="B11351" i="1"/>
  <c r="A11352" i="1"/>
  <c r="B11352" i="1"/>
  <c r="A11353" i="1"/>
  <c r="B11353" i="1"/>
  <c r="A11354" i="1"/>
  <c r="B11354" i="1"/>
  <c r="A11355" i="1"/>
  <c r="B11355" i="1"/>
  <c r="A11356" i="1"/>
  <c r="B11356" i="1"/>
  <c r="A11357" i="1"/>
  <c r="B11357" i="1"/>
  <c r="A11358" i="1"/>
  <c r="B11358" i="1"/>
  <c r="A11359" i="1"/>
  <c r="B11359" i="1"/>
  <c r="A11360" i="1"/>
  <c r="B11360" i="1"/>
  <c r="A11361" i="1"/>
  <c r="B11361" i="1"/>
  <c r="A11362" i="1"/>
  <c r="B11362" i="1"/>
  <c r="A11363" i="1"/>
  <c r="B11363" i="1"/>
  <c r="A11364" i="1"/>
  <c r="B11364" i="1"/>
  <c r="A11365" i="1"/>
  <c r="B11365" i="1"/>
  <c r="A11366" i="1"/>
  <c r="B11366" i="1"/>
  <c r="A11367" i="1"/>
  <c r="B11367" i="1"/>
  <c r="A11368" i="1"/>
  <c r="B11368" i="1"/>
  <c r="A11369" i="1"/>
  <c r="B11369" i="1"/>
  <c r="A11370" i="1"/>
  <c r="B11370" i="1"/>
  <c r="A11371" i="1"/>
  <c r="B11371" i="1"/>
  <c r="A11372" i="1"/>
  <c r="B11372" i="1"/>
  <c r="A11373" i="1"/>
  <c r="B11373" i="1"/>
  <c r="A11374" i="1"/>
  <c r="B11374" i="1"/>
  <c r="A11375" i="1"/>
  <c r="B11375" i="1"/>
  <c r="A11376" i="1"/>
  <c r="B11376" i="1"/>
  <c r="A11377" i="1"/>
  <c r="B11377" i="1"/>
  <c r="A11378" i="1"/>
  <c r="B11378" i="1"/>
  <c r="A11379" i="1"/>
  <c r="B11379" i="1"/>
  <c r="A11380" i="1"/>
  <c r="B11380" i="1"/>
  <c r="A11381" i="1"/>
  <c r="B11381" i="1"/>
  <c r="A11382" i="1"/>
  <c r="B11382" i="1"/>
  <c r="A11383" i="1"/>
  <c r="B11383" i="1"/>
  <c r="A11384" i="1"/>
  <c r="B11384" i="1"/>
  <c r="A11385" i="1"/>
  <c r="B11385" i="1"/>
  <c r="A11386" i="1"/>
  <c r="B11386" i="1"/>
  <c r="A11387" i="1"/>
  <c r="B11387" i="1"/>
  <c r="A11388" i="1"/>
  <c r="B11388" i="1"/>
  <c r="A11389" i="1"/>
  <c r="B11389" i="1"/>
  <c r="A11390" i="1"/>
  <c r="B11390" i="1"/>
  <c r="A11391" i="1"/>
  <c r="B11391" i="1"/>
  <c r="A11392" i="1"/>
  <c r="B11392" i="1"/>
  <c r="A11393" i="1"/>
  <c r="B11393" i="1"/>
  <c r="A11394" i="1"/>
  <c r="B11394" i="1"/>
  <c r="A11395" i="1"/>
  <c r="B11395" i="1"/>
  <c r="A11396" i="1"/>
  <c r="B11396" i="1"/>
  <c r="A11397" i="1"/>
  <c r="B11397" i="1"/>
  <c r="A11398" i="1"/>
  <c r="B11398" i="1"/>
  <c r="A11399" i="1"/>
  <c r="B11399" i="1"/>
  <c r="A11400" i="1"/>
  <c r="B11400" i="1"/>
  <c r="A11401" i="1"/>
  <c r="B11401" i="1"/>
  <c r="A11402" i="1"/>
  <c r="B11402" i="1"/>
  <c r="A11403" i="1"/>
  <c r="B11403" i="1"/>
  <c r="A11404" i="1"/>
  <c r="B11404" i="1"/>
  <c r="A11405" i="1"/>
  <c r="B11405" i="1"/>
  <c r="A11406" i="1"/>
  <c r="B11406" i="1"/>
  <c r="A11407" i="1"/>
  <c r="B11407" i="1"/>
  <c r="A11408" i="1"/>
  <c r="B11408" i="1"/>
  <c r="A11409" i="1"/>
  <c r="B11409" i="1"/>
  <c r="A11410" i="1"/>
  <c r="B11410" i="1"/>
  <c r="A11411" i="1"/>
  <c r="B11411" i="1"/>
  <c r="A11412" i="1"/>
  <c r="B11412" i="1"/>
  <c r="A11413" i="1"/>
  <c r="B11413" i="1"/>
  <c r="A11414" i="1"/>
  <c r="B11414" i="1"/>
  <c r="A11415" i="1"/>
  <c r="B11415" i="1"/>
  <c r="A11416" i="1"/>
  <c r="B11416" i="1"/>
  <c r="A11417" i="1"/>
  <c r="B11417" i="1"/>
  <c r="A11418" i="1"/>
  <c r="B11418" i="1"/>
  <c r="A11419" i="1"/>
  <c r="B11419" i="1"/>
  <c r="A11420" i="1"/>
  <c r="B11420" i="1"/>
  <c r="A11421" i="1"/>
  <c r="B11421" i="1"/>
  <c r="A11422" i="1"/>
  <c r="B11422" i="1"/>
  <c r="A11423" i="1"/>
  <c r="B11423" i="1"/>
  <c r="A11424" i="1"/>
  <c r="B11424" i="1"/>
  <c r="A11425" i="1"/>
  <c r="B11425" i="1"/>
  <c r="A11426" i="1"/>
  <c r="B11426" i="1"/>
  <c r="A11427" i="1"/>
  <c r="B11427" i="1"/>
  <c r="A11428" i="1"/>
  <c r="B11428" i="1"/>
  <c r="A11429" i="1"/>
  <c r="B11429" i="1"/>
  <c r="A11430" i="1"/>
  <c r="B11430" i="1"/>
  <c r="A11431" i="1"/>
  <c r="B11431" i="1"/>
  <c r="A11432" i="1"/>
  <c r="B11432" i="1"/>
  <c r="A11433" i="1"/>
  <c r="B11433" i="1"/>
  <c r="A11434" i="1"/>
  <c r="B11434" i="1"/>
  <c r="A11435" i="1"/>
  <c r="B11435" i="1"/>
  <c r="A11436" i="1"/>
  <c r="B11436" i="1"/>
  <c r="A11437" i="1"/>
  <c r="B11437" i="1"/>
  <c r="A11438" i="1"/>
  <c r="B11438" i="1"/>
  <c r="A11439" i="1"/>
  <c r="B11439" i="1"/>
  <c r="A11440" i="1"/>
  <c r="B11440" i="1"/>
  <c r="A11441" i="1"/>
  <c r="B11441" i="1"/>
  <c r="A11442" i="1"/>
  <c r="B11442" i="1"/>
  <c r="A11443" i="1"/>
  <c r="B11443" i="1"/>
  <c r="A11444" i="1"/>
  <c r="B11444" i="1"/>
  <c r="A11445" i="1"/>
  <c r="B11445" i="1"/>
  <c r="A11446" i="1"/>
  <c r="B11446" i="1"/>
  <c r="A11447" i="1"/>
  <c r="B11447" i="1"/>
  <c r="A11448" i="1"/>
  <c r="B11448" i="1"/>
  <c r="A11449" i="1"/>
  <c r="B11449" i="1"/>
  <c r="A11450" i="1"/>
  <c r="B11450" i="1"/>
  <c r="A11451" i="1"/>
  <c r="B11451" i="1"/>
  <c r="A11452" i="1"/>
  <c r="B11452" i="1"/>
  <c r="A11453" i="1"/>
  <c r="B11453" i="1"/>
  <c r="A11454" i="1"/>
  <c r="B11454" i="1"/>
  <c r="A11455" i="1"/>
  <c r="B11455" i="1"/>
  <c r="A11456" i="1"/>
  <c r="B11456" i="1"/>
  <c r="A11457" i="1"/>
  <c r="B11457" i="1"/>
  <c r="A11458" i="1"/>
  <c r="B11458" i="1"/>
  <c r="A11459" i="1"/>
  <c r="B11459" i="1"/>
  <c r="A11460" i="1"/>
  <c r="B11460" i="1"/>
  <c r="A11461" i="1"/>
  <c r="B11461" i="1"/>
  <c r="A11462" i="1"/>
  <c r="B11462" i="1"/>
  <c r="A11463" i="1"/>
  <c r="B11463" i="1"/>
  <c r="A11464" i="1"/>
  <c r="B11464" i="1"/>
  <c r="A11465" i="1"/>
  <c r="B11465" i="1"/>
  <c r="A11466" i="1"/>
  <c r="B11466" i="1"/>
  <c r="A11467" i="1"/>
  <c r="B11467" i="1"/>
  <c r="A11468" i="1"/>
  <c r="B11468" i="1"/>
  <c r="A11469" i="1"/>
  <c r="B11469" i="1"/>
  <c r="A11470" i="1"/>
  <c r="B11470" i="1"/>
  <c r="A11471" i="1"/>
  <c r="B11471" i="1"/>
  <c r="A11472" i="1"/>
  <c r="B11472" i="1"/>
  <c r="A11473" i="1"/>
  <c r="B11473" i="1"/>
  <c r="A11474" i="1"/>
  <c r="B11474" i="1"/>
  <c r="A11475" i="1"/>
  <c r="B11475" i="1"/>
  <c r="A11476" i="1"/>
  <c r="B11476" i="1"/>
  <c r="A11477" i="1"/>
  <c r="B11477" i="1"/>
  <c r="A11478" i="1"/>
  <c r="B11478" i="1"/>
  <c r="A11479" i="1"/>
  <c r="B11479" i="1"/>
  <c r="A11480" i="1"/>
  <c r="B11480" i="1"/>
  <c r="A11481" i="1"/>
  <c r="B11481" i="1"/>
  <c r="A11482" i="1"/>
  <c r="B11482" i="1"/>
  <c r="A11483" i="1"/>
  <c r="B11483" i="1"/>
  <c r="A11484" i="1"/>
  <c r="B11484" i="1"/>
  <c r="A11485" i="1"/>
  <c r="B11485" i="1"/>
  <c r="A11486" i="1"/>
  <c r="B11486" i="1"/>
  <c r="A11487" i="1"/>
  <c r="B11487" i="1"/>
  <c r="A11488" i="1"/>
  <c r="B11488" i="1"/>
  <c r="A11489" i="1"/>
  <c r="B11489" i="1"/>
  <c r="A11490" i="1"/>
  <c r="B11490" i="1"/>
  <c r="A11491" i="1"/>
  <c r="B11491" i="1"/>
  <c r="A11492" i="1"/>
  <c r="B11492" i="1"/>
  <c r="A11493" i="1"/>
  <c r="B11493" i="1"/>
  <c r="A11494" i="1"/>
  <c r="B11494" i="1"/>
  <c r="A11495" i="1"/>
  <c r="B11495" i="1"/>
  <c r="A11496" i="1"/>
  <c r="B11496" i="1"/>
  <c r="A11497" i="1"/>
  <c r="B11497" i="1"/>
  <c r="A11498" i="1"/>
  <c r="B11498" i="1"/>
  <c r="A11499" i="1"/>
  <c r="B11499" i="1"/>
  <c r="A11500" i="1"/>
  <c r="B11500" i="1"/>
  <c r="A11501" i="1"/>
  <c r="B11501" i="1"/>
  <c r="A11502" i="1"/>
  <c r="B11502" i="1"/>
  <c r="A11503" i="1"/>
  <c r="B11503" i="1"/>
  <c r="A11504" i="1"/>
  <c r="B11504" i="1"/>
  <c r="A11505" i="1"/>
  <c r="B11505" i="1"/>
  <c r="A11506" i="1"/>
  <c r="B11506" i="1"/>
  <c r="A11507" i="1"/>
  <c r="B11507" i="1"/>
  <c r="A11508" i="1"/>
  <c r="B11508" i="1"/>
  <c r="A11509" i="1"/>
  <c r="B11509" i="1"/>
  <c r="A11510" i="1"/>
  <c r="B11510" i="1"/>
  <c r="A11511" i="1"/>
  <c r="B11511" i="1"/>
  <c r="A11512" i="1"/>
  <c r="B11512" i="1"/>
  <c r="A11513" i="1"/>
  <c r="B11513" i="1"/>
  <c r="A11514" i="1"/>
  <c r="B11514" i="1"/>
  <c r="A11515" i="1"/>
  <c r="B11515" i="1"/>
  <c r="A11516" i="1"/>
  <c r="B11516" i="1"/>
  <c r="A11517" i="1"/>
  <c r="B11517" i="1"/>
  <c r="A11518" i="1"/>
  <c r="B11518" i="1"/>
  <c r="A11519" i="1"/>
  <c r="B11519" i="1"/>
  <c r="A11520" i="1"/>
  <c r="B11520" i="1"/>
  <c r="A11521" i="1"/>
  <c r="B11521" i="1"/>
  <c r="A11522" i="1"/>
  <c r="B11522" i="1"/>
  <c r="A11523" i="1"/>
  <c r="B11523" i="1"/>
  <c r="A11524" i="1"/>
  <c r="B11524" i="1"/>
  <c r="A11525" i="1"/>
  <c r="B11525" i="1"/>
  <c r="A11526" i="1"/>
  <c r="B11526" i="1"/>
  <c r="A11527" i="1"/>
  <c r="B11527" i="1"/>
  <c r="A11528" i="1"/>
  <c r="B11528" i="1"/>
  <c r="A11529" i="1"/>
  <c r="B11529" i="1"/>
  <c r="A11530" i="1"/>
  <c r="B11530" i="1"/>
  <c r="A11531" i="1"/>
  <c r="B11531" i="1"/>
  <c r="A11532" i="1"/>
  <c r="B11532" i="1"/>
  <c r="A11533" i="1"/>
  <c r="B11533" i="1"/>
  <c r="A11534" i="1"/>
  <c r="B11534" i="1"/>
  <c r="A11535" i="1"/>
  <c r="B11535" i="1"/>
  <c r="A11536" i="1"/>
  <c r="B11536" i="1"/>
  <c r="A11537" i="1"/>
  <c r="B11537" i="1"/>
  <c r="A11538" i="1"/>
  <c r="B11538" i="1"/>
  <c r="A11539" i="1"/>
  <c r="B11539" i="1"/>
  <c r="A11540" i="1"/>
  <c r="B11540" i="1"/>
  <c r="A11541" i="1"/>
  <c r="B11541" i="1"/>
  <c r="A11542" i="1"/>
  <c r="B11542" i="1"/>
  <c r="A11543" i="1"/>
  <c r="B11543" i="1"/>
  <c r="A11544" i="1"/>
  <c r="B11544" i="1"/>
  <c r="A11545" i="1"/>
  <c r="B11545" i="1"/>
  <c r="A11546" i="1"/>
  <c r="B11546" i="1"/>
  <c r="A11547" i="1"/>
  <c r="B11547" i="1"/>
  <c r="A11548" i="1"/>
  <c r="B11548" i="1"/>
  <c r="A11549" i="1"/>
  <c r="B11549" i="1"/>
  <c r="A11550" i="1"/>
  <c r="B11550" i="1"/>
  <c r="A11551" i="1"/>
  <c r="B11551" i="1"/>
  <c r="A11552" i="1"/>
  <c r="B11552" i="1"/>
  <c r="A11553" i="1"/>
  <c r="B11553" i="1"/>
  <c r="A11554" i="1"/>
  <c r="B11554" i="1"/>
  <c r="A11555" i="1"/>
  <c r="B11555" i="1"/>
  <c r="A11556" i="1"/>
  <c r="B11556" i="1"/>
  <c r="A11557" i="1"/>
  <c r="B11557" i="1"/>
  <c r="A11558" i="1"/>
  <c r="B11558" i="1"/>
  <c r="A11559" i="1"/>
  <c r="B11559" i="1"/>
  <c r="A11560" i="1"/>
  <c r="B11560" i="1"/>
  <c r="A11561" i="1"/>
  <c r="B11561" i="1"/>
  <c r="A11562" i="1"/>
  <c r="B11562" i="1"/>
  <c r="A11563" i="1"/>
  <c r="B11563" i="1"/>
  <c r="A11564" i="1"/>
  <c r="B11564" i="1"/>
  <c r="A11565" i="1"/>
  <c r="B11565" i="1"/>
  <c r="A11566" i="1"/>
  <c r="B11566" i="1"/>
  <c r="A11567" i="1"/>
  <c r="B11567" i="1"/>
  <c r="A11568" i="1"/>
  <c r="B11568" i="1"/>
  <c r="A11569" i="1"/>
  <c r="B11569" i="1"/>
  <c r="A11570" i="1"/>
  <c r="B11570" i="1"/>
  <c r="A11571" i="1"/>
  <c r="B11571" i="1"/>
  <c r="A11572" i="1"/>
  <c r="B11572" i="1"/>
  <c r="A11573" i="1"/>
  <c r="B11573" i="1"/>
  <c r="A11574" i="1"/>
  <c r="B11574" i="1"/>
  <c r="A11575" i="1"/>
  <c r="B11575" i="1"/>
  <c r="A11576" i="1"/>
  <c r="B11576" i="1"/>
  <c r="A11577" i="1"/>
  <c r="B11577" i="1"/>
  <c r="A11578" i="1"/>
  <c r="B11578" i="1"/>
  <c r="A11579" i="1"/>
  <c r="B11579" i="1"/>
  <c r="A11580" i="1"/>
  <c r="B11580" i="1"/>
  <c r="A11581" i="1"/>
  <c r="B11581" i="1"/>
  <c r="A11582" i="1"/>
  <c r="B11582" i="1"/>
  <c r="A11583" i="1"/>
  <c r="B11583" i="1"/>
  <c r="A11584" i="1"/>
  <c r="B11584" i="1"/>
  <c r="A11585" i="1"/>
  <c r="B11585" i="1"/>
  <c r="A11586" i="1"/>
  <c r="B11586" i="1"/>
  <c r="A11587" i="1"/>
  <c r="B11587" i="1"/>
  <c r="A11588" i="1"/>
  <c r="B11588" i="1"/>
  <c r="A11589" i="1"/>
  <c r="B11589" i="1"/>
  <c r="A11590" i="1"/>
  <c r="B11590" i="1"/>
  <c r="A11591" i="1"/>
  <c r="B11591" i="1"/>
  <c r="A11592" i="1"/>
  <c r="B11592" i="1"/>
  <c r="A11593" i="1"/>
  <c r="B11593" i="1"/>
  <c r="A11594" i="1"/>
  <c r="B11594" i="1"/>
  <c r="A11595" i="1"/>
  <c r="B11595" i="1"/>
  <c r="B11596" i="1"/>
  <c r="A11597" i="1"/>
  <c r="B11597" i="1"/>
  <c r="A11598" i="1"/>
  <c r="B11598" i="1"/>
  <c r="A11599" i="1"/>
  <c r="B11599" i="1"/>
  <c r="A11600" i="1"/>
  <c r="B11600" i="1"/>
  <c r="A11601" i="1"/>
  <c r="B11601" i="1"/>
  <c r="A11602" i="1"/>
  <c r="B11602" i="1"/>
  <c r="A11603" i="1"/>
  <c r="B11603" i="1"/>
  <c r="A11604" i="1"/>
  <c r="B11604" i="1"/>
  <c r="A11605" i="1"/>
  <c r="B11605" i="1"/>
  <c r="A11606" i="1"/>
  <c r="B11606" i="1"/>
  <c r="A11607" i="1"/>
  <c r="B11607" i="1"/>
  <c r="B11608" i="1"/>
  <c r="A11609" i="1"/>
  <c r="B11609" i="1"/>
  <c r="A11610" i="1"/>
  <c r="B11610" i="1"/>
  <c r="B11611" i="1"/>
  <c r="A11612" i="1"/>
  <c r="B11612" i="1"/>
  <c r="A11613" i="1"/>
  <c r="B11613" i="1"/>
  <c r="B11614" i="1"/>
  <c r="A11615" i="1"/>
  <c r="B11615" i="1"/>
  <c r="A11616" i="1"/>
  <c r="B11616" i="1"/>
  <c r="A11617" i="1"/>
  <c r="B11617" i="1"/>
  <c r="A11618" i="1"/>
  <c r="B11618" i="1"/>
  <c r="A11619" i="1"/>
  <c r="B11619" i="1"/>
  <c r="A11620" i="1"/>
  <c r="B11620" i="1"/>
  <c r="A11621" i="1"/>
  <c r="B11621" i="1"/>
  <c r="A11622" i="1"/>
  <c r="B11622" i="1"/>
  <c r="A11623" i="1"/>
  <c r="B11623" i="1"/>
  <c r="A11624" i="1"/>
  <c r="B11624" i="1"/>
  <c r="A11625" i="1"/>
  <c r="B11625" i="1"/>
  <c r="A11626" i="1"/>
  <c r="B11626" i="1"/>
  <c r="A11627" i="1"/>
  <c r="B11627" i="1"/>
  <c r="A11628" i="1"/>
  <c r="B11628" i="1"/>
  <c r="A11629" i="1"/>
  <c r="B11629" i="1"/>
  <c r="A11630" i="1"/>
  <c r="B11630" i="1"/>
  <c r="A11631" i="1"/>
  <c r="B11631" i="1"/>
  <c r="A11632" i="1"/>
  <c r="B11632" i="1"/>
  <c r="A11633" i="1"/>
  <c r="B11633" i="1"/>
  <c r="A11634" i="1"/>
  <c r="B11634" i="1"/>
  <c r="A11635" i="1"/>
  <c r="B11635" i="1"/>
  <c r="A11636" i="1"/>
  <c r="B11636" i="1"/>
  <c r="A11637" i="1"/>
  <c r="B11637" i="1"/>
  <c r="A11638" i="1"/>
  <c r="B11638" i="1"/>
  <c r="A11639" i="1"/>
  <c r="B11639" i="1"/>
  <c r="A11640" i="1"/>
  <c r="B11640" i="1"/>
  <c r="A11641" i="1"/>
  <c r="B11641" i="1"/>
  <c r="A11642" i="1"/>
  <c r="B11642" i="1"/>
  <c r="A11643" i="1"/>
  <c r="B11643" i="1"/>
  <c r="A11644" i="1"/>
  <c r="B11644" i="1"/>
  <c r="A11645" i="1"/>
  <c r="B11645" i="1"/>
  <c r="A11646" i="1"/>
  <c r="B11646" i="1"/>
  <c r="B11647" i="1"/>
  <c r="A11648" i="1"/>
  <c r="B11648" i="1"/>
  <c r="A11649" i="1"/>
  <c r="B11649" i="1"/>
  <c r="A11650" i="1"/>
  <c r="B11650" i="1"/>
  <c r="A11651" i="1"/>
  <c r="B11651" i="1"/>
  <c r="A11652" i="1"/>
  <c r="B11652" i="1"/>
  <c r="A11653" i="1"/>
  <c r="B11653" i="1"/>
  <c r="A11654" i="1"/>
  <c r="B11654" i="1"/>
  <c r="A11655" i="1"/>
  <c r="B11655" i="1"/>
  <c r="A11656" i="1"/>
  <c r="B11656" i="1"/>
  <c r="A11657" i="1"/>
  <c r="B11657" i="1"/>
  <c r="A11658" i="1"/>
  <c r="B11658" i="1"/>
  <c r="A11659" i="1"/>
  <c r="B11659" i="1"/>
  <c r="A11660" i="1"/>
  <c r="B11660" i="1"/>
  <c r="A11661" i="1"/>
  <c r="B11661" i="1"/>
  <c r="A11662" i="1"/>
  <c r="B11662" i="1"/>
  <c r="A11663" i="1"/>
  <c r="B11663" i="1"/>
  <c r="A11664" i="1"/>
  <c r="B11664" i="1"/>
  <c r="A11665" i="1"/>
  <c r="B11665" i="1"/>
  <c r="A11666" i="1"/>
  <c r="B11666" i="1"/>
  <c r="A11667" i="1"/>
  <c r="B11667" i="1"/>
  <c r="A11668" i="1"/>
  <c r="B11668" i="1"/>
  <c r="A11669" i="1"/>
  <c r="B11669" i="1"/>
  <c r="A11670" i="1"/>
  <c r="B11670" i="1"/>
  <c r="A11671" i="1"/>
  <c r="B11671" i="1"/>
  <c r="A11672" i="1"/>
  <c r="B11672" i="1"/>
  <c r="A11673" i="1"/>
  <c r="B11673" i="1"/>
  <c r="A11674" i="1"/>
  <c r="B11674" i="1"/>
  <c r="A11675" i="1"/>
  <c r="B11675" i="1"/>
  <c r="A11676" i="1"/>
  <c r="B11676" i="1"/>
  <c r="A11677" i="1"/>
  <c r="B11677" i="1"/>
  <c r="A11678" i="1"/>
  <c r="B11678" i="1"/>
  <c r="A11679" i="1"/>
  <c r="B11679" i="1"/>
  <c r="A11680" i="1"/>
  <c r="B11680" i="1"/>
  <c r="A11681" i="1"/>
  <c r="B11681" i="1"/>
  <c r="A11682" i="1"/>
  <c r="B11682" i="1"/>
  <c r="A11683" i="1"/>
  <c r="B11683" i="1"/>
  <c r="A11684" i="1"/>
  <c r="B11684" i="1"/>
  <c r="A11685" i="1"/>
  <c r="B11685" i="1"/>
  <c r="A11686" i="1"/>
  <c r="B11686" i="1"/>
  <c r="A11687" i="1"/>
  <c r="B11687" i="1"/>
  <c r="A11688" i="1"/>
  <c r="B11688" i="1"/>
  <c r="A11689" i="1"/>
  <c r="B11689" i="1"/>
  <c r="A11690" i="1"/>
  <c r="B11690" i="1"/>
  <c r="A11691" i="1"/>
  <c r="B11691" i="1"/>
  <c r="A11692" i="1"/>
  <c r="B11692" i="1"/>
  <c r="A11693" i="1"/>
  <c r="B11693" i="1"/>
  <c r="B11694" i="1"/>
  <c r="A11695" i="1"/>
  <c r="B11695" i="1"/>
  <c r="A11696" i="1"/>
  <c r="B11696" i="1"/>
  <c r="A11697" i="1"/>
  <c r="B11697" i="1"/>
  <c r="A11698" i="1"/>
  <c r="B11698" i="1"/>
  <c r="A11699" i="1"/>
  <c r="B11699" i="1"/>
  <c r="A11700" i="1"/>
  <c r="B11700" i="1"/>
  <c r="A11701" i="1"/>
  <c r="B11701" i="1"/>
  <c r="A11702" i="1"/>
  <c r="B11702" i="1"/>
  <c r="A11703" i="1"/>
  <c r="B11703" i="1"/>
  <c r="A11704" i="1"/>
  <c r="B11704" i="1"/>
  <c r="A11705" i="1"/>
  <c r="B11705" i="1"/>
  <c r="A11706" i="1"/>
  <c r="B11706" i="1"/>
  <c r="A11707" i="1"/>
  <c r="B11707" i="1"/>
  <c r="A11708" i="1"/>
  <c r="B11708" i="1"/>
  <c r="A11709" i="1"/>
  <c r="B11709" i="1"/>
  <c r="A11710" i="1"/>
  <c r="B11710" i="1"/>
  <c r="A11711" i="1"/>
  <c r="B11711" i="1"/>
  <c r="A11712" i="1"/>
  <c r="B11712" i="1"/>
  <c r="A11713" i="1"/>
  <c r="B11713" i="1"/>
  <c r="A11714" i="1"/>
  <c r="B11714" i="1"/>
  <c r="A11715" i="1"/>
  <c r="B11715" i="1"/>
  <c r="A11716" i="1"/>
  <c r="B11716" i="1"/>
  <c r="A11717" i="1"/>
  <c r="B11717" i="1"/>
  <c r="A11718" i="1"/>
  <c r="B11718" i="1"/>
  <c r="A11719" i="1"/>
  <c r="B11719" i="1"/>
  <c r="A11720" i="1"/>
  <c r="B11720" i="1"/>
  <c r="A11721" i="1"/>
  <c r="B11721" i="1"/>
  <c r="A11722" i="1"/>
  <c r="B11722" i="1"/>
  <c r="A11723" i="1"/>
  <c r="B11723" i="1"/>
  <c r="A11724" i="1"/>
  <c r="B11724" i="1"/>
  <c r="A11725" i="1"/>
  <c r="B11725" i="1"/>
  <c r="A11726" i="1"/>
  <c r="B11726" i="1"/>
  <c r="A11727" i="1"/>
  <c r="B11727" i="1"/>
  <c r="A11728" i="1"/>
  <c r="B11728" i="1"/>
  <c r="A11729" i="1"/>
  <c r="B11729" i="1"/>
  <c r="A11730" i="1"/>
  <c r="B11730" i="1"/>
  <c r="A11731" i="1"/>
  <c r="B11731" i="1"/>
  <c r="A11732" i="1"/>
  <c r="B11732" i="1"/>
  <c r="A11733" i="1"/>
  <c r="B11733" i="1"/>
  <c r="A11734" i="1"/>
  <c r="B11734" i="1"/>
  <c r="A11735" i="1"/>
  <c r="B11735" i="1"/>
  <c r="A11736" i="1"/>
  <c r="B11736" i="1"/>
  <c r="A11737" i="1"/>
  <c r="B11737" i="1"/>
  <c r="A11738" i="1"/>
  <c r="B11738" i="1"/>
  <c r="A11739" i="1"/>
  <c r="B11739" i="1"/>
  <c r="A11740" i="1"/>
  <c r="B11740" i="1"/>
  <c r="A11741" i="1"/>
  <c r="B11741" i="1"/>
  <c r="A11742" i="1"/>
  <c r="B11742" i="1"/>
  <c r="A11743" i="1"/>
  <c r="B11743" i="1"/>
  <c r="A11744" i="1"/>
  <c r="B11744" i="1"/>
  <c r="A11745" i="1"/>
  <c r="B11745" i="1"/>
  <c r="A11746" i="1"/>
  <c r="B11746" i="1"/>
  <c r="A11747" i="1"/>
  <c r="B11747" i="1"/>
  <c r="A11748" i="1"/>
  <c r="B11748" i="1"/>
  <c r="A11749" i="1"/>
  <c r="B11749" i="1"/>
  <c r="A11750" i="1"/>
  <c r="B11750" i="1"/>
  <c r="A11751" i="1"/>
  <c r="B11751" i="1"/>
  <c r="A11752" i="1"/>
  <c r="B11752" i="1"/>
  <c r="A11753" i="1"/>
  <c r="B11753" i="1"/>
  <c r="A11754" i="1"/>
  <c r="B11754" i="1"/>
  <c r="A11755" i="1"/>
  <c r="B11755" i="1"/>
  <c r="A11756" i="1"/>
  <c r="B11756" i="1"/>
  <c r="A11757" i="1"/>
  <c r="B11757" i="1"/>
  <c r="A11758" i="1"/>
  <c r="B11758" i="1"/>
  <c r="A11759" i="1"/>
  <c r="B11759" i="1"/>
  <c r="A11760" i="1"/>
  <c r="B11760" i="1"/>
  <c r="A11761" i="1"/>
  <c r="B11761" i="1"/>
  <c r="A11762" i="1"/>
  <c r="B11762" i="1"/>
  <c r="A11763" i="1"/>
  <c r="B11763" i="1"/>
  <c r="A11764" i="1"/>
  <c r="B11764" i="1"/>
  <c r="A11765" i="1"/>
  <c r="B11765" i="1"/>
  <c r="A11766" i="1"/>
  <c r="B11766" i="1"/>
  <c r="A11767" i="1"/>
  <c r="B11767" i="1"/>
  <c r="A11768" i="1"/>
  <c r="B11768" i="1"/>
  <c r="A11769" i="1"/>
  <c r="B11769" i="1"/>
  <c r="A11770" i="1"/>
  <c r="B11770" i="1"/>
  <c r="A11771" i="1"/>
  <c r="B11771" i="1"/>
  <c r="A11772" i="1"/>
  <c r="B11772" i="1"/>
  <c r="A11773" i="1"/>
  <c r="B11773" i="1"/>
  <c r="A11774" i="1"/>
  <c r="B11774" i="1"/>
  <c r="A11775" i="1"/>
  <c r="B11775" i="1"/>
  <c r="A11776" i="1"/>
  <c r="B11776" i="1"/>
  <c r="A11777" i="1"/>
  <c r="B11777" i="1"/>
  <c r="A11778" i="1"/>
  <c r="B11778" i="1"/>
  <c r="A11779" i="1"/>
  <c r="B11779" i="1"/>
  <c r="A11780" i="1"/>
  <c r="B11780" i="1"/>
  <c r="A11781" i="1"/>
  <c r="B11781" i="1"/>
  <c r="A11782" i="1"/>
  <c r="B11782" i="1"/>
  <c r="A11783" i="1"/>
  <c r="B11783" i="1"/>
  <c r="A11784" i="1"/>
  <c r="B11784" i="1"/>
  <c r="A11785" i="1"/>
  <c r="B11785" i="1"/>
  <c r="A11786" i="1"/>
  <c r="B11786" i="1"/>
  <c r="A11787" i="1"/>
  <c r="B11787" i="1"/>
  <c r="A11788" i="1"/>
  <c r="B11788" i="1"/>
  <c r="A11789" i="1"/>
  <c r="B11789" i="1"/>
  <c r="A11790" i="1"/>
  <c r="B11790" i="1"/>
  <c r="A11791" i="1"/>
  <c r="B11791" i="1"/>
  <c r="A11792" i="1"/>
  <c r="B11792" i="1"/>
  <c r="A11793" i="1"/>
  <c r="B11793" i="1"/>
  <c r="A11794" i="1"/>
  <c r="B11794" i="1"/>
  <c r="A11795" i="1"/>
  <c r="B11795" i="1"/>
  <c r="A11796" i="1"/>
  <c r="B11796" i="1"/>
  <c r="A11797" i="1"/>
  <c r="B11797" i="1"/>
  <c r="A11798" i="1"/>
  <c r="B11798" i="1"/>
  <c r="A11799" i="1"/>
  <c r="B11799" i="1"/>
  <c r="A11800" i="1"/>
  <c r="B11800" i="1"/>
  <c r="A11801" i="1"/>
  <c r="B11801" i="1"/>
  <c r="A11802" i="1"/>
  <c r="B11802" i="1"/>
  <c r="A11803" i="1"/>
  <c r="B11803" i="1"/>
  <c r="A11804" i="1"/>
  <c r="B11804" i="1"/>
  <c r="A11805" i="1"/>
  <c r="B11805" i="1"/>
  <c r="A11806" i="1"/>
  <c r="B11806" i="1"/>
  <c r="A11807" i="1"/>
  <c r="B11807" i="1"/>
  <c r="A11808" i="1"/>
  <c r="B11808" i="1"/>
  <c r="A11809" i="1"/>
  <c r="B11809" i="1"/>
  <c r="A11810" i="1"/>
  <c r="B11810" i="1"/>
  <c r="A11811" i="1"/>
  <c r="B11811" i="1"/>
  <c r="A11812" i="1"/>
  <c r="B11812" i="1"/>
  <c r="A11813" i="1"/>
  <c r="B11813" i="1"/>
  <c r="A11814" i="1"/>
  <c r="B11814" i="1"/>
  <c r="A11815" i="1"/>
  <c r="B11815" i="1"/>
  <c r="A11816" i="1"/>
  <c r="B11816" i="1"/>
  <c r="A11817" i="1"/>
  <c r="B11817" i="1"/>
  <c r="A11818" i="1"/>
  <c r="B11818" i="1"/>
  <c r="A11819" i="1"/>
  <c r="B11819" i="1"/>
  <c r="A11820" i="1"/>
  <c r="B11820" i="1"/>
  <c r="A11821" i="1"/>
  <c r="B11821" i="1"/>
  <c r="A11822" i="1"/>
  <c r="B11822" i="1"/>
  <c r="A11823" i="1"/>
  <c r="B11823" i="1"/>
  <c r="A11824" i="1"/>
  <c r="B11824" i="1"/>
  <c r="A11825" i="1"/>
  <c r="B11825" i="1"/>
  <c r="A11826" i="1"/>
  <c r="B11826" i="1"/>
  <c r="A11827" i="1"/>
  <c r="B11827" i="1"/>
  <c r="A11828" i="1"/>
  <c r="B11828" i="1"/>
  <c r="A11829" i="1"/>
  <c r="B11829" i="1"/>
  <c r="A11830" i="1"/>
  <c r="B11830" i="1"/>
  <c r="A11831" i="1"/>
  <c r="B11831" i="1"/>
  <c r="A11832" i="1"/>
  <c r="B11832" i="1"/>
  <c r="A11833" i="1"/>
  <c r="B11833" i="1"/>
  <c r="A11834" i="1"/>
  <c r="B11834" i="1"/>
  <c r="A11835" i="1"/>
  <c r="B11835" i="1"/>
  <c r="A11836" i="1"/>
  <c r="B11836" i="1"/>
  <c r="A11837" i="1"/>
  <c r="B11837" i="1"/>
  <c r="A11838" i="1"/>
  <c r="B11838" i="1"/>
  <c r="A11839" i="1"/>
  <c r="B11839" i="1"/>
  <c r="A11840" i="1"/>
  <c r="B11840" i="1"/>
  <c r="A11841" i="1"/>
  <c r="B11841" i="1"/>
  <c r="A11842" i="1"/>
  <c r="B11842" i="1"/>
  <c r="A11843" i="1"/>
  <c r="B11843" i="1"/>
  <c r="A11844" i="1"/>
  <c r="B11844" i="1"/>
  <c r="A11845" i="1"/>
  <c r="B11845" i="1"/>
  <c r="A11846" i="1"/>
  <c r="B11846" i="1"/>
  <c r="A11847" i="1"/>
  <c r="B11847" i="1"/>
  <c r="A11848" i="1"/>
  <c r="B11848" i="1"/>
  <c r="A11849" i="1"/>
  <c r="B11849" i="1"/>
  <c r="A11850" i="1"/>
  <c r="B11850" i="1"/>
  <c r="A11851" i="1"/>
  <c r="B11851" i="1"/>
  <c r="A11852" i="1"/>
  <c r="B11852" i="1"/>
  <c r="A11853" i="1"/>
  <c r="B11853" i="1"/>
  <c r="A11854" i="1"/>
  <c r="B11854" i="1"/>
  <c r="A11855" i="1"/>
  <c r="B11855" i="1"/>
  <c r="A11856" i="1"/>
  <c r="B11856" i="1"/>
  <c r="A11857" i="1"/>
  <c r="B11857" i="1"/>
  <c r="A11858" i="1"/>
  <c r="B11858" i="1"/>
  <c r="A11859" i="1"/>
  <c r="B11859" i="1"/>
  <c r="A11860" i="1"/>
  <c r="B11860" i="1"/>
  <c r="A11861" i="1"/>
  <c r="B11861" i="1"/>
  <c r="A11862" i="1"/>
  <c r="B11862" i="1"/>
  <c r="A11863" i="1"/>
  <c r="B11863" i="1"/>
  <c r="B11864" i="1"/>
  <c r="A11865" i="1"/>
  <c r="B11865" i="1"/>
  <c r="A11866" i="1"/>
  <c r="B11866" i="1"/>
  <c r="A11867" i="1"/>
  <c r="B11867" i="1"/>
  <c r="A11868" i="1"/>
  <c r="B11868" i="1"/>
  <c r="B11869" i="1"/>
  <c r="A11870" i="1"/>
  <c r="B11870" i="1"/>
  <c r="A11871" i="1"/>
  <c r="B11871" i="1"/>
  <c r="A11872" i="1"/>
  <c r="B11872" i="1"/>
  <c r="A11873" i="1"/>
  <c r="B11873" i="1"/>
  <c r="A11874" i="1"/>
  <c r="B11874" i="1"/>
  <c r="A11875" i="1"/>
  <c r="B11875" i="1"/>
  <c r="A11876" i="1"/>
  <c r="B11876" i="1"/>
  <c r="A11877" i="1"/>
  <c r="B11877" i="1"/>
  <c r="A11878" i="1"/>
  <c r="B11878" i="1"/>
  <c r="A11879" i="1"/>
  <c r="B11879" i="1"/>
  <c r="A11880" i="1"/>
  <c r="B11880" i="1"/>
  <c r="A11881" i="1"/>
  <c r="B11881" i="1"/>
  <c r="A11882" i="1"/>
  <c r="B11882" i="1"/>
  <c r="A11883" i="1"/>
  <c r="B11883" i="1"/>
  <c r="A11884" i="1"/>
  <c r="B11884" i="1"/>
  <c r="A11885" i="1"/>
  <c r="B11885" i="1"/>
  <c r="A11886" i="1"/>
  <c r="B11886" i="1"/>
  <c r="A11887" i="1"/>
  <c r="B11887" i="1"/>
  <c r="A11888" i="1"/>
  <c r="B11888" i="1"/>
  <c r="A11889" i="1"/>
  <c r="B11889" i="1"/>
  <c r="A11890" i="1"/>
  <c r="B11890" i="1"/>
  <c r="A11891" i="1"/>
  <c r="B11891" i="1"/>
  <c r="A11892" i="1"/>
  <c r="B11892" i="1"/>
  <c r="A11893" i="1"/>
  <c r="B11893" i="1"/>
  <c r="A11894" i="1"/>
  <c r="B11894" i="1"/>
  <c r="A11895" i="1"/>
  <c r="B11895" i="1"/>
  <c r="A11896" i="1"/>
  <c r="B11896" i="1"/>
  <c r="A11897" i="1"/>
  <c r="B11897" i="1"/>
  <c r="A11898" i="1"/>
  <c r="B11898" i="1"/>
  <c r="A11899" i="1"/>
  <c r="B11899" i="1"/>
  <c r="A11900" i="1"/>
  <c r="B11900" i="1"/>
  <c r="A11901" i="1"/>
  <c r="B11901" i="1"/>
  <c r="A11902" i="1"/>
  <c r="B11902" i="1"/>
  <c r="A11903" i="1"/>
  <c r="B11903" i="1"/>
  <c r="A11904" i="1"/>
  <c r="B11904" i="1"/>
  <c r="A11905" i="1"/>
  <c r="B11905" i="1"/>
  <c r="A11906" i="1"/>
  <c r="B11906" i="1"/>
  <c r="A11907" i="1"/>
  <c r="B11907" i="1"/>
  <c r="A11908" i="1"/>
  <c r="B11908" i="1"/>
  <c r="A11909" i="1"/>
  <c r="B11909" i="1"/>
  <c r="A11910" i="1"/>
  <c r="B11910" i="1"/>
  <c r="A11911" i="1"/>
  <c r="B11911" i="1"/>
  <c r="A11912" i="1"/>
  <c r="B11912" i="1"/>
  <c r="A11913" i="1"/>
  <c r="B11913" i="1"/>
  <c r="A11914" i="1"/>
  <c r="B11914" i="1"/>
  <c r="A11915" i="1"/>
  <c r="B11915" i="1"/>
  <c r="A11916" i="1"/>
  <c r="B11916" i="1"/>
  <c r="A11917" i="1"/>
  <c r="B11917" i="1"/>
  <c r="A11918" i="1"/>
  <c r="B11918" i="1"/>
  <c r="A11919" i="1"/>
  <c r="B11919" i="1"/>
  <c r="A11920" i="1"/>
  <c r="B11920" i="1"/>
  <c r="A11921" i="1"/>
  <c r="B11921" i="1"/>
  <c r="A11922" i="1"/>
  <c r="B11922" i="1"/>
  <c r="A11923" i="1"/>
  <c r="B11923" i="1"/>
  <c r="A11924" i="1"/>
  <c r="B11924" i="1"/>
  <c r="A11925" i="1"/>
  <c r="B11925" i="1"/>
  <c r="A11926" i="1"/>
  <c r="B11926" i="1"/>
  <c r="A11927" i="1"/>
  <c r="B11927" i="1"/>
  <c r="A11928" i="1"/>
  <c r="B11928" i="1"/>
  <c r="A11929" i="1"/>
  <c r="B11929" i="1"/>
  <c r="A11930" i="1"/>
  <c r="B11930" i="1"/>
  <c r="A11931" i="1"/>
  <c r="B11931" i="1"/>
  <c r="A11932" i="1"/>
  <c r="B11932" i="1"/>
  <c r="A11933" i="1"/>
  <c r="B11933" i="1"/>
  <c r="A11934" i="1"/>
  <c r="B11934" i="1"/>
  <c r="A11935" i="1"/>
  <c r="B11935" i="1"/>
  <c r="A11936" i="1"/>
  <c r="B11936" i="1"/>
  <c r="A11937" i="1"/>
  <c r="B11937" i="1"/>
  <c r="A11938" i="1"/>
  <c r="B11938" i="1"/>
  <c r="A11939" i="1"/>
  <c r="B11939" i="1"/>
  <c r="A11940" i="1"/>
  <c r="B11940" i="1"/>
  <c r="A11941" i="1"/>
  <c r="B11941" i="1"/>
  <c r="A11942" i="1"/>
  <c r="B11942" i="1"/>
  <c r="A11943" i="1"/>
  <c r="B11943" i="1"/>
  <c r="A11944" i="1"/>
  <c r="B11944" i="1"/>
  <c r="A11945" i="1"/>
  <c r="B11945" i="1"/>
  <c r="A11946" i="1"/>
  <c r="B11946" i="1"/>
  <c r="A11947" i="1"/>
  <c r="B11947" i="1"/>
  <c r="A11948" i="1"/>
  <c r="B11948" i="1"/>
  <c r="A11949" i="1"/>
  <c r="B11949" i="1"/>
  <c r="A11950" i="1"/>
  <c r="B11950" i="1"/>
  <c r="A11951" i="1"/>
  <c r="B11951" i="1"/>
  <c r="A11952" i="1"/>
  <c r="B11952" i="1"/>
  <c r="A11953" i="1"/>
  <c r="B11953" i="1"/>
  <c r="A11954" i="1"/>
  <c r="B11954" i="1"/>
  <c r="A11955" i="1"/>
  <c r="B11955" i="1"/>
  <c r="A11956" i="1"/>
  <c r="B11956" i="1"/>
  <c r="A11957" i="1"/>
  <c r="B11957" i="1"/>
  <c r="A11958" i="1"/>
  <c r="B11958" i="1"/>
  <c r="A11959" i="1"/>
  <c r="B11959" i="1"/>
  <c r="A11960" i="1"/>
  <c r="B11960" i="1"/>
  <c r="A11961" i="1"/>
  <c r="B11961" i="1"/>
  <c r="A11962" i="1"/>
  <c r="B11962" i="1"/>
  <c r="A11963" i="1"/>
  <c r="B11963" i="1"/>
  <c r="A11964" i="1"/>
  <c r="B11964" i="1"/>
  <c r="A11965" i="1"/>
  <c r="B11965" i="1"/>
  <c r="A11966" i="1"/>
  <c r="B11966" i="1"/>
  <c r="A11967" i="1"/>
  <c r="B11967" i="1"/>
  <c r="A11968" i="1"/>
  <c r="B11968" i="1"/>
  <c r="A11969" i="1"/>
  <c r="B11969" i="1"/>
  <c r="A11970" i="1"/>
  <c r="B11970" i="1"/>
  <c r="A11971" i="1"/>
  <c r="B11971" i="1"/>
  <c r="A11972" i="1"/>
  <c r="B11972" i="1"/>
  <c r="A11973" i="1"/>
  <c r="B11973" i="1"/>
  <c r="A11974" i="1"/>
  <c r="B11974" i="1"/>
  <c r="A11975" i="1"/>
  <c r="B11975" i="1"/>
  <c r="A11976" i="1"/>
  <c r="B11976" i="1"/>
  <c r="A11977" i="1"/>
  <c r="B11977" i="1"/>
  <c r="A11978" i="1"/>
  <c r="B11978" i="1"/>
  <c r="A11979" i="1"/>
  <c r="B11979" i="1"/>
  <c r="A11980" i="1"/>
  <c r="B11980" i="1"/>
  <c r="A11981" i="1"/>
  <c r="B11981" i="1"/>
  <c r="A11982" i="1"/>
  <c r="B11982" i="1"/>
  <c r="A11983" i="1"/>
  <c r="B11983" i="1"/>
  <c r="A11984" i="1"/>
  <c r="B11984" i="1"/>
  <c r="A11985" i="1"/>
  <c r="B11985" i="1"/>
  <c r="A11986" i="1"/>
  <c r="B11986" i="1"/>
  <c r="A11987" i="1"/>
  <c r="B11987" i="1"/>
  <c r="A11988" i="1"/>
  <c r="B11988" i="1"/>
  <c r="A11989" i="1"/>
  <c r="B11989" i="1"/>
  <c r="A11990" i="1"/>
  <c r="B11990" i="1"/>
  <c r="A11991" i="1"/>
  <c r="B11991" i="1"/>
  <c r="A11992" i="1"/>
  <c r="B11992" i="1"/>
  <c r="A11993" i="1"/>
  <c r="B11993" i="1"/>
  <c r="A11994" i="1"/>
  <c r="B11994" i="1"/>
  <c r="A11995" i="1"/>
  <c r="B11995" i="1"/>
  <c r="A11996" i="1"/>
  <c r="B11996" i="1"/>
  <c r="A11997" i="1"/>
  <c r="B11997" i="1"/>
  <c r="A11998" i="1"/>
  <c r="B11998" i="1"/>
  <c r="A11999" i="1"/>
  <c r="B11999" i="1"/>
  <c r="A12000" i="1"/>
  <c r="B12000" i="1"/>
  <c r="A12001" i="1"/>
  <c r="B12001" i="1"/>
  <c r="A12002" i="1"/>
  <c r="B12002" i="1"/>
  <c r="A12003" i="1"/>
  <c r="B12003" i="1"/>
  <c r="A12004" i="1"/>
  <c r="B12004" i="1"/>
  <c r="A12005" i="1"/>
  <c r="B12005" i="1"/>
  <c r="A12006" i="1"/>
  <c r="B12006" i="1"/>
  <c r="A12007" i="1"/>
  <c r="B12007" i="1"/>
  <c r="A12008" i="1"/>
  <c r="B12008" i="1"/>
  <c r="A12009" i="1"/>
  <c r="B12009" i="1"/>
  <c r="A12010" i="1"/>
  <c r="B12010" i="1"/>
  <c r="A12011" i="1"/>
  <c r="B12011" i="1"/>
  <c r="A12012" i="1"/>
  <c r="B12012" i="1"/>
  <c r="A12013" i="1"/>
  <c r="B12013" i="1"/>
  <c r="A12014" i="1"/>
  <c r="B12014" i="1"/>
  <c r="A12015" i="1"/>
  <c r="B12015" i="1"/>
  <c r="A12016" i="1"/>
  <c r="B12016" i="1"/>
  <c r="A12017" i="1"/>
  <c r="B12017" i="1"/>
  <c r="A12018" i="1"/>
  <c r="B12018" i="1"/>
  <c r="A12019" i="1"/>
  <c r="B12019" i="1"/>
  <c r="A12020" i="1"/>
  <c r="B12020" i="1"/>
  <c r="A12021" i="1"/>
  <c r="B12021" i="1"/>
  <c r="A12022" i="1"/>
  <c r="B12022" i="1"/>
  <c r="A12023" i="1"/>
  <c r="B12023" i="1"/>
  <c r="A12024" i="1"/>
  <c r="B12024" i="1"/>
  <c r="A12025" i="1"/>
  <c r="B12025" i="1"/>
  <c r="A12026" i="1"/>
  <c r="B12026" i="1"/>
  <c r="A12027" i="1"/>
  <c r="B12027" i="1"/>
  <c r="A12028" i="1"/>
  <c r="B12028" i="1"/>
  <c r="A12029" i="1"/>
  <c r="B12029" i="1"/>
  <c r="A12030" i="1"/>
  <c r="B12030" i="1"/>
  <c r="A12031" i="1"/>
  <c r="B12031" i="1"/>
  <c r="A12032" i="1"/>
  <c r="B12032" i="1"/>
  <c r="A12033" i="1"/>
  <c r="B12033" i="1"/>
  <c r="A12034" i="1"/>
  <c r="B12034" i="1"/>
  <c r="A12035" i="1"/>
  <c r="B12035" i="1"/>
  <c r="A12036" i="1"/>
  <c r="B12036" i="1"/>
  <c r="A12037" i="1"/>
  <c r="B12037" i="1"/>
  <c r="A12038" i="1"/>
  <c r="B12038" i="1"/>
  <c r="A12039" i="1"/>
  <c r="B12039" i="1"/>
  <c r="A12040" i="1"/>
  <c r="B12040" i="1"/>
  <c r="A12041" i="1"/>
  <c r="B12041" i="1"/>
  <c r="A12042" i="1"/>
  <c r="B12042" i="1"/>
  <c r="A12043" i="1"/>
  <c r="B12043" i="1"/>
  <c r="A12044" i="1"/>
  <c r="B12044" i="1"/>
  <c r="A12045" i="1"/>
  <c r="B12045" i="1"/>
  <c r="A12046" i="1"/>
  <c r="B12046" i="1"/>
  <c r="A12047" i="1"/>
  <c r="B12047" i="1"/>
  <c r="A12048" i="1"/>
  <c r="B12048" i="1"/>
  <c r="A12049" i="1"/>
  <c r="B12049" i="1"/>
  <c r="A12050" i="1"/>
  <c r="B12050" i="1"/>
  <c r="A12051" i="1"/>
  <c r="B12051" i="1"/>
  <c r="A12052" i="1"/>
  <c r="B12052" i="1"/>
  <c r="A12053" i="1"/>
  <c r="B12053" i="1"/>
  <c r="A12054" i="1"/>
  <c r="B12054" i="1"/>
  <c r="A12055" i="1"/>
  <c r="B12055" i="1"/>
  <c r="A12056" i="1"/>
  <c r="B12056" i="1"/>
  <c r="A12057" i="1"/>
  <c r="B12057" i="1"/>
  <c r="A12058" i="1"/>
  <c r="B12058" i="1"/>
  <c r="A12059" i="1"/>
  <c r="B12059" i="1"/>
  <c r="A12060" i="1"/>
  <c r="B12060" i="1"/>
  <c r="A12061" i="1"/>
  <c r="B12061" i="1"/>
  <c r="A12062" i="1"/>
  <c r="B12062" i="1"/>
  <c r="A12063" i="1"/>
  <c r="B12063" i="1"/>
  <c r="A12064" i="1"/>
  <c r="B12064" i="1"/>
  <c r="A12065" i="1"/>
  <c r="B12065" i="1"/>
  <c r="A12066" i="1"/>
  <c r="B12066" i="1"/>
  <c r="A12067" i="1"/>
  <c r="B12067" i="1"/>
  <c r="A12068" i="1"/>
  <c r="B12068" i="1"/>
  <c r="A12069" i="1"/>
  <c r="B12069" i="1"/>
  <c r="A12070" i="1"/>
  <c r="B12070" i="1"/>
  <c r="A12071" i="1"/>
  <c r="B12071" i="1"/>
  <c r="A12072" i="1"/>
  <c r="B12072" i="1"/>
  <c r="A12073" i="1"/>
  <c r="B12073" i="1"/>
  <c r="A12074" i="1"/>
  <c r="B12074" i="1"/>
  <c r="A12075" i="1"/>
  <c r="B12075" i="1"/>
  <c r="A12076" i="1"/>
  <c r="B12076" i="1"/>
  <c r="A12077" i="1"/>
  <c r="B12077" i="1"/>
  <c r="A12078" i="1"/>
  <c r="B12078" i="1"/>
  <c r="A12079" i="1"/>
  <c r="B12079" i="1"/>
  <c r="A12080" i="1"/>
  <c r="B12080" i="1"/>
  <c r="A12081" i="1"/>
  <c r="B12081" i="1"/>
  <c r="A12082" i="1"/>
  <c r="B12082" i="1"/>
  <c r="A12083" i="1"/>
  <c r="B12083" i="1"/>
  <c r="A12084" i="1"/>
  <c r="B12084" i="1"/>
  <c r="A12085" i="1"/>
  <c r="B12085" i="1"/>
  <c r="A12086" i="1"/>
  <c r="B12086" i="1"/>
  <c r="A12087" i="1"/>
  <c r="B12087" i="1"/>
  <c r="A12088" i="1"/>
  <c r="B12088" i="1"/>
  <c r="A12089" i="1"/>
  <c r="B12089" i="1"/>
  <c r="A12090" i="1"/>
  <c r="B12090" i="1"/>
  <c r="A12091" i="1"/>
  <c r="B12091" i="1"/>
  <c r="A12092" i="1"/>
  <c r="B12092" i="1"/>
  <c r="A12093" i="1"/>
  <c r="B12093" i="1"/>
  <c r="A12094" i="1"/>
  <c r="B12094" i="1"/>
  <c r="A12095" i="1"/>
  <c r="B12095" i="1"/>
  <c r="A12096" i="1"/>
  <c r="B12096" i="1"/>
  <c r="A12097" i="1"/>
  <c r="B12097" i="1"/>
  <c r="A12098" i="1"/>
  <c r="B12098" i="1"/>
  <c r="A12099" i="1"/>
  <c r="B12099" i="1"/>
  <c r="A12100" i="1"/>
  <c r="B12100" i="1"/>
  <c r="A12101" i="1"/>
  <c r="B12101" i="1"/>
  <c r="A12102" i="1"/>
  <c r="B12102" i="1"/>
  <c r="A12103" i="1"/>
  <c r="B12103" i="1"/>
  <c r="A12104" i="1"/>
  <c r="B12104" i="1"/>
  <c r="A12105" i="1"/>
  <c r="B12105" i="1"/>
  <c r="A12106" i="1"/>
  <c r="B12106" i="1"/>
  <c r="A12107" i="1"/>
  <c r="B12107" i="1"/>
  <c r="A12108" i="1"/>
  <c r="B12108" i="1"/>
  <c r="A12109" i="1"/>
  <c r="B12109" i="1"/>
  <c r="A12110" i="1"/>
  <c r="B12110" i="1"/>
  <c r="A12111" i="1"/>
  <c r="B12111" i="1"/>
  <c r="A12112" i="1"/>
  <c r="B12112" i="1"/>
  <c r="A12113" i="1"/>
  <c r="B12113" i="1"/>
  <c r="A12114" i="1"/>
  <c r="B12114" i="1"/>
  <c r="A12115" i="1"/>
  <c r="B12115" i="1"/>
  <c r="A12116" i="1"/>
  <c r="B12116" i="1"/>
  <c r="A12117" i="1"/>
  <c r="B12117" i="1"/>
  <c r="A12118" i="1"/>
  <c r="B12118" i="1"/>
  <c r="A12119" i="1"/>
  <c r="B12119" i="1"/>
  <c r="A12120" i="1"/>
  <c r="B12120" i="1"/>
  <c r="A12121" i="1"/>
  <c r="B12121" i="1"/>
  <c r="A12122" i="1"/>
  <c r="B12122" i="1"/>
  <c r="A12123" i="1"/>
  <c r="B12123" i="1"/>
  <c r="A12124" i="1"/>
  <c r="B12124" i="1"/>
  <c r="A12125" i="1"/>
  <c r="B12125" i="1"/>
  <c r="A12126" i="1"/>
  <c r="B12126" i="1"/>
  <c r="A12127" i="1"/>
  <c r="B12127" i="1"/>
  <c r="A12128" i="1"/>
  <c r="B12128" i="1"/>
  <c r="A12129" i="1"/>
  <c r="B12129" i="1"/>
  <c r="A12130" i="1"/>
  <c r="B12130" i="1"/>
  <c r="A12131" i="1"/>
  <c r="B12131" i="1"/>
  <c r="A12132" i="1"/>
  <c r="B12132" i="1"/>
  <c r="A12133" i="1"/>
  <c r="B12133" i="1"/>
  <c r="A12134" i="1"/>
  <c r="B12134" i="1"/>
  <c r="A12135" i="1"/>
  <c r="B12135" i="1"/>
  <c r="A12136" i="1"/>
  <c r="B12136" i="1"/>
  <c r="A12137" i="1"/>
  <c r="B12137" i="1"/>
  <c r="A12138" i="1"/>
  <c r="B12138" i="1"/>
  <c r="A12139" i="1"/>
  <c r="B12139" i="1"/>
  <c r="A12140" i="1"/>
  <c r="B12140" i="1"/>
  <c r="A12141" i="1"/>
  <c r="B12141" i="1"/>
  <c r="A12142" i="1"/>
  <c r="B12142" i="1"/>
  <c r="A12143" i="1"/>
  <c r="B12143" i="1"/>
  <c r="A12144" i="1"/>
  <c r="B12144" i="1"/>
  <c r="A12145" i="1"/>
  <c r="B12145" i="1"/>
  <c r="A12146" i="1"/>
  <c r="B12146" i="1"/>
  <c r="A12147" i="1"/>
  <c r="B12147" i="1"/>
  <c r="A12148" i="1"/>
  <c r="B12148" i="1"/>
  <c r="A12149" i="1"/>
  <c r="B12149" i="1"/>
  <c r="A12150" i="1"/>
  <c r="B12150" i="1"/>
  <c r="A12151" i="1"/>
  <c r="B12151" i="1"/>
  <c r="A12152" i="1"/>
  <c r="B12152" i="1"/>
  <c r="A12153" i="1"/>
  <c r="B12153" i="1"/>
  <c r="A12154" i="1"/>
  <c r="B12154" i="1"/>
  <c r="A12155" i="1"/>
  <c r="B12155" i="1"/>
  <c r="A12156" i="1"/>
  <c r="B12156" i="1"/>
  <c r="A12157" i="1"/>
  <c r="B12157" i="1"/>
  <c r="A12158" i="1"/>
  <c r="B12158" i="1"/>
  <c r="A12159" i="1"/>
  <c r="B12159" i="1"/>
  <c r="A12160" i="1"/>
  <c r="B12160" i="1"/>
  <c r="A12161" i="1"/>
  <c r="B12161" i="1"/>
  <c r="A12162" i="1"/>
  <c r="B12162" i="1"/>
  <c r="A12163" i="1"/>
  <c r="B12163" i="1"/>
  <c r="A12164" i="1"/>
  <c r="B12164" i="1"/>
  <c r="A12165" i="1"/>
  <c r="B12165" i="1"/>
  <c r="A12166" i="1"/>
  <c r="B12166" i="1"/>
  <c r="A12167" i="1"/>
  <c r="B12167" i="1"/>
  <c r="A12168" i="1"/>
  <c r="B12168" i="1"/>
  <c r="A12169" i="1"/>
  <c r="B12169" i="1"/>
  <c r="A12170" i="1"/>
  <c r="B12170" i="1"/>
  <c r="A12171" i="1"/>
  <c r="B12171" i="1"/>
  <c r="A12172" i="1"/>
  <c r="B12172" i="1"/>
  <c r="A12173" i="1"/>
  <c r="B12173" i="1"/>
  <c r="A12174" i="1"/>
  <c r="B12174" i="1"/>
  <c r="A12175" i="1"/>
  <c r="B12175" i="1"/>
  <c r="A12176" i="1"/>
  <c r="B12176" i="1"/>
  <c r="A12177" i="1"/>
  <c r="B12177" i="1"/>
  <c r="A12178" i="1"/>
  <c r="B12178" i="1"/>
  <c r="A12179" i="1"/>
  <c r="B12179" i="1"/>
  <c r="A12180" i="1"/>
  <c r="B12180" i="1"/>
  <c r="A12181" i="1"/>
  <c r="B12181" i="1"/>
  <c r="A12182" i="1"/>
  <c r="B12182" i="1"/>
  <c r="A12183" i="1"/>
  <c r="B12183" i="1"/>
  <c r="A12184" i="1"/>
  <c r="B12184" i="1"/>
  <c r="A12185" i="1"/>
  <c r="B12185" i="1"/>
  <c r="A12186" i="1"/>
  <c r="B12186" i="1"/>
  <c r="A12187" i="1"/>
  <c r="B12187" i="1"/>
  <c r="A12188" i="1"/>
  <c r="B12188" i="1"/>
  <c r="A12189" i="1"/>
  <c r="B12189" i="1"/>
  <c r="A12190" i="1"/>
  <c r="B12190" i="1"/>
  <c r="A12191" i="1"/>
  <c r="B12191" i="1"/>
  <c r="A12192" i="1"/>
  <c r="B12192" i="1"/>
  <c r="A12193" i="1"/>
  <c r="B12193" i="1"/>
  <c r="A12194" i="1"/>
  <c r="B12194" i="1"/>
  <c r="A12195" i="1"/>
  <c r="B12195" i="1"/>
  <c r="A12196" i="1"/>
  <c r="B12196" i="1"/>
  <c r="A12197" i="1"/>
  <c r="B12197" i="1"/>
  <c r="A12198" i="1"/>
  <c r="B12198" i="1"/>
  <c r="A12199" i="1"/>
  <c r="B12199" i="1"/>
  <c r="A12200" i="1"/>
  <c r="B12200" i="1"/>
  <c r="A12201" i="1"/>
  <c r="B12201" i="1"/>
  <c r="A12202" i="1"/>
  <c r="B12202" i="1"/>
  <c r="A12203" i="1"/>
  <c r="B12203" i="1"/>
  <c r="A12204" i="1"/>
  <c r="B12204" i="1"/>
  <c r="A12205" i="1"/>
  <c r="B12205" i="1"/>
  <c r="A12206" i="1"/>
  <c r="B12206" i="1"/>
  <c r="A12207" i="1"/>
  <c r="B12207" i="1"/>
  <c r="A12208" i="1"/>
  <c r="B12208" i="1"/>
  <c r="A12209" i="1"/>
  <c r="B12209" i="1"/>
  <c r="A12210" i="1"/>
  <c r="B12210" i="1"/>
  <c r="A12211" i="1"/>
  <c r="B12211" i="1"/>
  <c r="A12212" i="1"/>
  <c r="B12212" i="1"/>
  <c r="A12213" i="1"/>
  <c r="B12213" i="1"/>
  <c r="A12214" i="1"/>
  <c r="B12214" i="1"/>
  <c r="A12215" i="1"/>
  <c r="B12215" i="1"/>
  <c r="A12216" i="1"/>
  <c r="B12216" i="1"/>
  <c r="A12217" i="1"/>
  <c r="B12217" i="1"/>
  <c r="A12218" i="1"/>
  <c r="B12218" i="1"/>
  <c r="A12219" i="1"/>
  <c r="B12219" i="1"/>
  <c r="A12220" i="1"/>
  <c r="B12220" i="1"/>
  <c r="A12221" i="1"/>
  <c r="B12221" i="1"/>
  <c r="A12222" i="1"/>
  <c r="B12222" i="1"/>
  <c r="A12223" i="1"/>
  <c r="B12223" i="1"/>
  <c r="A12224" i="1"/>
  <c r="B12224" i="1"/>
  <c r="A12225" i="1"/>
  <c r="B12225" i="1"/>
  <c r="A12226" i="1"/>
  <c r="B12226" i="1"/>
  <c r="A12227" i="1"/>
  <c r="B12227" i="1"/>
  <c r="A12228" i="1"/>
  <c r="B12228" i="1"/>
  <c r="A12229" i="1"/>
  <c r="B12229" i="1"/>
  <c r="A12230" i="1"/>
  <c r="B12230" i="1"/>
  <c r="A12231" i="1"/>
  <c r="B12231" i="1"/>
  <c r="A12232" i="1"/>
  <c r="B12232" i="1"/>
  <c r="A12233" i="1"/>
  <c r="B12233" i="1"/>
  <c r="A12234" i="1"/>
  <c r="B12234" i="1"/>
  <c r="A12235" i="1"/>
  <c r="B12235" i="1"/>
  <c r="A12236" i="1"/>
  <c r="B12236" i="1"/>
  <c r="A12237" i="1"/>
  <c r="B12237" i="1"/>
  <c r="A12238" i="1"/>
  <c r="B12238" i="1"/>
  <c r="A12239" i="1"/>
  <c r="B12239" i="1"/>
  <c r="A12240" i="1"/>
  <c r="B12240" i="1"/>
  <c r="A12241" i="1"/>
  <c r="B12241" i="1"/>
  <c r="A12242" i="1"/>
  <c r="B12242" i="1"/>
  <c r="A12243" i="1"/>
  <c r="B12243" i="1"/>
  <c r="A12244" i="1"/>
  <c r="B12244" i="1"/>
  <c r="A12245" i="1"/>
  <c r="B12245" i="1"/>
  <c r="A12246" i="1"/>
  <c r="B12246" i="1"/>
  <c r="A12247" i="1"/>
  <c r="B12247" i="1"/>
  <c r="A12248" i="1"/>
  <c r="B12248" i="1"/>
  <c r="A12249" i="1"/>
  <c r="B12249" i="1"/>
  <c r="A12250" i="1"/>
  <c r="B12250" i="1"/>
  <c r="A12251" i="1"/>
  <c r="B12251" i="1"/>
  <c r="A12252" i="1"/>
  <c r="B12252" i="1"/>
  <c r="A12253" i="1"/>
  <c r="B12253" i="1"/>
  <c r="A12254" i="1"/>
  <c r="B12254" i="1"/>
  <c r="A12255" i="1"/>
  <c r="B12255" i="1"/>
  <c r="A12256" i="1"/>
  <c r="B12256" i="1"/>
  <c r="A12257" i="1"/>
  <c r="B12257" i="1"/>
  <c r="A12258" i="1"/>
  <c r="B12258" i="1"/>
  <c r="A12259" i="1"/>
  <c r="B12259" i="1"/>
  <c r="A12260" i="1"/>
  <c r="B12260" i="1"/>
  <c r="A12261" i="1"/>
  <c r="B12261" i="1"/>
  <c r="A12262" i="1"/>
  <c r="B12262" i="1"/>
  <c r="A12263" i="1"/>
  <c r="B12263" i="1"/>
  <c r="A12264" i="1"/>
  <c r="B12264" i="1"/>
  <c r="A12265" i="1"/>
  <c r="B12265" i="1"/>
  <c r="A12266" i="1"/>
  <c r="B12266" i="1"/>
  <c r="A12267" i="1"/>
  <c r="B12267" i="1"/>
  <c r="A12268" i="1"/>
  <c r="B12268" i="1"/>
  <c r="A12269" i="1"/>
  <c r="B12269" i="1"/>
  <c r="A12270" i="1"/>
  <c r="B12270" i="1"/>
  <c r="A12271" i="1"/>
  <c r="B12271" i="1"/>
  <c r="A12272" i="1"/>
  <c r="B12272" i="1"/>
  <c r="A12273" i="1"/>
  <c r="B12273" i="1"/>
  <c r="A12274" i="1"/>
  <c r="B12274" i="1"/>
  <c r="A12275" i="1"/>
  <c r="B12275" i="1"/>
  <c r="A12276" i="1"/>
  <c r="B12276" i="1"/>
  <c r="A12277" i="1"/>
  <c r="B12277" i="1"/>
  <c r="A12278" i="1"/>
  <c r="B12278" i="1"/>
  <c r="A12279" i="1"/>
  <c r="B12279" i="1"/>
  <c r="A12280" i="1"/>
  <c r="B12280" i="1"/>
  <c r="A12281" i="1"/>
  <c r="B12281" i="1"/>
  <c r="A12282" i="1"/>
  <c r="B12282" i="1"/>
  <c r="A12283" i="1"/>
  <c r="B12283" i="1"/>
  <c r="A12284" i="1"/>
  <c r="B12284" i="1"/>
  <c r="A12285" i="1"/>
  <c r="B12285" i="1"/>
  <c r="A12286" i="1"/>
  <c r="B12286" i="1"/>
  <c r="A12287" i="1"/>
  <c r="B12287" i="1"/>
  <c r="A12288" i="1"/>
  <c r="B12288" i="1"/>
  <c r="A12289" i="1"/>
  <c r="B12289" i="1"/>
  <c r="A12290" i="1"/>
  <c r="B12290" i="1"/>
  <c r="A12291" i="1"/>
  <c r="B12291" i="1"/>
  <c r="A12292" i="1"/>
  <c r="B12292" i="1"/>
  <c r="A12293" i="1"/>
  <c r="B12293" i="1"/>
  <c r="A12294" i="1"/>
  <c r="B12294" i="1"/>
  <c r="A12295" i="1"/>
  <c r="B12295" i="1"/>
  <c r="A12296" i="1"/>
  <c r="B12296" i="1"/>
  <c r="A12297" i="1"/>
  <c r="B12297" i="1"/>
  <c r="A12298" i="1"/>
  <c r="B12298" i="1"/>
  <c r="A12299" i="1"/>
  <c r="B12299" i="1"/>
  <c r="A12300" i="1"/>
  <c r="B12300" i="1"/>
  <c r="A12301" i="1"/>
  <c r="B12301" i="1"/>
  <c r="A12302" i="1"/>
  <c r="B12302" i="1"/>
  <c r="A12303" i="1"/>
  <c r="B12303" i="1"/>
  <c r="A12304" i="1"/>
  <c r="B12304" i="1"/>
  <c r="A12305" i="1"/>
  <c r="B12305" i="1"/>
  <c r="A12306" i="1"/>
  <c r="B12306" i="1"/>
  <c r="A12307" i="1"/>
  <c r="B12307" i="1"/>
  <c r="A12308" i="1"/>
  <c r="B12308" i="1"/>
  <c r="A12309" i="1"/>
  <c r="B12309" i="1"/>
  <c r="A12310" i="1"/>
  <c r="B12310" i="1"/>
  <c r="A12311" i="1"/>
  <c r="B12311" i="1"/>
  <c r="A12312" i="1"/>
  <c r="B12312" i="1"/>
  <c r="A12313" i="1"/>
  <c r="B12313" i="1"/>
  <c r="A12314" i="1"/>
  <c r="B12314" i="1"/>
  <c r="A12315" i="1"/>
  <c r="B12315" i="1"/>
  <c r="A12316" i="1"/>
  <c r="B12316" i="1"/>
  <c r="A12317" i="1"/>
  <c r="B12317" i="1"/>
  <c r="A12318" i="1"/>
  <c r="B12318" i="1"/>
  <c r="A12319" i="1"/>
  <c r="B12319" i="1"/>
  <c r="A12320" i="1"/>
  <c r="B12320" i="1"/>
  <c r="A12321" i="1"/>
  <c r="B12321" i="1"/>
  <c r="A12322" i="1"/>
  <c r="B12322" i="1"/>
  <c r="A12323" i="1"/>
  <c r="B12323" i="1"/>
  <c r="A12324" i="1"/>
  <c r="B12324" i="1"/>
  <c r="A12325" i="1"/>
  <c r="B12325" i="1"/>
  <c r="A12326" i="1"/>
  <c r="B12326" i="1"/>
  <c r="A12327" i="1"/>
  <c r="B12327" i="1"/>
  <c r="A12328" i="1"/>
  <c r="B12328" i="1"/>
  <c r="A12329" i="1"/>
  <c r="B12329" i="1"/>
  <c r="A12330" i="1"/>
  <c r="B12330" i="1"/>
  <c r="A12331" i="1"/>
  <c r="B12331" i="1"/>
  <c r="A12332" i="1"/>
  <c r="B12332" i="1"/>
  <c r="A12333" i="1"/>
  <c r="B12333" i="1"/>
  <c r="A12334" i="1"/>
  <c r="B12334" i="1"/>
  <c r="A12335" i="1"/>
  <c r="B12335" i="1"/>
  <c r="A12336" i="1"/>
  <c r="B12336" i="1"/>
  <c r="A12337" i="1"/>
  <c r="B12337" i="1"/>
  <c r="A12338" i="1"/>
  <c r="B12338" i="1"/>
  <c r="A12339" i="1"/>
  <c r="B12339" i="1"/>
  <c r="A12340" i="1"/>
  <c r="B12340" i="1"/>
  <c r="A12341" i="1"/>
  <c r="B12341" i="1"/>
  <c r="A12342" i="1"/>
  <c r="B12342" i="1"/>
  <c r="A12343" i="1"/>
  <c r="B12343" i="1"/>
  <c r="A12344" i="1"/>
  <c r="B12344" i="1"/>
  <c r="A12345" i="1"/>
  <c r="B12345" i="1"/>
  <c r="A12346" i="1"/>
  <c r="B12346" i="1"/>
  <c r="A12347" i="1"/>
  <c r="B12347" i="1"/>
  <c r="A12348" i="1"/>
  <c r="B12348" i="1"/>
  <c r="A12349" i="1"/>
  <c r="B12349" i="1"/>
  <c r="A12350" i="1"/>
  <c r="B12350" i="1"/>
  <c r="A12351" i="1"/>
  <c r="B12351" i="1"/>
  <c r="A12352" i="1"/>
  <c r="B12352" i="1"/>
  <c r="A12353" i="1"/>
  <c r="B12353" i="1"/>
  <c r="A12354" i="1"/>
  <c r="B12354" i="1"/>
  <c r="A12355" i="1"/>
  <c r="B12355" i="1"/>
  <c r="A12356" i="1"/>
  <c r="B12356" i="1"/>
  <c r="A12357" i="1"/>
  <c r="B12357" i="1"/>
  <c r="A12358" i="1"/>
  <c r="B12358" i="1"/>
  <c r="A12359" i="1"/>
  <c r="B12359" i="1"/>
  <c r="A12360" i="1"/>
  <c r="B12360" i="1"/>
  <c r="A12361" i="1"/>
  <c r="B12361" i="1"/>
  <c r="A12362" i="1"/>
  <c r="B12362" i="1"/>
  <c r="A12363" i="1"/>
  <c r="B12363" i="1"/>
  <c r="A12364" i="1"/>
  <c r="B12364" i="1"/>
  <c r="A12365" i="1"/>
  <c r="B12365" i="1"/>
  <c r="A12366" i="1"/>
  <c r="B12366" i="1"/>
  <c r="A12367" i="1"/>
  <c r="B12367" i="1"/>
  <c r="A12368" i="1"/>
  <c r="B12368" i="1"/>
  <c r="A12369" i="1"/>
  <c r="B12369" i="1"/>
  <c r="A12370" i="1"/>
  <c r="B12370" i="1"/>
  <c r="A12371" i="1"/>
  <c r="B12371" i="1"/>
  <c r="A12372" i="1"/>
  <c r="B12372" i="1"/>
  <c r="A12373" i="1"/>
  <c r="B12373" i="1"/>
  <c r="A12374" i="1"/>
  <c r="B12374" i="1"/>
  <c r="A12375" i="1"/>
  <c r="B12375" i="1"/>
  <c r="A12376" i="1"/>
  <c r="B12376" i="1"/>
  <c r="A12377" i="1"/>
  <c r="B12377" i="1"/>
  <c r="A12378" i="1"/>
  <c r="B12378" i="1"/>
  <c r="A12379" i="1"/>
  <c r="B12379" i="1"/>
  <c r="A12380" i="1"/>
  <c r="B12380" i="1"/>
  <c r="A12381" i="1"/>
  <c r="B12381" i="1"/>
  <c r="A12382" i="1"/>
  <c r="B12382" i="1"/>
  <c r="A12383" i="1"/>
  <c r="B12383" i="1"/>
  <c r="A12384" i="1"/>
  <c r="B12384" i="1"/>
  <c r="A12385" i="1"/>
  <c r="B12385" i="1"/>
  <c r="A12386" i="1"/>
  <c r="B12386" i="1"/>
  <c r="A12387" i="1"/>
  <c r="B12387" i="1"/>
  <c r="A12388" i="1"/>
  <c r="B12388" i="1"/>
  <c r="A12389" i="1"/>
  <c r="B12389" i="1"/>
  <c r="A12390" i="1"/>
  <c r="B12390" i="1"/>
  <c r="A12391" i="1"/>
  <c r="B12391" i="1"/>
  <c r="A12392" i="1"/>
  <c r="B12392" i="1"/>
  <c r="A12393" i="1"/>
  <c r="B12393" i="1"/>
  <c r="A12394" i="1"/>
  <c r="B12394" i="1"/>
  <c r="A12395" i="1"/>
  <c r="B12395" i="1"/>
  <c r="A12396" i="1"/>
  <c r="B12396" i="1"/>
  <c r="A12397" i="1"/>
  <c r="B12397" i="1"/>
  <c r="A12398" i="1"/>
  <c r="B12398" i="1"/>
  <c r="A12399" i="1"/>
  <c r="B12399" i="1"/>
  <c r="A12400" i="1"/>
  <c r="B12400" i="1"/>
  <c r="A12401" i="1"/>
  <c r="B12401" i="1"/>
  <c r="A12402" i="1"/>
  <c r="B12402" i="1"/>
  <c r="A12403" i="1"/>
  <c r="B12403" i="1"/>
  <c r="A12404" i="1"/>
  <c r="B12404" i="1"/>
  <c r="A12405" i="1"/>
  <c r="B12405" i="1"/>
  <c r="A12406" i="1"/>
  <c r="B12406" i="1"/>
  <c r="A12407" i="1"/>
  <c r="B12407" i="1"/>
  <c r="A12408" i="1"/>
  <c r="B12408" i="1"/>
  <c r="A12409" i="1"/>
  <c r="B12409" i="1"/>
  <c r="A12410" i="1"/>
  <c r="B12410" i="1"/>
  <c r="A12411" i="1"/>
  <c r="B12411" i="1"/>
  <c r="A12412" i="1"/>
  <c r="B12412" i="1"/>
  <c r="A12413" i="1"/>
  <c r="B12413" i="1"/>
  <c r="A12414" i="1"/>
  <c r="B12414" i="1"/>
  <c r="A12415" i="1"/>
  <c r="B12415" i="1"/>
  <c r="A12416" i="1"/>
  <c r="B12416" i="1"/>
  <c r="A12417" i="1"/>
  <c r="B12417" i="1"/>
  <c r="A12418" i="1"/>
  <c r="B12418" i="1"/>
  <c r="A12419" i="1"/>
  <c r="B12419" i="1"/>
  <c r="A12420" i="1"/>
  <c r="B12420" i="1"/>
  <c r="A12421" i="1"/>
  <c r="B12421" i="1"/>
  <c r="A12422" i="1"/>
  <c r="B12422" i="1"/>
  <c r="A12423" i="1"/>
  <c r="B12423" i="1"/>
  <c r="A12424" i="1"/>
  <c r="B12424" i="1"/>
  <c r="A12425" i="1"/>
  <c r="B12425" i="1"/>
  <c r="A12426" i="1"/>
  <c r="B12426" i="1"/>
  <c r="A12427" i="1"/>
  <c r="B12427" i="1"/>
  <c r="A12428" i="1"/>
  <c r="B12428" i="1"/>
  <c r="A12429" i="1"/>
  <c r="B12429" i="1"/>
  <c r="A12430" i="1"/>
  <c r="B12430" i="1"/>
  <c r="A12431" i="1"/>
  <c r="B12431" i="1"/>
  <c r="A12432" i="1"/>
  <c r="B12432" i="1"/>
  <c r="A12433" i="1"/>
  <c r="B12433" i="1"/>
  <c r="A12434" i="1"/>
  <c r="B12434" i="1"/>
  <c r="A12435" i="1"/>
  <c r="B12435" i="1"/>
  <c r="A12436" i="1"/>
  <c r="B12436" i="1"/>
  <c r="A12437" i="1"/>
  <c r="B12437" i="1"/>
  <c r="A12438" i="1"/>
  <c r="B12438" i="1"/>
  <c r="A12439" i="1"/>
  <c r="B12439" i="1"/>
  <c r="A12440" i="1"/>
  <c r="B12440" i="1"/>
  <c r="A12441" i="1"/>
  <c r="B12441" i="1"/>
  <c r="A12442" i="1"/>
  <c r="B12442" i="1"/>
  <c r="A12443" i="1"/>
  <c r="B12443" i="1"/>
  <c r="A12444" i="1"/>
  <c r="B12444" i="1"/>
  <c r="A12445" i="1"/>
  <c r="B12445" i="1"/>
  <c r="A12446" i="1"/>
  <c r="B12446" i="1"/>
  <c r="A12447" i="1"/>
  <c r="B12447" i="1"/>
  <c r="A12448" i="1"/>
  <c r="B12448" i="1"/>
  <c r="A12449" i="1"/>
  <c r="B12449" i="1"/>
  <c r="A12450" i="1"/>
  <c r="B12450" i="1"/>
  <c r="A12451" i="1"/>
  <c r="B12451" i="1"/>
  <c r="A12452" i="1"/>
  <c r="B12452" i="1"/>
  <c r="A12453" i="1"/>
  <c r="B12453" i="1"/>
  <c r="A12454" i="1"/>
  <c r="B12454" i="1"/>
  <c r="A12455" i="1"/>
  <c r="B12455" i="1"/>
  <c r="A12456" i="1"/>
  <c r="B12456" i="1"/>
  <c r="A12457" i="1"/>
  <c r="B12457" i="1"/>
  <c r="A12458" i="1"/>
  <c r="B12458" i="1"/>
  <c r="A12459" i="1"/>
  <c r="B12459" i="1"/>
  <c r="A12460" i="1"/>
  <c r="B12460" i="1"/>
  <c r="A12461" i="1"/>
  <c r="B12461" i="1"/>
  <c r="A12462" i="1"/>
  <c r="B12462" i="1"/>
  <c r="A12463" i="1"/>
  <c r="B12463" i="1"/>
  <c r="A12464" i="1"/>
  <c r="B12464" i="1"/>
  <c r="A12465" i="1"/>
  <c r="B12465" i="1"/>
  <c r="A12466" i="1"/>
  <c r="B12466" i="1"/>
  <c r="A12467" i="1"/>
  <c r="B12467" i="1"/>
  <c r="A12468" i="1"/>
  <c r="B12468" i="1"/>
  <c r="A12469" i="1"/>
  <c r="B12469" i="1"/>
  <c r="A12470" i="1"/>
  <c r="B12470" i="1"/>
  <c r="A12471" i="1"/>
  <c r="B12471" i="1"/>
  <c r="A12472" i="1"/>
  <c r="B12472" i="1"/>
  <c r="A12473" i="1"/>
  <c r="B12473" i="1"/>
  <c r="A12474" i="1"/>
  <c r="B12474" i="1"/>
  <c r="A12475" i="1"/>
  <c r="B12475" i="1"/>
  <c r="A12476" i="1"/>
  <c r="B12476" i="1"/>
  <c r="A12477" i="1"/>
  <c r="B12477" i="1"/>
  <c r="A12478" i="1"/>
  <c r="B12478" i="1"/>
  <c r="A12479" i="1"/>
  <c r="B12479" i="1"/>
  <c r="A12480" i="1"/>
  <c r="B12480" i="1"/>
  <c r="A12481" i="1"/>
  <c r="B12481" i="1"/>
  <c r="A12482" i="1"/>
  <c r="B12482" i="1"/>
  <c r="A12483" i="1"/>
  <c r="B12483" i="1"/>
  <c r="A12484" i="1"/>
  <c r="B12484" i="1"/>
  <c r="A12485" i="1"/>
  <c r="B12485" i="1"/>
  <c r="A12486" i="1"/>
  <c r="B12486" i="1"/>
  <c r="A12487" i="1"/>
  <c r="B12487" i="1"/>
  <c r="A12488" i="1"/>
  <c r="B12488" i="1"/>
  <c r="A12489" i="1"/>
  <c r="B12489" i="1"/>
  <c r="A12490" i="1"/>
  <c r="B12490" i="1"/>
  <c r="A12491" i="1"/>
  <c r="B12491" i="1"/>
  <c r="A12492" i="1"/>
  <c r="B12492" i="1"/>
  <c r="A12493" i="1"/>
  <c r="B12493" i="1"/>
  <c r="A12494" i="1"/>
  <c r="B12494" i="1"/>
  <c r="A12495" i="1"/>
  <c r="B12495" i="1"/>
  <c r="A12496" i="1"/>
  <c r="B12496" i="1"/>
  <c r="A12497" i="1"/>
  <c r="B12497" i="1"/>
  <c r="A12498" i="1"/>
  <c r="B12498" i="1"/>
  <c r="A12499" i="1"/>
  <c r="B12499" i="1"/>
  <c r="A12500" i="1"/>
  <c r="B12500" i="1"/>
  <c r="A12501" i="1"/>
  <c r="B12501" i="1"/>
  <c r="A12502" i="1"/>
  <c r="B12502" i="1"/>
  <c r="A12503" i="1"/>
  <c r="B12503" i="1"/>
  <c r="A12504" i="1"/>
  <c r="B12504" i="1"/>
  <c r="A12505" i="1"/>
  <c r="B12505" i="1"/>
  <c r="A12506" i="1"/>
  <c r="B12506" i="1"/>
  <c r="A12507" i="1"/>
  <c r="B12507" i="1"/>
  <c r="A12508" i="1"/>
  <c r="B12508" i="1"/>
  <c r="A12509" i="1"/>
  <c r="B12509" i="1"/>
  <c r="A12510" i="1"/>
  <c r="B12510" i="1"/>
  <c r="A12511" i="1"/>
  <c r="B12511" i="1"/>
  <c r="A12512" i="1"/>
  <c r="B12512" i="1"/>
  <c r="A12513" i="1"/>
  <c r="B12513" i="1"/>
  <c r="A12514" i="1"/>
  <c r="B12514" i="1"/>
  <c r="A12515" i="1"/>
  <c r="B12515" i="1"/>
  <c r="A12516" i="1"/>
  <c r="B12516" i="1"/>
  <c r="A12517" i="1"/>
  <c r="B12517" i="1"/>
  <c r="A12518" i="1"/>
  <c r="B12518" i="1"/>
  <c r="A12519" i="1"/>
  <c r="B12519" i="1"/>
  <c r="A12520" i="1"/>
  <c r="B12520" i="1"/>
  <c r="A12521" i="1"/>
  <c r="B12521" i="1"/>
  <c r="A12522" i="1"/>
  <c r="B12522" i="1"/>
  <c r="A12523" i="1"/>
  <c r="B12523" i="1"/>
  <c r="A12524" i="1"/>
  <c r="B12524" i="1"/>
  <c r="A12525" i="1"/>
  <c r="B12525" i="1"/>
  <c r="A12526" i="1"/>
  <c r="B12526" i="1"/>
  <c r="A12527" i="1"/>
  <c r="B12527" i="1"/>
  <c r="A12528" i="1"/>
  <c r="B12528" i="1"/>
  <c r="A12529" i="1"/>
  <c r="B12529" i="1"/>
  <c r="A12530" i="1"/>
  <c r="B12530" i="1"/>
  <c r="A12531" i="1"/>
  <c r="B12531" i="1"/>
  <c r="A12532" i="1"/>
  <c r="B12532" i="1"/>
  <c r="A12533" i="1"/>
  <c r="B12533" i="1"/>
  <c r="A12534" i="1"/>
  <c r="B12534" i="1"/>
  <c r="A12535" i="1"/>
  <c r="B12535" i="1"/>
  <c r="A12536" i="1"/>
  <c r="B12536" i="1"/>
  <c r="A12537" i="1"/>
  <c r="B12537" i="1"/>
  <c r="A12538" i="1"/>
  <c r="B12538" i="1"/>
  <c r="A12539" i="1"/>
  <c r="B12539" i="1"/>
  <c r="A12540" i="1"/>
  <c r="B12540" i="1"/>
  <c r="A12541" i="1"/>
  <c r="B12541" i="1"/>
  <c r="A12542" i="1"/>
  <c r="B12542" i="1"/>
  <c r="A12543" i="1"/>
  <c r="B12543" i="1"/>
  <c r="A12544" i="1"/>
  <c r="B12544" i="1"/>
  <c r="A12545" i="1"/>
  <c r="B12545" i="1"/>
  <c r="A12546" i="1"/>
  <c r="B12546" i="1"/>
  <c r="A12547" i="1"/>
  <c r="B12547" i="1"/>
  <c r="A12548" i="1"/>
  <c r="B12548" i="1"/>
  <c r="A12549" i="1"/>
  <c r="B12549" i="1"/>
  <c r="A12550" i="1"/>
  <c r="B12550" i="1"/>
  <c r="A12551" i="1"/>
  <c r="B12551" i="1"/>
  <c r="A12552" i="1"/>
  <c r="B12552" i="1"/>
  <c r="A12553" i="1"/>
  <c r="B12553" i="1"/>
  <c r="A12554" i="1"/>
  <c r="B12554" i="1"/>
  <c r="A12555" i="1"/>
  <c r="B12555" i="1"/>
  <c r="A12556" i="1"/>
  <c r="B12556" i="1"/>
  <c r="A12557" i="1"/>
  <c r="B12557" i="1"/>
  <c r="A12558" i="1"/>
  <c r="B12558" i="1"/>
  <c r="A12559" i="1"/>
  <c r="B12559" i="1"/>
  <c r="A12560" i="1"/>
  <c r="B12560" i="1"/>
  <c r="A12561" i="1"/>
  <c r="B12561" i="1"/>
  <c r="A12562" i="1"/>
  <c r="B12562" i="1"/>
  <c r="A12563" i="1"/>
  <c r="B12563" i="1"/>
  <c r="A12564" i="1"/>
  <c r="B12564" i="1"/>
  <c r="A12565" i="1"/>
  <c r="B12565" i="1"/>
  <c r="A12566" i="1"/>
  <c r="B12566" i="1"/>
  <c r="A12567" i="1"/>
  <c r="B12567" i="1"/>
  <c r="A12568" i="1"/>
  <c r="B12568" i="1"/>
  <c r="A12569" i="1"/>
  <c r="B12569" i="1"/>
  <c r="A12570" i="1"/>
  <c r="B12570" i="1"/>
  <c r="A12571" i="1"/>
  <c r="B12571" i="1"/>
  <c r="A12572" i="1"/>
  <c r="B12572" i="1"/>
  <c r="A12573" i="1"/>
  <c r="B12573" i="1"/>
  <c r="A12574" i="1"/>
  <c r="B12574" i="1"/>
  <c r="A12575" i="1"/>
  <c r="B12575" i="1"/>
  <c r="A12576" i="1"/>
  <c r="B12576" i="1"/>
  <c r="A12577" i="1"/>
  <c r="B12577" i="1"/>
  <c r="A12578" i="1"/>
  <c r="B12578" i="1"/>
  <c r="A12579" i="1"/>
  <c r="B12579" i="1"/>
  <c r="A12580" i="1"/>
  <c r="B12580" i="1"/>
  <c r="A12581" i="1"/>
  <c r="B12581" i="1"/>
  <c r="A12582" i="1"/>
  <c r="B12582" i="1"/>
  <c r="A12583" i="1"/>
  <c r="B12583" i="1"/>
  <c r="A12584" i="1"/>
  <c r="B12584" i="1"/>
  <c r="A12585" i="1"/>
  <c r="B12585" i="1"/>
  <c r="A12586" i="1"/>
  <c r="B12586" i="1"/>
  <c r="A12587" i="1"/>
  <c r="B12587" i="1"/>
  <c r="A12588" i="1"/>
  <c r="B12588" i="1"/>
  <c r="A12589" i="1"/>
  <c r="B12589" i="1"/>
  <c r="A12590" i="1"/>
  <c r="B12590" i="1"/>
  <c r="A12591" i="1"/>
  <c r="B12591" i="1"/>
  <c r="A12592" i="1"/>
  <c r="B12592" i="1"/>
  <c r="A12593" i="1"/>
  <c r="B12593" i="1"/>
  <c r="A12594" i="1"/>
  <c r="B12594" i="1"/>
  <c r="A12595" i="1"/>
  <c r="B12595" i="1"/>
  <c r="A12596" i="1"/>
  <c r="B12596" i="1"/>
  <c r="A12597" i="1"/>
  <c r="B12597" i="1"/>
  <c r="A12598" i="1"/>
  <c r="B12598" i="1"/>
  <c r="A12599" i="1"/>
  <c r="B12599" i="1"/>
  <c r="A12600" i="1"/>
  <c r="B12600" i="1"/>
  <c r="A12601" i="1"/>
  <c r="B12601" i="1"/>
  <c r="A12602" i="1"/>
  <c r="B12602" i="1"/>
  <c r="A12603" i="1"/>
  <c r="B12603" i="1"/>
  <c r="A12604" i="1"/>
  <c r="B12604" i="1"/>
  <c r="A12605" i="1"/>
  <c r="B12605" i="1"/>
  <c r="A12606" i="1"/>
  <c r="B12606" i="1"/>
  <c r="A12607" i="1"/>
  <c r="B12607" i="1"/>
  <c r="A12608" i="1"/>
  <c r="B12608" i="1"/>
  <c r="A12609" i="1"/>
  <c r="B12609" i="1"/>
  <c r="A12610" i="1"/>
  <c r="B12610" i="1"/>
  <c r="A12611" i="1"/>
  <c r="B12611" i="1"/>
  <c r="A12612" i="1"/>
  <c r="B12612" i="1"/>
  <c r="A12613" i="1"/>
  <c r="B12613" i="1"/>
  <c r="A12614" i="1"/>
  <c r="B12614" i="1"/>
  <c r="A12615" i="1"/>
  <c r="B12615" i="1"/>
  <c r="A12616" i="1"/>
  <c r="B12616" i="1"/>
  <c r="A12617" i="1"/>
  <c r="B12617" i="1"/>
  <c r="A12618" i="1"/>
  <c r="B12618" i="1"/>
  <c r="A12619" i="1"/>
  <c r="B12619" i="1"/>
  <c r="A12620" i="1"/>
  <c r="B12620" i="1"/>
  <c r="A12621" i="1"/>
  <c r="B12621" i="1"/>
  <c r="A12622" i="1"/>
  <c r="B12622" i="1"/>
  <c r="A12623" i="1"/>
  <c r="B12623" i="1"/>
  <c r="A12624" i="1"/>
  <c r="B12624" i="1"/>
  <c r="A12625" i="1"/>
  <c r="B12625" i="1"/>
  <c r="A12626" i="1"/>
  <c r="B12626" i="1"/>
  <c r="A12627" i="1"/>
  <c r="B12627" i="1"/>
  <c r="A12628" i="1"/>
  <c r="B12628" i="1"/>
  <c r="A12629" i="1"/>
  <c r="B12629" i="1"/>
  <c r="A12630" i="1"/>
  <c r="B12630" i="1"/>
  <c r="A12631" i="1"/>
  <c r="B12631" i="1"/>
  <c r="A12632" i="1"/>
  <c r="B12632" i="1"/>
  <c r="A12633" i="1"/>
  <c r="B12633" i="1"/>
  <c r="A12634" i="1"/>
  <c r="B12634" i="1"/>
  <c r="A12635" i="1"/>
  <c r="B12635" i="1"/>
  <c r="A12636" i="1"/>
  <c r="B12636" i="1"/>
  <c r="A12637" i="1"/>
  <c r="B12637" i="1"/>
  <c r="A12638" i="1"/>
  <c r="B12638" i="1"/>
  <c r="A12639" i="1"/>
  <c r="B12639" i="1"/>
  <c r="A12640" i="1"/>
  <c r="B12640" i="1"/>
  <c r="A12641" i="1"/>
  <c r="B12641" i="1"/>
  <c r="A12642" i="1"/>
  <c r="B12642" i="1"/>
  <c r="A12643" i="1"/>
  <c r="B12643" i="1"/>
  <c r="A12644" i="1"/>
  <c r="B12644" i="1"/>
  <c r="A12645" i="1"/>
  <c r="B12645" i="1"/>
  <c r="A12646" i="1"/>
  <c r="B12646" i="1"/>
  <c r="A12647" i="1"/>
  <c r="B12647" i="1"/>
  <c r="A12648" i="1"/>
  <c r="B12648" i="1"/>
  <c r="A12649" i="1"/>
  <c r="B12649" i="1"/>
  <c r="A12650" i="1"/>
  <c r="B12650" i="1"/>
  <c r="A12651" i="1"/>
  <c r="B12651" i="1"/>
  <c r="A12652" i="1"/>
  <c r="B12652" i="1"/>
  <c r="A12653" i="1"/>
  <c r="B12653" i="1"/>
  <c r="A12654" i="1"/>
  <c r="B12654" i="1"/>
  <c r="A12655" i="1"/>
  <c r="B12655" i="1"/>
  <c r="A12656" i="1"/>
  <c r="B12656" i="1"/>
  <c r="A12657" i="1"/>
  <c r="B12657" i="1"/>
  <c r="A12658" i="1"/>
  <c r="B12658" i="1"/>
  <c r="A12659" i="1"/>
  <c r="B12659" i="1"/>
  <c r="A12660" i="1"/>
  <c r="B12660" i="1"/>
  <c r="A12661" i="1"/>
  <c r="B12661" i="1"/>
  <c r="A12662" i="1"/>
  <c r="B12662" i="1"/>
  <c r="A12663" i="1"/>
  <c r="B12663" i="1"/>
  <c r="A12664" i="1"/>
  <c r="B12664" i="1"/>
  <c r="A12665" i="1"/>
  <c r="B12665" i="1"/>
  <c r="A12666" i="1"/>
  <c r="B12666" i="1"/>
  <c r="A12667" i="1"/>
  <c r="B12667" i="1"/>
  <c r="A12668" i="1"/>
  <c r="B12668" i="1"/>
  <c r="A12669" i="1"/>
  <c r="B12669" i="1"/>
  <c r="A12670" i="1"/>
  <c r="B12670" i="1"/>
  <c r="A12671" i="1"/>
  <c r="B12671" i="1"/>
  <c r="A12672" i="1"/>
  <c r="B12672" i="1"/>
  <c r="A12673" i="1"/>
  <c r="B12673" i="1"/>
  <c r="A12674" i="1"/>
  <c r="B12674" i="1"/>
  <c r="A12675" i="1"/>
  <c r="B12675" i="1"/>
  <c r="A12676" i="1"/>
  <c r="B12676" i="1"/>
  <c r="A12677" i="1"/>
  <c r="B12677" i="1"/>
  <c r="A12678" i="1"/>
  <c r="B12678" i="1"/>
  <c r="A12679" i="1"/>
  <c r="B12679" i="1"/>
  <c r="A12680" i="1"/>
  <c r="B12680" i="1"/>
  <c r="A12681" i="1"/>
  <c r="B12681" i="1"/>
  <c r="A12682" i="1"/>
  <c r="B12682" i="1"/>
  <c r="A12683" i="1"/>
  <c r="B12683" i="1"/>
  <c r="A12684" i="1"/>
  <c r="B12684" i="1"/>
  <c r="A12685" i="1"/>
  <c r="B12685" i="1"/>
  <c r="A12686" i="1"/>
  <c r="B12686" i="1"/>
  <c r="A12687" i="1"/>
  <c r="B12687" i="1"/>
  <c r="A12688" i="1"/>
  <c r="B12688" i="1"/>
  <c r="A12689" i="1"/>
  <c r="B12689" i="1"/>
  <c r="A12690" i="1"/>
  <c r="B12690" i="1"/>
  <c r="A12691" i="1"/>
  <c r="B12691" i="1"/>
  <c r="A12692" i="1"/>
  <c r="B12692" i="1"/>
  <c r="A12693" i="1"/>
  <c r="B12693" i="1"/>
  <c r="A12694" i="1"/>
  <c r="B12694" i="1"/>
  <c r="A12695" i="1"/>
  <c r="B12695" i="1"/>
  <c r="A12696" i="1"/>
  <c r="B12696" i="1"/>
  <c r="A12697" i="1"/>
  <c r="B12697" i="1"/>
  <c r="A12698" i="1"/>
  <c r="B12698" i="1"/>
  <c r="A12699" i="1"/>
  <c r="B12699" i="1"/>
  <c r="A12700" i="1"/>
  <c r="B12700" i="1"/>
  <c r="A12701" i="1"/>
  <c r="B12701" i="1"/>
  <c r="A12702" i="1"/>
  <c r="B12702" i="1"/>
  <c r="A12703" i="1"/>
  <c r="B12703" i="1"/>
  <c r="A12704" i="1"/>
  <c r="B12704" i="1"/>
  <c r="A12705" i="1"/>
  <c r="B12705" i="1"/>
  <c r="A12706" i="1"/>
  <c r="B12706" i="1"/>
  <c r="A12707" i="1"/>
  <c r="B12707" i="1"/>
  <c r="A12708" i="1"/>
  <c r="B12708" i="1"/>
  <c r="A12709" i="1"/>
  <c r="B12709" i="1"/>
  <c r="A12710" i="1"/>
  <c r="B12710" i="1"/>
  <c r="A12711" i="1"/>
  <c r="B12711" i="1"/>
  <c r="A12712" i="1"/>
  <c r="B12712" i="1"/>
  <c r="A12713" i="1"/>
  <c r="B12713" i="1"/>
  <c r="A12714" i="1"/>
  <c r="B12714" i="1"/>
  <c r="A12715" i="1"/>
  <c r="B12715" i="1"/>
  <c r="A12716" i="1"/>
  <c r="B12716" i="1"/>
  <c r="A12717" i="1"/>
  <c r="B12717" i="1"/>
  <c r="A12718" i="1"/>
  <c r="B12718" i="1"/>
  <c r="A12719" i="1"/>
  <c r="B12719" i="1"/>
  <c r="A12720" i="1"/>
  <c r="B12720" i="1"/>
  <c r="A12721" i="1"/>
  <c r="B12721" i="1"/>
  <c r="A12722" i="1"/>
  <c r="B12722" i="1"/>
  <c r="A12723" i="1"/>
  <c r="B12723" i="1"/>
  <c r="A12724" i="1"/>
  <c r="B12724" i="1"/>
  <c r="A12725" i="1"/>
  <c r="B12725" i="1"/>
  <c r="A12726" i="1"/>
  <c r="B12726" i="1"/>
  <c r="A12727" i="1"/>
  <c r="B12727" i="1"/>
  <c r="A12728" i="1"/>
  <c r="B12728" i="1"/>
  <c r="A12729" i="1"/>
  <c r="B12729" i="1"/>
  <c r="A12730" i="1"/>
  <c r="B12730" i="1"/>
  <c r="A12731" i="1"/>
  <c r="B12731" i="1"/>
  <c r="A12732" i="1"/>
  <c r="B12732" i="1"/>
  <c r="A12733" i="1"/>
  <c r="B12733" i="1"/>
  <c r="A12734" i="1"/>
  <c r="B12734" i="1"/>
  <c r="A12735" i="1"/>
  <c r="B12735" i="1"/>
  <c r="A12736" i="1"/>
  <c r="B12736" i="1"/>
  <c r="A12737" i="1"/>
  <c r="B12737" i="1"/>
  <c r="A12738" i="1"/>
  <c r="B12738" i="1"/>
  <c r="A12739" i="1"/>
  <c r="B12739" i="1"/>
  <c r="A12740" i="1"/>
  <c r="B12740" i="1"/>
  <c r="A12741" i="1"/>
  <c r="B12741" i="1"/>
  <c r="A12742" i="1"/>
  <c r="B12742" i="1"/>
  <c r="A12743" i="1"/>
  <c r="B12743" i="1"/>
  <c r="A12744" i="1"/>
  <c r="B12744" i="1"/>
  <c r="A12745" i="1"/>
  <c r="B12745" i="1"/>
  <c r="A12746" i="1"/>
  <c r="B12746" i="1"/>
  <c r="A12747" i="1"/>
  <c r="B12747" i="1"/>
  <c r="A12748" i="1"/>
  <c r="B12748" i="1"/>
  <c r="A12749" i="1"/>
  <c r="B12749" i="1"/>
  <c r="A12750" i="1"/>
  <c r="B12750" i="1"/>
  <c r="A12751" i="1"/>
  <c r="B12751" i="1"/>
  <c r="A12752" i="1"/>
  <c r="B12752" i="1"/>
  <c r="A12753" i="1"/>
  <c r="B12753" i="1"/>
  <c r="A12754" i="1"/>
  <c r="B12754" i="1"/>
  <c r="A12755" i="1"/>
  <c r="B12755" i="1"/>
  <c r="A12756" i="1"/>
  <c r="B12756" i="1"/>
  <c r="A12757" i="1"/>
  <c r="B12757" i="1"/>
  <c r="A12758" i="1"/>
  <c r="B12758" i="1"/>
  <c r="A12759" i="1"/>
  <c r="B12759" i="1"/>
  <c r="A12760" i="1"/>
  <c r="B12760" i="1"/>
  <c r="A12761" i="1"/>
  <c r="B12761" i="1"/>
  <c r="A12762" i="1"/>
  <c r="B12762" i="1"/>
  <c r="A12763" i="1"/>
  <c r="B12763" i="1"/>
  <c r="A12764" i="1"/>
  <c r="B12764" i="1"/>
  <c r="A12765" i="1"/>
  <c r="B12765" i="1"/>
  <c r="A12766" i="1"/>
  <c r="B12766" i="1"/>
  <c r="A12767" i="1"/>
  <c r="B12767" i="1"/>
  <c r="A12768" i="1"/>
  <c r="B12768" i="1"/>
  <c r="A12769" i="1"/>
  <c r="B12769" i="1"/>
  <c r="A12770" i="1"/>
  <c r="B12770" i="1"/>
  <c r="A12771" i="1"/>
  <c r="B12771" i="1"/>
  <c r="A12772" i="1"/>
  <c r="B12772" i="1"/>
  <c r="A12773" i="1"/>
  <c r="B12773" i="1"/>
  <c r="A12774" i="1"/>
  <c r="B12774" i="1"/>
  <c r="A12775" i="1"/>
  <c r="B12775" i="1"/>
  <c r="A12776" i="1"/>
  <c r="B12776" i="1"/>
  <c r="A12777" i="1"/>
  <c r="B12777" i="1"/>
  <c r="A12778" i="1"/>
  <c r="B12778" i="1"/>
  <c r="A12779" i="1"/>
  <c r="B12779" i="1"/>
  <c r="A12780" i="1"/>
  <c r="B12780" i="1"/>
  <c r="A12781" i="1"/>
  <c r="B12781" i="1"/>
  <c r="A12782" i="1"/>
  <c r="B12782" i="1"/>
  <c r="A12783" i="1"/>
  <c r="B12783" i="1"/>
  <c r="A12784" i="1"/>
  <c r="B12784" i="1"/>
  <c r="A12785" i="1"/>
  <c r="B12785" i="1"/>
  <c r="A12786" i="1"/>
  <c r="B12786" i="1"/>
  <c r="A12787" i="1"/>
  <c r="B12787" i="1"/>
  <c r="A12788" i="1"/>
  <c r="B12788" i="1"/>
  <c r="A12789" i="1"/>
  <c r="B12789" i="1"/>
  <c r="A12790" i="1"/>
  <c r="B12790" i="1"/>
  <c r="A12791" i="1"/>
  <c r="B12791" i="1"/>
  <c r="A12792" i="1"/>
  <c r="B12792" i="1"/>
  <c r="A12793" i="1"/>
  <c r="B12793" i="1"/>
  <c r="A12794" i="1"/>
  <c r="B12794" i="1"/>
  <c r="A12795" i="1"/>
  <c r="B12795" i="1"/>
  <c r="A12796" i="1"/>
  <c r="B12796" i="1"/>
  <c r="A12797" i="1"/>
  <c r="B12797" i="1"/>
  <c r="A12798" i="1"/>
  <c r="B12798" i="1"/>
  <c r="A12799" i="1"/>
  <c r="B12799" i="1"/>
  <c r="A12800" i="1"/>
  <c r="B12800" i="1"/>
  <c r="A12801" i="1"/>
  <c r="B12801" i="1"/>
  <c r="A12802" i="1"/>
  <c r="B12802" i="1"/>
  <c r="A12803" i="1"/>
  <c r="B12803" i="1"/>
  <c r="A12804" i="1"/>
  <c r="B12804" i="1"/>
  <c r="A12805" i="1"/>
  <c r="B12805" i="1"/>
  <c r="A12806" i="1"/>
  <c r="B12806" i="1"/>
  <c r="A12807" i="1"/>
  <c r="B12807" i="1"/>
  <c r="A12808" i="1"/>
  <c r="B12808" i="1"/>
  <c r="A12809" i="1"/>
  <c r="B12809" i="1"/>
  <c r="A12810" i="1"/>
  <c r="B12810" i="1"/>
  <c r="A12811" i="1"/>
  <c r="B12811" i="1"/>
  <c r="A12812" i="1"/>
  <c r="B12812" i="1"/>
  <c r="A12813" i="1"/>
  <c r="B12813" i="1"/>
  <c r="A12814" i="1"/>
  <c r="B12814" i="1"/>
  <c r="A12815" i="1"/>
  <c r="B12815" i="1"/>
  <c r="A12816" i="1"/>
  <c r="B12816" i="1"/>
  <c r="A12817" i="1"/>
  <c r="B12817" i="1"/>
  <c r="A12818" i="1"/>
  <c r="B12818" i="1"/>
  <c r="A12819" i="1"/>
  <c r="B12819" i="1"/>
  <c r="A12820" i="1"/>
  <c r="B12820" i="1"/>
  <c r="A12821" i="1"/>
  <c r="B12821" i="1"/>
  <c r="A12822" i="1"/>
  <c r="B12822" i="1"/>
  <c r="A12823" i="1"/>
  <c r="B12823" i="1"/>
  <c r="A12824" i="1"/>
  <c r="B12824" i="1"/>
  <c r="A12825" i="1"/>
  <c r="B12825" i="1"/>
  <c r="A12826" i="1"/>
  <c r="B12826" i="1"/>
  <c r="A12827" i="1"/>
  <c r="B12827" i="1"/>
  <c r="A12828" i="1"/>
  <c r="B12828" i="1"/>
  <c r="A12829" i="1"/>
  <c r="B12829" i="1"/>
  <c r="A12830" i="1"/>
  <c r="B12830" i="1"/>
  <c r="A12831" i="1"/>
  <c r="B12831" i="1"/>
  <c r="A12832" i="1"/>
  <c r="B12832" i="1"/>
  <c r="A12833" i="1"/>
  <c r="B12833" i="1"/>
  <c r="A12834" i="1"/>
  <c r="B12834" i="1"/>
  <c r="A12835" i="1"/>
  <c r="B12835" i="1"/>
  <c r="A12836" i="1"/>
  <c r="B12836" i="1"/>
  <c r="A12837" i="1"/>
  <c r="B12837" i="1"/>
  <c r="A12838" i="1"/>
  <c r="B12838" i="1"/>
  <c r="A12839" i="1"/>
  <c r="B12839" i="1"/>
  <c r="A12840" i="1"/>
  <c r="B12840" i="1"/>
  <c r="A12841" i="1"/>
  <c r="B12841" i="1"/>
  <c r="A12842" i="1"/>
  <c r="B12842" i="1"/>
  <c r="A12843" i="1"/>
  <c r="B12843" i="1"/>
  <c r="A12844" i="1"/>
  <c r="B12844" i="1"/>
  <c r="A12845" i="1"/>
  <c r="B12845" i="1"/>
  <c r="A12846" i="1"/>
  <c r="B12846" i="1"/>
  <c r="A12847" i="1"/>
  <c r="B12847" i="1"/>
  <c r="A12848" i="1"/>
  <c r="B12848" i="1"/>
  <c r="A12849" i="1"/>
  <c r="B12849" i="1"/>
  <c r="A12850" i="1"/>
  <c r="B12850" i="1"/>
  <c r="A12851" i="1"/>
  <c r="B12851" i="1"/>
  <c r="A12852" i="1"/>
  <c r="B12852" i="1"/>
  <c r="A12853" i="1"/>
  <c r="B12853" i="1"/>
  <c r="A12854" i="1"/>
  <c r="B12854" i="1"/>
  <c r="A12855" i="1"/>
  <c r="B12855" i="1"/>
  <c r="A12856" i="1"/>
  <c r="B12856" i="1"/>
  <c r="A12857" i="1"/>
  <c r="B12857" i="1"/>
  <c r="A12858" i="1"/>
  <c r="B12858" i="1"/>
  <c r="A12859" i="1"/>
  <c r="B12859" i="1"/>
  <c r="A12860" i="1"/>
  <c r="B12860" i="1"/>
  <c r="A12861" i="1"/>
  <c r="B12861" i="1"/>
  <c r="A12862" i="1"/>
  <c r="B12862" i="1"/>
  <c r="A12863" i="1"/>
  <c r="B12863" i="1"/>
  <c r="A12864" i="1"/>
  <c r="B12864" i="1"/>
  <c r="A12865" i="1"/>
  <c r="B12865" i="1"/>
  <c r="A12866" i="1"/>
  <c r="B12866" i="1"/>
  <c r="A12867" i="1"/>
  <c r="B12867" i="1"/>
  <c r="A12868" i="1"/>
  <c r="B12868" i="1"/>
  <c r="A12869" i="1"/>
  <c r="B12869" i="1"/>
  <c r="A12870" i="1"/>
  <c r="B12870" i="1"/>
  <c r="A12871" i="1"/>
  <c r="B12871" i="1"/>
  <c r="A12872" i="1"/>
  <c r="B12872" i="1"/>
  <c r="A12873" i="1"/>
  <c r="B12873" i="1"/>
  <c r="A12874" i="1"/>
  <c r="B12874" i="1"/>
  <c r="A12875" i="1"/>
  <c r="B12875" i="1"/>
  <c r="A12876" i="1"/>
  <c r="B12876" i="1"/>
  <c r="A12877" i="1"/>
  <c r="B12877" i="1"/>
  <c r="A12878" i="1"/>
  <c r="B12878" i="1"/>
  <c r="A12879" i="1"/>
  <c r="B12879" i="1"/>
  <c r="A12880" i="1"/>
  <c r="B12880" i="1"/>
  <c r="A12881" i="1"/>
  <c r="B12881" i="1"/>
  <c r="A12882" i="1"/>
  <c r="B12882" i="1"/>
  <c r="A12883" i="1"/>
  <c r="B12883" i="1"/>
  <c r="A12884" i="1"/>
  <c r="B12884" i="1"/>
  <c r="A12885" i="1"/>
  <c r="B12885" i="1"/>
  <c r="A12886" i="1"/>
  <c r="B12886" i="1"/>
  <c r="A12887" i="1"/>
  <c r="B12887" i="1"/>
  <c r="A12888" i="1"/>
  <c r="B12888" i="1"/>
  <c r="A12889" i="1"/>
  <c r="B12889" i="1"/>
  <c r="A12890" i="1"/>
  <c r="B12890" i="1"/>
  <c r="A12891" i="1"/>
  <c r="B12891" i="1"/>
  <c r="A12892" i="1"/>
  <c r="B12892" i="1"/>
  <c r="A12893" i="1"/>
  <c r="B12893" i="1"/>
  <c r="A12894" i="1"/>
  <c r="B12894" i="1"/>
  <c r="A12895" i="1"/>
  <c r="B12895" i="1"/>
  <c r="A12896" i="1"/>
  <c r="B12896" i="1"/>
  <c r="A12897" i="1"/>
  <c r="B12897" i="1"/>
  <c r="A12898" i="1"/>
  <c r="B12898" i="1"/>
  <c r="A12899" i="1"/>
  <c r="B12899" i="1"/>
  <c r="A12900" i="1"/>
  <c r="B12900" i="1"/>
  <c r="A12901" i="1"/>
  <c r="B12901" i="1"/>
  <c r="A12902" i="1"/>
  <c r="B12902" i="1"/>
  <c r="A12903" i="1"/>
  <c r="B12903" i="1"/>
  <c r="A12904" i="1"/>
  <c r="B12904" i="1"/>
  <c r="A12905" i="1"/>
  <c r="B12905" i="1"/>
  <c r="A12906" i="1"/>
  <c r="B12906" i="1"/>
  <c r="A12907" i="1"/>
  <c r="B12907" i="1"/>
  <c r="A12908" i="1"/>
  <c r="B12908" i="1"/>
  <c r="A12909" i="1"/>
  <c r="B12909" i="1"/>
  <c r="A12910" i="1"/>
  <c r="B12910" i="1"/>
  <c r="A12911" i="1"/>
  <c r="B12911" i="1"/>
  <c r="A12912" i="1"/>
  <c r="B12912" i="1"/>
  <c r="A12913" i="1"/>
  <c r="B12913" i="1"/>
  <c r="A12914" i="1"/>
  <c r="B12914" i="1"/>
  <c r="A12915" i="1"/>
  <c r="B12915" i="1"/>
  <c r="A12916" i="1"/>
  <c r="B12916" i="1"/>
  <c r="A12917" i="1"/>
  <c r="B12917" i="1"/>
  <c r="A12918" i="1"/>
  <c r="B12918" i="1"/>
  <c r="A12919" i="1"/>
  <c r="B12919" i="1"/>
  <c r="A12920" i="1"/>
  <c r="B12920" i="1"/>
  <c r="A12921" i="1"/>
  <c r="B12921" i="1"/>
  <c r="A12922" i="1"/>
  <c r="B12922" i="1"/>
  <c r="A12923" i="1"/>
  <c r="B12923" i="1"/>
  <c r="A12924" i="1"/>
  <c r="B12924" i="1"/>
  <c r="A12925" i="1"/>
  <c r="B12925" i="1"/>
  <c r="A12926" i="1"/>
  <c r="B12926" i="1"/>
  <c r="A12927" i="1"/>
  <c r="B12927" i="1"/>
  <c r="A12928" i="1"/>
  <c r="B12928" i="1"/>
  <c r="A12929" i="1"/>
  <c r="B12929" i="1"/>
  <c r="A12930" i="1"/>
  <c r="B12930" i="1"/>
  <c r="A12931" i="1"/>
  <c r="B12931" i="1"/>
  <c r="A12932" i="1"/>
  <c r="B12932" i="1"/>
  <c r="A12933" i="1"/>
  <c r="B12933" i="1"/>
  <c r="A12934" i="1"/>
  <c r="B12934" i="1"/>
  <c r="A12935" i="1"/>
  <c r="B12935" i="1"/>
  <c r="A12936" i="1"/>
  <c r="B12936" i="1"/>
  <c r="A12937" i="1"/>
  <c r="B12937" i="1"/>
  <c r="A12938" i="1"/>
  <c r="B12938" i="1"/>
  <c r="A12939" i="1"/>
  <c r="B12939" i="1"/>
  <c r="A12940" i="1"/>
  <c r="B12940" i="1"/>
  <c r="A12941" i="1"/>
  <c r="B12941" i="1"/>
  <c r="A12942" i="1"/>
  <c r="B12942" i="1"/>
  <c r="A12943" i="1"/>
  <c r="B12943" i="1"/>
  <c r="A12944" i="1"/>
  <c r="B12944" i="1"/>
  <c r="A12945" i="1"/>
  <c r="B12945" i="1"/>
  <c r="A12946" i="1"/>
  <c r="B12946" i="1"/>
  <c r="A12947" i="1"/>
  <c r="B12947" i="1"/>
  <c r="A12948" i="1"/>
  <c r="B12948" i="1"/>
  <c r="A12949" i="1"/>
  <c r="B12949" i="1"/>
  <c r="A12950" i="1"/>
  <c r="B12950" i="1"/>
  <c r="A12951" i="1"/>
  <c r="B12951" i="1"/>
  <c r="A12952" i="1"/>
  <c r="B12952" i="1"/>
  <c r="A12953" i="1"/>
  <c r="B12953" i="1"/>
  <c r="A12954" i="1"/>
  <c r="B12954" i="1"/>
  <c r="A12955" i="1"/>
  <c r="B12955" i="1"/>
  <c r="A12956" i="1"/>
  <c r="B12956" i="1"/>
  <c r="A12957" i="1"/>
  <c r="B12957" i="1"/>
  <c r="A12958" i="1"/>
  <c r="B12958" i="1"/>
  <c r="A12959" i="1"/>
  <c r="B12959" i="1"/>
  <c r="A12960" i="1"/>
  <c r="B12960" i="1"/>
  <c r="A12961" i="1"/>
  <c r="B12961" i="1"/>
  <c r="A12962" i="1"/>
  <c r="B12962" i="1"/>
  <c r="A12963" i="1"/>
  <c r="B12963" i="1"/>
  <c r="A12964" i="1"/>
  <c r="B12964" i="1"/>
  <c r="A12965" i="1"/>
  <c r="B12965" i="1"/>
  <c r="A12966" i="1"/>
  <c r="B12966" i="1"/>
  <c r="A12967" i="1"/>
  <c r="B12967" i="1"/>
  <c r="A12968" i="1"/>
  <c r="B12968" i="1"/>
  <c r="A12969" i="1"/>
  <c r="B12969" i="1"/>
  <c r="A12970" i="1"/>
  <c r="B12970" i="1"/>
  <c r="A12971" i="1"/>
  <c r="B12971" i="1"/>
  <c r="A12972" i="1"/>
  <c r="B12972" i="1"/>
  <c r="A12973" i="1"/>
  <c r="B12973" i="1"/>
  <c r="A12974" i="1"/>
  <c r="B12974" i="1"/>
  <c r="A12975" i="1"/>
  <c r="B12975" i="1"/>
  <c r="A12976" i="1"/>
  <c r="B12976" i="1"/>
  <c r="A12977" i="1"/>
  <c r="B12977" i="1"/>
  <c r="A12978" i="1"/>
  <c r="B12978" i="1"/>
  <c r="A12979" i="1"/>
  <c r="B12979" i="1"/>
  <c r="A12980" i="1"/>
  <c r="B12980" i="1"/>
  <c r="A12981" i="1"/>
  <c r="B12981" i="1"/>
  <c r="A12982" i="1"/>
  <c r="B12982" i="1"/>
  <c r="A12983" i="1"/>
  <c r="B12983" i="1"/>
  <c r="A12984" i="1"/>
  <c r="B12984" i="1"/>
  <c r="A12985" i="1"/>
  <c r="B12985" i="1"/>
  <c r="A12986" i="1"/>
  <c r="B12986" i="1"/>
  <c r="A12987" i="1"/>
  <c r="B12987" i="1"/>
  <c r="A12988" i="1"/>
  <c r="B12988" i="1"/>
  <c r="A12989" i="1"/>
  <c r="B12989" i="1"/>
  <c r="A12990" i="1"/>
  <c r="B12990" i="1"/>
  <c r="A12991" i="1"/>
  <c r="B12991" i="1"/>
  <c r="A12992" i="1"/>
  <c r="B12992" i="1"/>
  <c r="A12993" i="1"/>
  <c r="B12993" i="1"/>
  <c r="A12994" i="1"/>
  <c r="B12994" i="1"/>
  <c r="A12995" i="1"/>
  <c r="B12995" i="1"/>
  <c r="A12996" i="1"/>
  <c r="B12996" i="1"/>
  <c r="A12997" i="1"/>
  <c r="B12997" i="1"/>
  <c r="A12998" i="1"/>
  <c r="B12998" i="1"/>
  <c r="A12999" i="1"/>
  <c r="B12999" i="1"/>
  <c r="A13000" i="1"/>
  <c r="B13000" i="1"/>
  <c r="A13001" i="1"/>
  <c r="B13001" i="1"/>
  <c r="A13002" i="1"/>
  <c r="B13002" i="1"/>
  <c r="A13003" i="1"/>
  <c r="B13003" i="1"/>
  <c r="A13004" i="1"/>
  <c r="B13004" i="1"/>
  <c r="A13005" i="1"/>
  <c r="B13005" i="1"/>
  <c r="A13006" i="1"/>
  <c r="B13006" i="1"/>
  <c r="A13007" i="1"/>
  <c r="B13007" i="1"/>
  <c r="A13008" i="1"/>
  <c r="B13008" i="1"/>
  <c r="A13009" i="1"/>
  <c r="B13009" i="1"/>
  <c r="A13010" i="1"/>
  <c r="B13010" i="1"/>
  <c r="A13011" i="1"/>
  <c r="B13011" i="1"/>
  <c r="A13012" i="1"/>
  <c r="B13012" i="1"/>
  <c r="A13013" i="1"/>
  <c r="B13013" i="1"/>
  <c r="A13014" i="1"/>
  <c r="B13014" i="1"/>
  <c r="A13015" i="1"/>
  <c r="B13015" i="1"/>
  <c r="A13016" i="1"/>
  <c r="B13016" i="1"/>
  <c r="A13017" i="1"/>
  <c r="B13017" i="1"/>
  <c r="A13018" i="1"/>
  <c r="B13018" i="1"/>
  <c r="A13019" i="1"/>
  <c r="B13019" i="1"/>
  <c r="A13020" i="1"/>
  <c r="B13020" i="1"/>
  <c r="A13021" i="1"/>
  <c r="B13021" i="1"/>
  <c r="A13022" i="1"/>
  <c r="B13022" i="1"/>
  <c r="A13023" i="1"/>
  <c r="B13023" i="1"/>
  <c r="A13024" i="1"/>
  <c r="B13024" i="1"/>
  <c r="A13025" i="1"/>
  <c r="B13025" i="1"/>
  <c r="A13026" i="1"/>
  <c r="B13026" i="1"/>
  <c r="A13027" i="1"/>
  <c r="B13027" i="1"/>
  <c r="A13028" i="1"/>
  <c r="B13028" i="1"/>
  <c r="A13029" i="1"/>
  <c r="B13029" i="1"/>
  <c r="A13030" i="1"/>
  <c r="B13030" i="1"/>
  <c r="A13031" i="1"/>
  <c r="B13031" i="1"/>
  <c r="A13032" i="1"/>
  <c r="B13032" i="1"/>
  <c r="A13033" i="1"/>
  <c r="B13033" i="1"/>
  <c r="A13034" i="1"/>
  <c r="B13034" i="1"/>
  <c r="A13035" i="1"/>
  <c r="B13035" i="1"/>
  <c r="A13036" i="1"/>
  <c r="B13036" i="1"/>
  <c r="A13037" i="1"/>
  <c r="B13037" i="1"/>
  <c r="A13038" i="1"/>
  <c r="B13038" i="1"/>
  <c r="A13039" i="1"/>
  <c r="B13039" i="1"/>
  <c r="A13040" i="1"/>
  <c r="B13040" i="1"/>
  <c r="A13041" i="1"/>
  <c r="B13041" i="1"/>
  <c r="A13042" i="1"/>
  <c r="B13042" i="1"/>
  <c r="A13043" i="1"/>
  <c r="B13043" i="1"/>
  <c r="A13044" i="1"/>
  <c r="B13044" i="1"/>
  <c r="A13045" i="1"/>
  <c r="B13045" i="1"/>
  <c r="A13046" i="1"/>
  <c r="B13046" i="1"/>
  <c r="A13047" i="1"/>
  <c r="B13047" i="1"/>
  <c r="A13048" i="1"/>
  <c r="B13048" i="1"/>
  <c r="A13049" i="1"/>
  <c r="B13049" i="1"/>
  <c r="A13050" i="1"/>
  <c r="B13050" i="1"/>
  <c r="A13051" i="1"/>
  <c r="B13051" i="1"/>
  <c r="A13052" i="1"/>
  <c r="B13052" i="1"/>
  <c r="A13053" i="1"/>
  <c r="B13053" i="1"/>
  <c r="A13054" i="1"/>
  <c r="B13054" i="1"/>
  <c r="A13055" i="1"/>
  <c r="B13055" i="1"/>
  <c r="A13056" i="1"/>
  <c r="B13056" i="1"/>
  <c r="A13057" i="1"/>
  <c r="B13057" i="1"/>
  <c r="A13058" i="1"/>
  <c r="B13058" i="1"/>
  <c r="A13059" i="1"/>
  <c r="B13059" i="1"/>
  <c r="A13060" i="1"/>
  <c r="B13060" i="1"/>
  <c r="A13061" i="1"/>
  <c r="B13061" i="1"/>
  <c r="A13062" i="1"/>
  <c r="B13062" i="1"/>
  <c r="A13063" i="1"/>
  <c r="B13063" i="1"/>
  <c r="A13064" i="1"/>
  <c r="B13064" i="1"/>
  <c r="A13065" i="1"/>
  <c r="B13065" i="1"/>
  <c r="A13066" i="1"/>
  <c r="B13066" i="1"/>
  <c r="A13067" i="1"/>
  <c r="B13067" i="1"/>
  <c r="A13068" i="1"/>
  <c r="B13068" i="1"/>
  <c r="A13069" i="1"/>
  <c r="B13069" i="1"/>
  <c r="A13070" i="1"/>
  <c r="B13070" i="1"/>
  <c r="A13071" i="1"/>
  <c r="B13071" i="1"/>
  <c r="A13072" i="1"/>
  <c r="B13072" i="1"/>
  <c r="A13073" i="1"/>
  <c r="B13073" i="1"/>
  <c r="A13074" i="1"/>
  <c r="B13074" i="1"/>
  <c r="A13075" i="1"/>
  <c r="B13075" i="1"/>
  <c r="A13076" i="1"/>
  <c r="B13076" i="1"/>
  <c r="A13077" i="1"/>
  <c r="B13077" i="1"/>
  <c r="A13078" i="1"/>
  <c r="B13078" i="1"/>
  <c r="A13079" i="1"/>
  <c r="B13079" i="1"/>
  <c r="A13080" i="1"/>
  <c r="B13080" i="1"/>
  <c r="A13081" i="1"/>
  <c r="B13081" i="1"/>
  <c r="A13082" i="1"/>
  <c r="B13082" i="1"/>
  <c r="A13083" i="1"/>
  <c r="B13083" i="1"/>
  <c r="A13084" i="1"/>
  <c r="B13084" i="1"/>
  <c r="A13085" i="1"/>
  <c r="B13085" i="1"/>
  <c r="A13086" i="1"/>
  <c r="B13086" i="1"/>
  <c r="A13087" i="1"/>
  <c r="B13087" i="1"/>
  <c r="A13088" i="1"/>
  <c r="B13088" i="1"/>
  <c r="A13089" i="1"/>
  <c r="B13089" i="1"/>
  <c r="A13090" i="1"/>
  <c r="B13090" i="1"/>
  <c r="A13091" i="1"/>
  <c r="B13091" i="1"/>
  <c r="A13092" i="1"/>
  <c r="B13092" i="1"/>
  <c r="A13093" i="1"/>
  <c r="B13093" i="1"/>
  <c r="A13094" i="1"/>
  <c r="B13094" i="1"/>
  <c r="A13095" i="1"/>
  <c r="B13095" i="1"/>
  <c r="A13096" i="1"/>
  <c r="B13096" i="1"/>
  <c r="A13097" i="1"/>
  <c r="B13097" i="1"/>
  <c r="A13098" i="1"/>
  <c r="B13098" i="1"/>
  <c r="A13099" i="1"/>
  <c r="B13099" i="1"/>
  <c r="A13100" i="1"/>
  <c r="B13100" i="1"/>
  <c r="A13101" i="1"/>
  <c r="B13101" i="1"/>
  <c r="A13102" i="1"/>
  <c r="B13102" i="1"/>
  <c r="A13103" i="1"/>
  <c r="B13103" i="1"/>
  <c r="A13104" i="1"/>
  <c r="B13104" i="1"/>
  <c r="A13105" i="1"/>
  <c r="B13105" i="1"/>
  <c r="A13106" i="1"/>
  <c r="B13106" i="1"/>
  <c r="A13107" i="1"/>
  <c r="B13107" i="1"/>
  <c r="A13108" i="1"/>
  <c r="B13108" i="1"/>
  <c r="A13109" i="1"/>
  <c r="B13109" i="1"/>
  <c r="A13110" i="1"/>
  <c r="B13110" i="1"/>
  <c r="A13111" i="1"/>
  <c r="B13111" i="1"/>
  <c r="A13112" i="1"/>
  <c r="B13112" i="1"/>
  <c r="A13113" i="1"/>
  <c r="B13113" i="1"/>
  <c r="A13114" i="1"/>
  <c r="B13114" i="1"/>
  <c r="A13115" i="1"/>
  <c r="B13115" i="1"/>
  <c r="A13116" i="1"/>
  <c r="B13116" i="1"/>
  <c r="A13117" i="1"/>
  <c r="B13117" i="1"/>
  <c r="A13118" i="1"/>
  <c r="B13118" i="1"/>
  <c r="A13119" i="1"/>
  <c r="B13119" i="1"/>
  <c r="A13120" i="1"/>
  <c r="B13120" i="1"/>
  <c r="A13121" i="1"/>
  <c r="B13121" i="1"/>
  <c r="A13122" i="1"/>
  <c r="B13122" i="1"/>
  <c r="A13123" i="1"/>
  <c r="B13123" i="1"/>
  <c r="A13124" i="1"/>
  <c r="B13124" i="1"/>
  <c r="A13125" i="1"/>
  <c r="B13125" i="1"/>
  <c r="A13126" i="1"/>
  <c r="B13126" i="1"/>
  <c r="A13127" i="1"/>
  <c r="B13127" i="1"/>
  <c r="A13128" i="1"/>
  <c r="B13128" i="1"/>
  <c r="A13129" i="1"/>
  <c r="B13129" i="1"/>
  <c r="A13130" i="1"/>
  <c r="B13130" i="1"/>
  <c r="A13131" i="1"/>
  <c r="B13131" i="1"/>
  <c r="A13132" i="1"/>
  <c r="B13132" i="1"/>
  <c r="A13133" i="1"/>
  <c r="B13133" i="1"/>
  <c r="A13134" i="1"/>
  <c r="B13134" i="1"/>
  <c r="A13135" i="1"/>
  <c r="B13135" i="1"/>
  <c r="A13136" i="1"/>
  <c r="B13136" i="1"/>
  <c r="A13137" i="1"/>
  <c r="B13137" i="1"/>
  <c r="A13138" i="1"/>
  <c r="B13138" i="1"/>
  <c r="A13139" i="1"/>
  <c r="B13139" i="1"/>
  <c r="A13140" i="1"/>
  <c r="B13140" i="1"/>
  <c r="A13141" i="1"/>
  <c r="B13141" i="1"/>
  <c r="A13142" i="1"/>
  <c r="B13142" i="1"/>
  <c r="A13143" i="1"/>
  <c r="B13143" i="1"/>
  <c r="A13144" i="1"/>
  <c r="B13144" i="1"/>
  <c r="A13145" i="1"/>
  <c r="B13145" i="1"/>
  <c r="A13146" i="1"/>
  <c r="B13146" i="1"/>
  <c r="A13147" i="1"/>
  <c r="B13147" i="1"/>
  <c r="A13148" i="1"/>
  <c r="B13148" i="1"/>
  <c r="A13149" i="1"/>
  <c r="B13149" i="1"/>
  <c r="A13150" i="1"/>
  <c r="B13150" i="1"/>
  <c r="A13151" i="1"/>
  <c r="B13151" i="1"/>
  <c r="A13152" i="1"/>
  <c r="B13152" i="1"/>
  <c r="A13153" i="1"/>
  <c r="B13153" i="1"/>
  <c r="A13154" i="1"/>
  <c r="B13154" i="1"/>
  <c r="A13155" i="1"/>
  <c r="B13155" i="1"/>
  <c r="A13156" i="1"/>
  <c r="B13156" i="1"/>
  <c r="A13157" i="1"/>
  <c r="B13157" i="1"/>
  <c r="A13158" i="1"/>
  <c r="B13158" i="1"/>
  <c r="A13159" i="1"/>
  <c r="B13159" i="1"/>
  <c r="A13160" i="1"/>
  <c r="B13160" i="1"/>
  <c r="A13161" i="1"/>
  <c r="B13161" i="1"/>
  <c r="A13162" i="1"/>
  <c r="B13162" i="1"/>
  <c r="A13163" i="1"/>
  <c r="B13163" i="1"/>
  <c r="A13164" i="1"/>
  <c r="B13164" i="1"/>
  <c r="A13165" i="1"/>
  <c r="B13165" i="1"/>
  <c r="A13166" i="1"/>
  <c r="B13166" i="1"/>
  <c r="A13167" i="1"/>
  <c r="B13167" i="1"/>
  <c r="A13168" i="1"/>
  <c r="B13168" i="1"/>
  <c r="A13169" i="1"/>
  <c r="B13169" i="1"/>
  <c r="A13170" i="1"/>
  <c r="B13170" i="1"/>
  <c r="A13171" i="1"/>
  <c r="B13171" i="1"/>
  <c r="A13172" i="1"/>
  <c r="B13172" i="1"/>
  <c r="A13173" i="1"/>
  <c r="B13173" i="1"/>
  <c r="A13174" i="1"/>
  <c r="B13174" i="1"/>
  <c r="A13175" i="1"/>
  <c r="B13175" i="1"/>
  <c r="A13176" i="1"/>
  <c r="B13176" i="1"/>
  <c r="A13177" i="1"/>
  <c r="B13177" i="1"/>
  <c r="A13178" i="1"/>
  <c r="B13178" i="1"/>
  <c r="A13179" i="1"/>
  <c r="B13179" i="1"/>
  <c r="A13180" i="1"/>
  <c r="B13180" i="1"/>
  <c r="A13181" i="1"/>
  <c r="B13181" i="1"/>
  <c r="A13182" i="1"/>
  <c r="B13182" i="1"/>
  <c r="A13183" i="1"/>
  <c r="B13183" i="1"/>
  <c r="A13184" i="1"/>
  <c r="B13184" i="1"/>
  <c r="A13185" i="1"/>
  <c r="B13185" i="1"/>
  <c r="A13186" i="1"/>
  <c r="B13186" i="1"/>
  <c r="A13187" i="1"/>
  <c r="B13187" i="1"/>
  <c r="A13188" i="1"/>
  <c r="B13188" i="1"/>
  <c r="A13189" i="1"/>
  <c r="B13189" i="1"/>
  <c r="A13190" i="1"/>
  <c r="B13190" i="1"/>
  <c r="A13191" i="1"/>
  <c r="B13191" i="1"/>
  <c r="A13192" i="1"/>
  <c r="B13192" i="1"/>
  <c r="A13193" i="1"/>
  <c r="B13193" i="1"/>
  <c r="A13194" i="1"/>
  <c r="B13194" i="1"/>
  <c r="A13195" i="1"/>
  <c r="B13195" i="1"/>
  <c r="A13196" i="1"/>
  <c r="B13196" i="1"/>
  <c r="A13197" i="1"/>
  <c r="B13197" i="1"/>
  <c r="A13198" i="1"/>
  <c r="B13198" i="1"/>
  <c r="A13199" i="1"/>
  <c r="B13199" i="1"/>
  <c r="A13200" i="1"/>
  <c r="B13200" i="1"/>
  <c r="A13201" i="1"/>
  <c r="B13201" i="1"/>
  <c r="A13202" i="1"/>
  <c r="B13202" i="1"/>
  <c r="A13203" i="1"/>
  <c r="B13203" i="1"/>
  <c r="A13204" i="1"/>
  <c r="B13204" i="1"/>
  <c r="A13205" i="1"/>
  <c r="B13205" i="1"/>
  <c r="A13206" i="1"/>
  <c r="B13206" i="1"/>
  <c r="A13207" i="1"/>
  <c r="B13207" i="1"/>
  <c r="A13208" i="1"/>
  <c r="B13208" i="1"/>
  <c r="A13209" i="1"/>
  <c r="B13209" i="1"/>
  <c r="A13210" i="1"/>
  <c r="B13210" i="1"/>
  <c r="A13211" i="1"/>
  <c r="B13211" i="1"/>
  <c r="A13212" i="1"/>
  <c r="B13212" i="1"/>
  <c r="A13213" i="1"/>
  <c r="B13213" i="1"/>
  <c r="A13214" i="1"/>
  <c r="B13214" i="1"/>
  <c r="A13215" i="1"/>
  <c r="B13215" i="1"/>
  <c r="A13216" i="1"/>
  <c r="B13216" i="1"/>
  <c r="A13217" i="1"/>
  <c r="B13217" i="1"/>
  <c r="A13218" i="1"/>
  <c r="B13218" i="1"/>
  <c r="A13219" i="1"/>
  <c r="B13219" i="1"/>
  <c r="A13220" i="1"/>
  <c r="B13220" i="1"/>
  <c r="A13221" i="1"/>
  <c r="B13221" i="1"/>
  <c r="A13222" i="1"/>
  <c r="B13222" i="1"/>
  <c r="A13223" i="1"/>
  <c r="B13223" i="1"/>
  <c r="A13224" i="1"/>
  <c r="B13224" i="1"/>
  <c r="A13225" i="1"/>
  <c r="B13225" i="1"/>
  <c r="A13226" i="1"/>
  <c r="B13226" i="1"/>
  <c r="A13227" i="1"/>
  <c r="B13227" i="1"/>
  <c r="A13228" i="1"/>
  <c r="B13228" i="1"/>
  <c r="A13229" i="1"/>
  <c r="B13229" i="1"/>
  <c r="A13230" i="1"/>
  <c r="B13230" i="1"/>
  <c r="A13231" i="1"/>
  <c r="B13231" i="1"/>
  <c r="A13232" i="1"/>
  <c r="B13232" i="1"/>
  <c r="A13233" i="1"/>
  <c r="B13233" i="1"/>
  <c r="A13234" i="1"/>
  <c r="B13234" i="1"/>
  <c r="A13235" i="1"/>
  <c r="B13235" i="1"/>
  <c r="A13236" i="1"/>
  <c r="B13236" i="1"/>
  <c r="A13237" i="1"/>
  <c r="B13237" i="1"/>
  <c r="A13238" i="1"/>
  <c r="B13238" i="1"/>
  <c r="A13239" i="1"/>
  <c r="B13239" i="1"/>
  <c r="A13240" i="1"/>
  <c r="B13240" i="1"/>
  <c r="A13241" i="1"/>
  <c r="B13241" i="1"/>
  <c r="A13242" i="1"/>
  <c r="B13242" i="1"/>
  <c r="A13243" i="1"/>
  <c r="B13243" i="1"/>
  <c r="A13244" i="1"/>
  <c r="B13244" i="1"/>
  <c r="A13245" i="1"/>
  <c r="B13245" i="1"/>
  <c r="A13246" i="1"/>
  <c r="B13246" i="1"/>
  <c r="A13247" i="1"/>
  <c r="B13247" i="1"/>
  <c r="A13248" i="1"/>
  <c r="B13248" i="1"/>
  <c r="A13249" i="1"/>
  <c r="B13249" i="1"/>
  <c r="A13250" i="1"/>
  <c r="B13250" i="1"/>
  <c r="A13251" i="1"/>
  <c r="B13251" i="1"/>
  <c r="A13252" i="1"/>
  <c r="B13252" i="1"/>
  <c r="A13253" i="1"/>
  <c r="B13253" i="1"/>
  <c r="A13254" i="1"/>
  <c r="B13254" i="1"/>
  <c r="A13255" i="1"/>
  <c r="B13255" i="1"/>
  <c r="A13256" i="1"/>
  <c r="B13256" i="1"/>
  <c r="A13257" i="1"/>
  <c r="B13257" i="1"/>
  <c r="A13258" i="1"/>
  <c r="B13258" i="1"/>
  <c r="A13259" i="1"/>
  <c r="B13259" i="1"/>
  <c r="A13260" i="1"/>
  <c r="B13260" i="1"/>
  <c r="A13261" i="1"/>
  <c r="B13261" i="1"/>
  <c r="A13262" i="1"/>
  <c r="B13262" i="1"/>
  <c r="A13263" i="1"/>
  <c r="B13263" i="1"/>
  <c r="A13264" i="1"/>
  <c r="B13264" i="1"/>
  <c r="A13265" i="1"/>
  <c r="B13265" i="1"/>
  <c r="A13266" i="1"/>
  <c r="B13266" i="1"/>
  <c r="A13267" i="1"/>
  <c r="B13267" i="1"/>
  <c r="A13268" i="1"/>
  <c r="B13268" i="1"/>
  <c r="A13269" i="1"/>
  <c r="B13269" i="1"/>
  <c r="A13270" i="1"/>
  <c r="B13270" i="1"/>
  <c r="A13271" i="1"/>
  <c r="B13271" i="1"/>
  <c r="A13272" i="1"/>
  <c r="B13272" i="1"/>
  <c r="A13273" i="1"/>
  <c r="B13273" i="1"/>
  <c r="A13274" i="1"/>
  <c r="B13274" i="1"/>
  <c r="A13275" i="1"/>
  <c r="B13275" i="1"/>
  <c r="A13276" i="1"/>
  <c r="B13276" i="1"/>
  <c r="A13277" i="1"/>
  <c r="B13277" i="1"/>
  <c r="A13278" i="1"/>
  <c r="B13278" i="1"/>
  <c r="A13279" i="1"/>
  <c r="B13279" i="1"/>
  <c r="A13280" i="1"/>
  <c r="B13280" i="1"/>
  <c r="A13281" i="1"/>
  <c r="B13281" i="1"/>
  <c r="A13282" i="1"/>
  <c r="B13282" i="1"/>
  <c r="A13283" i="1"/>
  <c r="B13283" i="1"/>
  <c r="A13284" i="1"/>
  <c r="B13284" i="1"/>
  <c r="A13285" i="1"/>
  <c r="B13285" i="1"/>
  <c r="A13286" i="1"/>
  <c r="B13286" i="1"/>
  <c r="A13287" i="1"/>
  <c r="B13287" i="1"/>
  <c r="A13288" i="1"/>
  <c r="B13288" i="1"/>
  <c r="A13289" i="1"/>
  <c r="B13289" i="1"/>
  <c r="A13290" i="1"/>
  <c r="B13290" i="1"/>
  <c r="A13291" i="1"/>
  <c r="B13291" i="1"/>
  <c r="A13292" i="1"/>
  <c r="B13292" i="1"/>
  <c r="A13293" i="1"/>
  <c r="B13293" i="1"/>
  <c r="A13294" i="1"/>
  <c r="B13294" i="1"/>
  <c r="A13295" i="1"/>
  <c r="B13295" i="1"/>
  <c r="A13296" i="1"/>
  <c r="B13296" i="1"/>
  <c r="A13297" i="1"/>
  <c r="B13297" i="1"/>
  <c r="A13298" i="1"/>
  <c r="B13298" i="1"/>
  <c r="A13299" i="1"/>
  <c r="B13299" i="1"/>
  <c r="A13300" i="1"/>
  <c r="B13300" i="1"/>
  <c r="A13301" i="1"/>
  <c r="B13301" i="1"/>
  <c r="A13302" i="1"/>
  <c r="B13302" i="1"/>
  <c r="A13303" i="1"/>
  <c r="B13303" i="1"/>
  <c r="A13304" i="1"/>
  <c r="B13304" i="1"/>
  <c r="A13305" i="1"/>
  <c r="B13305" i="1"/>
  <c r="A13306" i="1"/>
  <c r="B13306" i="1"/>
  <c r="A13307" i="1"/>
  <c r="B13307" i="1"/>
  <c r="A13308" i="1"/>
  <c r="B13308" i="1"/>
  <c r="A13309" i="1"/>
  <c r="B13309" i="1"/>
  <c r="A13310" i="1"/>
  <c r="B13310" i="1"/>
  <c r="A13311" i="1"/>
  <c r="B13311" i="1"/>
  <c r="A13312" i="1"/>
  <c r="B13312" i="1"/>
  <c r="A13313" i="1"/>
  <c r="B13313" i="1"/>
  <c r="A13314" i="1"/>
  <c r="B13314" i="1"/>
  <c r="A13315" i="1"/>
  <c r="B13315" i="1"/>
  <c r="A13316" i="1"/>
  <c r="B13316" i="1"/>
  <c r="A13317" i="1"/>
  <c r="B13317" i="1"/>
  <c r="A13318" i="1"/>
  <c r="B13318" i="1"/>
  <c r="A13319" i="1"/>
  <c r="B13319" i="1"/>
  <c r="A13320" i="1"/>
  <c r="B13320" i="1"/>
  <c r="A13321" i="1"/>
  <c r="B13321" i="1"/>
  <c r="A13322" i="1"/>
  <c r="B13322" i="1"/>
  <c r="A13323" i="1"/>
  <c r="B13323" i="1"/>
  <c r="A13324" i="1"/>
  <c r="B13324" i="1"/>
  <c r="A13325" i="1"/>
  <c r="B13325" i="1"/>
  <c r="A13326" i="1"/>
  <c r="B13326" i="1"/>
  <c r="A13327" i="1"/>
  <c r="B13327" i="1"/>
  <c r="A13328" i="1"/>
  <c r="B13328" i="1"/>
  <c r="A13329" i="1"/>
  <c r="B13329" i="1"/>
  <c r="A13330" i="1"/>
  <c r="B13330" i="1"/>
  <c r="A13331" i="1"/>
  <c r="B13331" i="1"/>
  <c r="A13332" i="1"/>
  <c r="B13332" i="1"/>
  <c r="A13333" i="1"/>
  <c r="B13333" i="1"/>
  <c r="A13334" i="1"/>
  <c r="B13334" i="1"/>
  <c r="A13335" i="1"/>
  <c r="B13335" i="1"/>
  <c r="A13336" i="1"/>
  <c r="B13336" i="1"/>
  <c r="A13337" i="1"/>
  <c r="B13337" i="1"/>
  <c r="A13338" i="1"/>
  <c r="B13338" i="1"/>
  <c r="A13339" i="1"/>
  <c r="B13339" i="1"/>
  <c r="A13340" i="1"/>
  <c r="B13340" i="1"/>
  <c r="A13341" i="1"/>
  <c r="B13341" i="1"/>
  <c r="A13342" i="1"/>
  <c r="B13342" i="1"/>
  <c r="A13343" i="1"/>
  <c r="B13343" i="1"/>
  <c r="A13344" i="1"/>
  <c r="B13344" i="1"/>
  <c r="A13345" i="1"/>
  <c r="B13345" i="1"/>
  <c r="A13346" i="1"/>
  <c r="B13346" i="1"/>
  <c r="A13347" i="1"/>
  <c r="B13347" i="1"/>
  <c r="A13348" i="1"/>
  <c r="B13348" i="1"/>
  <c r="A13349" i="1"/>
  <c r="B13349" i="1"/>
  <c r="A13350" i="1"/>
  <c r="B13350" i="1"/>
  <c r="A13351" i="1"/>
  <c r="B13351" i="1"/>
  <c r="A13352" i="1"/>
  <c r="B13352" i="1"/>
  <c r="A13353" i="1"/>
  <c r="B13353" i="1"/>
  <c r="A13354" i="1"/>
  <c r="B13354" i="1"/>
  <c r="A13355" i="1"/>
  <c r="B13355" i="1"/>
  <c r="A13356" i="1"/>
  <c r="B13356" i="1"/>
  <c r="A13357" i="1"/>
  <c r="B13357" i="1"/>
  <c r="A13358" i="1"/>
  <c r="B13358" i="1"/>
  <c r="A13359" i="1"/>
  <c r="B13359" i="1"/>
  <c r="A13360" i="1"/>
  <c r="B13360" i="1"/>
  <c r="A13361" i="1"/>
  <c r="B13361" i="1"/>
  <c r="A13362" i="1"/>
  <c r="B13362" i="1"/>
  <c r="A13363" i="1"/>
  <c r="B13363" i="1"/>
  <c r="A13364" i="1"/>
  <c r="B13364" i="1"/>
  <c r="A13365" i="1"/>
  <c r="B13365" i="1"/>
  <c r="A13366" i="1"/>
  <c r="B13366" i="1"/>
  <c r="A13367" i="1"/>
  <c r="B13367" i="1"/>
  <c r="A13368" i="1"/>
  <c r="B13368" i="1"/>
  <c r="A13369" i="1"/>
  <c r="B13369" i="1"/>
  <c r="A13370" i="1"/>
  <c r="B13370" i="1"/>
  <c r="A13371" i="1"/>
  <c r="B13371" i="1"/>
  <c r="A13372" i="1"/>
  <c r="B13372" i="1"/>
  <c r="A13373" i="1"/>
  <c r="B13373" i="1"/>
  <c r="A13374" i="1"/>
  <c r="B13374" i="1"/>
  <c r="A13375" i="1"/>
  <c r="B13375" i="1"/>
  <c r="A13376" i="1"/>
  <c r="B13376" i="1"/>
  <c r="A13377" i="1"/>
  <c r="B13377" i="1"/>
  <c r="A13378" i="1"/>
  <c r="B13378" i="1"/>
  <c r="A13379" i="1"/>
  <c r="B13379" i="1"/>
  <c r="A13380" i="1"/>
  <c r="B13380" i="1"/>
  <c r="A13381" i="1"/>
  <c r="B13381" i="1"/>
  <c r="A13382" i="1"/>
  <c r="B13382" i="1"/>
  <c r="A13383" i="1"/>
  <c r="B13383" i="1"/>
  <c r="A13384" i="1"/>
  <c r="B13384" i="1"/>
  <c r="A13385" i="1"/>
  <c r="B13385" i="1"/>
  <c r="A13386" i="1"/>
  <c r="B13386" i="1"/>
  <c r="A13387" i="1"/>
  <c r="B13387" i="1"/>
  <c r="A13388" i="1"/>
  <c r="B13388" i="1"/>
  <c r="A13389" i="1"/>
  <c r="B13389" i="1"/>
  <c r="A13390" i="1"/>
  <c r="B13390" i="1"/>
  <c r="A13391" i="1"/>
  <c r="B13391" i="1"/>
  <c r="A13392" i="1"/>
  <c r="B13392" i="1"/>
  <c r="A13393" i="1"/>
  <c r="B13393" i="1"/>
  <c r="A13394" i="1"/>
  <c r="B13394" i="1"/>
  <c r="A13395" i="1"/>
  <c r="B13395" i="1"/>
  <c r="A13396" i="1"/>
  <c r="B13396" i="1"/>
  <c r="A13397" i="1"/>
  <c r="B13397" i="1"/>
  <c r="A13398" i="1"/>
  <c r="B13398" i="1"/>
  <c r="A13399" i="1"/>
  <c r="B13399" i="1"/>
  <c r="A13400" i="1"/>
  <c r="B13400" i="1"/>
  <c r="A13401" i="1"/>
  <c r="B13401" i="1"/>
  <c r="A13402" i="1"/>
  <c r="B13402" i="1"/>
  <c r="A13403" i="1"/>
  <c r="B13403" i="1"/>
  <c r="A13404" i="1"/>
  <c r="B13404" i="1"/>
  <c r="A13405" i="1"/>
  <c r="B13405" i="1"/>
  <c r="A13406" i="1"/>
  <c r="B13406" i="1"/>
  <c r="A13407" i="1"/>
  <c r="B13407" i="1"/>
  <c r="A13408" i="1"/>
  <c r="B13408" i="1"/>
  <c r="A13409" i="1"/>
  <c r="B13409" i="1"/>
  <c r="A13410" i="1"/>
  <c r="B13410" i="1"/>
  <c r="A13411" i="1"/>
  <c r="B13411" i="1"/>
  <c r="A13412" i="1"/>
  <c r="B13412" i="1"/>
  <c r="A13413" i="1"/>
  <c r="B13413" i="1"/>
  <c r="A13414" i="1"/>
  <c r="B13414" i="1"/>
  <c r="A13415" i="1"/>
  <c r="B13415" i="1"/>
  <c r="A13416" i="1"/>
  <c r="B13416" i="1"/>
  <c r="A13417" i="1"/>
  <c r="B13417" i="1"/>
  <c r="A13418" i="1"/>
  <c r="B13418" i="1"/>
  <c r="A13419" i="1"/>
  <c r="B13419" i="1"/>
  <c r="A13420" i="1"/>
  <c r="B13420" i="1"/>
  <c r="A13421" i="1"/>
  <c r="B13421" i="1"/>
  <c r="A13422" i="1"/>
  <c r="B13422" i="1"/>
  <c r="A13423" i="1"/>
  <c r="B13423" i="1"/>
  <c r="A13424" i="1"/>
  <c r="B13424" i="1"/>
  <c r="A13425" i="1"/>
  <c r="B13425" i="1"/>
  <c r="A13426" i="1"/>
  <c r="B13426" i="1"/>
  <c r="A13427" i="1"/>
  <c r="B13427" i="1"/>
  <c r="A13428" i="1"/>
  <c r="B13428" i="1"/>
  <c r="A13429" i="1"/>
  <c r="B13429" i="1"/>
  <c r="A13430" i="1"/>
  <c r="B13430" i="1"/>
  <c r="A13431" i="1"/>
  <c r="B13431" i="1"/>
  <c r="A13432" i="1"/>
  <c r="B13432" i="1"/>
  <c r="A13433" i="1"/>
  <c r="B13433" i="1"/>
  <c r="A13434" i="1"/>
  <c r="B13434" i="1"/>
  <c r="A13435" i="1"/>
  <c r="B13435" i="1"/>
  <c r="A13436" i="1"/>
  <c r="B13436" i="1"/>
  <c r="A13437" i="1"/>
  <c r="B13437" i="1"/>
  <c r="A13438" i="1"/>
  <c r="B13438" i="1"/>
  <c r="A13439" i="1"/>
  <c r="B13439" i="1"/>
  <c r="A13440" i="1"/>
  <c r="B13440" i="1"/>
  <c r="A13441" i="1"/>
  <c r="B13441" i="1"/>
  <c r="A13442" i="1"/>
  <c r="B13442" i="1"/>
  <c r="A13443" i="1"/>
  <c r="B13443" i="1"/>
  <c r="A13444" i="1"/>
  <c r="B13444" i="1"/>
  <c r="A13445" i="1"/>
  <c r="B13445" i="1"/>
  <c r="A13446" i="1"/>
  <c r="B13446" i="1"/>
  <c r="A13447" i="1"/>
  <c r="B13447" i="1"/>
  <c r="A13448" i="1"/>
  <c r="B13448" i="1"/>
  <c r="A13449" i="1"/>
  <c r="B13449" i="1"/>
  <c r="A13450" i="1"/>
  <c r="B13450" i="1"/>
  <c r="A13451" i="1"/>
  <c r="B13451" i="1"/>
  <c r="A13452" i="1"/>
  <c r="B13452" i="1"/>
  <c r="A13453" i="1"/>
  <c r="B13453" i="1"/>
  <c r="A13454" i="1"/>
  <c r="B13454" i="1"/>
  <c r="A13455" i="1"/>
  <c r="B13455" i="1"/>
  <c r="A13456" i="1"/>
  <c r="B13456" i="1"/>
  <c r="A13457" i="1"/>
  <c r="B13457" i="1"/>
  <c r="A13458" i="1"/>
  <c r="B13458" i="1"/>
  <c r="A13459" i="1"/>
  <c r="B13459" i="1"/>
  <c r="A13460" i="1"/>
  <c r="B13460" i="1"/>
  <c r="A13461" i="1"/>
  <c r="B13461" i="1"/>
  <c r="A13462" i="1"/>
  <c r="B13462" i="1"/>
  <c r="A13463" i="1"/>
  <c r="B13463" i="1"/>
  <c r="A13464" i="1"/>
  <c r="B13464" i="1"/>
  <c r="A13465" i="1"/>
  <c r="B13465" i="1"/>
  <c r="A13466" i="1"/>
  <c r="B13466" i="1"/>
  <c r="A13467" i="1"/>
  <c r="B13467" i="1"/>
  <c r="A13468" i="1"/>
  <c r="B13468" i="1"/>
  <c r="A13469" i="1"/>
  <c r="B13469" i="1"/>
  <c r="A13470" i="1"/>
  <c r="B13470" i="1"/>
  <c r="A13471" i="1"/>
  <c r="B13471" i="1"/>
  <c r="A13472" i="1"/>
  <c r="B13472" i="1"/>
  <c r="A13473" i="1"/>
  <c r="B13473" i="1"/>
  <c r="A13474" i="1"/>
  <c r="B13474" i="1"/>
  <c r="A13475" i="1"/>
  <c r="B13475" i="1"/>
  <c r="A13476" i="1"/>
  <c r="B13476" i="1"/>
  <c r="A13477" i="1"/>
  <c r="B13477" i="1"/>
  <c r="A13478" i="1"/>
  <c r="B13478" i="1"/>
  <c r="A13479" i="1"/>
  <c r="B13479" i="1"/>
  <c r="A13480" i="1"/>
  <c r="B13480" i="1"/>
  <c r="A13481" i="1"/>
  <c r="B13481" i="1"/>
  <c r="A13482" i="1"/>
  <c r="B13482" i="1"/>
  <c r="A13483" i="1"/>
  <c r="B13483" i="1"/>
  <c r="A13484" i="1"/>
  <c r="B13484" i="1"/>
  <c r="A13485" i="1"/>
  <c r="B13485" i="1"/>
  <c r="A13486" i="1"/>
  <c r="B13486" i="1"/>
  <c r="A13487" i="1"/>
  <c r="B13487" i="1"/>
  <c r="A13488" i="1"/>
  <c r="B13488" i="1"/>
  <c r="A13489" i="1"/>
  <c r="B13489" i="1"/>
  <c r="A13490" i="1"/>
  <c r="B13490" i="1"/>
  <c r="A13491" i="1"/>
  <c r="B13491" i="1"/>
  <c r="A13492" i="1"/>
  <c r="B13492" i="1"/>
  <c r="A13493" i="1"/>
  <c r="B13493" i="1"/>
  <c r="A13494" i="1"/>
  <c r="B13494" i="1"/>
  <c r="A13495" i="1"/>
  <c r="B13495" i="1"/>
  <c r="A13496" i="1"/>
  <c r="B13496" i="1"/>
  <c r="A13497" i="1"/>
  <c r="B13497" i="1"/>
  <c r="A13498" i="1"/>
  <c r="B13498" i="1"/>
  <c r="A13499" i="1"/>
  <c r="B13499" i="1"/>
  <c r="A13500" i="1"/>
  <c r="B13500" i="1"/>
  <c r="A13501" i="1"/>
  <c r="B13501" i="1"/>
  <c r="A13502" i="1"/>
  <c r="B13502" i="1"/>
  <c r="A13503" i="1"/>
  <c r="B13503" i="1"/>
  <c r="A13504" i="1"/>
  <c r="B13504" i="1"/>
  <c r="A13505" i="1"/>
  <c r="B13505" i="1"/>
  <c r="A13506" i="1"/>
  <c r="B13506" i="1"/>
  <c r="A13507" i="1"/>
  <c r="B13507" i="1"/>
  <c r="A13508" i="1"/>
  <c r="B13508" i="1"/>
  <c r="A13509" i="1"/>
  <c r="B13509" i="1"/>
  <c r="A13510" i="1"/>
  <c r="B13510" i="1"/>
  <c r="A13511" i="1"/>
  <c r="B13511" i="1"/>
  <c r="A13512" i="1"/>
  <c r="B13512" i="1"/>
  <c r="A13513" i="1"/>
  <c r="B13513" i="1"/>
  <c r="A13514" i="1"/>
  <c r="B13514" i="1"/>
  <c r="A13515" i="1"/>
  <c r="B13515" i="1"/>
  <c r="A13516" i="1"/>
  <c r="B13516" i="1"/>
  <c r="A13517" i="1"/>
  <c r="B13517" i="1"/>
  <c r="A13518" i="1"/>
  <c r="B13518" i="1"/>
  <c r="A13519" i="1"/>
  <c r="B13519" i="1"/>
  <c r="A13520" i="1"/>
  <c r="B13520" i="1"/>
  <c r="A13521" i="1"/>
  <c r="B13521" i="1"/>
  <c r="A13522" i="1"/>
  <c r="B13522" i="1"/>
  <c r="A13523" i="1"/>
  <c r="B13523" i="1"/>
  <c r="A13524" i="1"/>
  <c r="B13524" i="1"/>
  <c r="A13525" i="1"/>
  <c r="B13525" i="1"/>
  <c r="A13526" i="1"/>
  <c r="B13526" i="1"/>
  <c r="A13527" i="1"/>
  <c r="B13527" i="1"/>
  <c r="A13528" i="1"/>
  <c r="B13528" i="1"/>
  <c r="A13529" i="1"/>
  <c r="B13529" i="1"/>
  <c r="A13530" i="1"/>
  <c r="B13530" i="1"/>
  <c r="A13531" i="1"/>
  <c r="B13531" i="1"/>
  <c r="A13532" i="1"/>
  <c r="B13532" i="1"/>
  <c r="A13533" i="1"/>
  <c r="B13533" i="1"/>
  <c r="A13534" i="1"/>
  <c r="B13534" i="1"/>
  <c r="A13535" i="1"/>
  <c r="B13535" i="1"/>
  <c r="A13536" i="1"/>
  <c r="B13536" i="1"/>
  <c r="A13537" i="1"/>
  <c r="B13537" i="1"/>
  <c r="A13538" i="1"/>
  <c r="B13538" i="1"/>
  <c r="A13539" i="1"/>
  <c r="B13539" i="1"/>
  <c r="A13540" i="1"/>
  <c r="B13540" i="1"/>
  <c r="A13541" i="1"/>
  <c r="B13541" i="1"/>
  <c r="A13542" i="1"/>
  <c r="B13542" i="1"/>
  <c r="A13543" i="1"/>
  <c r="B13543" i="1"/>
  <c r="A13544" i="1"/>
  <c r="B13544" i="1"/>
  <c r="A13545" i="1"/>
  <c r="B13545" i="1"/>
  <c r="A13546" i="1"/>
  <c r="B13546" i="1"/>
  <c r="A13547" i="1"/>
  <c r="B13547" i="1"/>
  <c r="A13548" i="1"/>
  <c r="B13548" i="1"/>
  <c r="A13549" i="1"/>
  <c r="B13549" i="1"/>
  <c r="A13550" i="1"/>
  <c r="B13550" i="1"/>
  <c r="A13551" i="1"/>
  <c r="B13551" i="1"/>
  <c r="A13552" i="1"/>
  <c r="B13552" i="1"/>
  <c r="A13553" i="1"/>
  <c r="B13553" i="1"/>
  <c r="A13554" i="1"/>
  <c r="B13554" i="1"/>
  <c r="A13555" i="1"/>
  <c r="B13555" i="1"/>
  <c r="A13556" i="1"/>
  <c r="B13556" i="1"/>
  <c r="A13557" i="1"/>
  <c r="B13557" i="1"/>
  <c r="A13558" i="1"/>
  <c r="B13558" i="1"/>
  <c r="A13559" i="1"/>
  <c r="B13559" i="1"/>
  <c r="A13560" i="1"/>
  <c r="B13560" i="1"/>
  <c r="A13561" i="1"/>
  <c r="B13561" i="1"/>
  <c r="A13562" i="1"/>
  <c r="B13562" i="1"/>
  <c r="A13563" i="1"/>
  <c r="B13563" i="1"/>
  <c r="A13564" i="1"/>
  <c r="B13564" i="1"/>
  <c r="A13565" i="1"/>
  <c r="B13565" i="1"/>
  <c r="A13566" i="1"/>
  <c r="B13566" i="1"/>
  <c r="A13567" i="1"/>
  <c r="B13567" i="1"/>
  <c r="A13568" i="1"/>
  <c r="B13568" i="1"/>
  <c r="A13569" i="1"/>
  <c r="B13569" i="1"/>
  <c r="A13570" i="1"/>
  <c r="B13570" i="1"/>
  <c r="A13571" i="1"/>
  <c r="B13571" i="1"/>
  <c r="A13572" i="1"/>
  <c r="B13572" i="1"/>
  <c r="A13573" i="1"/>
  <c r="B13573" i="1"/>
  <c r="A13574" i="1"/>
  <c r="B13574" i="1"/>
  <c r="A13575" i="1"/>
  <c r="B13575" i="1"/>
  <c r="A13576" i="1"/>
  <c r="B13576" i="1"/>
  <c r="A13577" i="1"/>
  <c r="B13577" i="1"/>
  <c r="A13578" i="1"/>
  <c r="B13578" i="1"/>
  <c r="A13579" i="1"/>
  <c r="B13579" i="1"/>
  <c r="A13580" i="1"/>
  <c r="B13580" i="1"/>
  <c r="A13581" i="1"/>
  <c r="B13581" i="1"/>
  <c r="A13582" i="1"/>
  <c r="B13582" i="1"/>
  <c r="A13583" i="1"/>
  <c r="B13583" i="1"/>
  <c r="A13584" i="1"/>
  <c r="B13584" i="1"/>
  <c r="A13585" i="1"/>
  <c r="B13585" i="1"/>
  <c r="A13586" i="1"/>
  <c r="B13586" i="1"/>
  <c r="A13587" i="1"/>
  <c r="B13587" i="1"/>
  <c r="A13588" i="1"/>
  <c r="B13588" i="1"/>
  <c r="A13589" i="1"/>
  <c r="B13589" i="1"/>
  <c r="A13590" i="1"/>
  <c r="B13590" i="1"/>
  <c r="A13591" i="1"/>
  <c r="B13591" i="1"/>
  <c r="A13592" i="1"/>
  <c r="B13592" i="1"/>
  <c r="A13593" i="1"/>
  <c r="B13593" i="1"/>
  <c r="A13594" i="1"/>
  <c r="B13594" i="1"/>
  <c r="A13595" i="1"/>
  <c r="B13595" i="1"/>
  <c r="A13596" i="1"/>
  <c r="B13596" i="1"/>
  <c r="A13597" i="1"/>
  <c r="B13597" i="1"/>
  <c r="A13598" i="1"/>
  <c r="B13598" i="1"/>
  <c r="A13599" i="1"/>
  <c r="B13599" i="1"/>
  <c r="A13600" i="1"/>
  <c r="B13600" i="1"/>
  <c r="A13601" i="1"/>
  <c r="B13601" i="1"/>
  <c r="A13602" i="1"/>
  <c r="B13602" i="1"/>
  <c r="A13603" i="1"/>
  <c r="B13603" i="1"/>
  <c r="A13604" i="1"/>
  <c r="B13604" i="1"/>
  <c r="A13605" i="1"/>
  <c r="B13605" i="1"/>
  <c r="A13606" i="1"/>
  <c r="B13606" i="1"/>
  <c r="A13607" i="1"/>
  <c r="B13607" i="1"/>
  <c r="A13608" i="1"/>
  <c r="B13608" i="1"/>
  <c r="A13609" i="1"/>
  <c r="B13609" i="1"/>
  <c r="A13610" i="1"/>
  <c r="B13610" i="1"/>
  <c r="A13611" i="1"/>
  <c r="B13611" i="1"/>
  <c r="A13612" i="1"/>
  <c r="B13612" i="1"/>
  <c r="A13613" i="1"/>
  <c r="B13613" i="1"/>
  <c r="A13614" i="1"/>
  <c r="B13614" i="1"/>
  <c r="A13615" i="1"/>
  <c r="B13615" i="1"/>
  <c r="A13616" i="1"/>
  <c r="B13616" i="1"/>
  <c r="A13617" i="1"/>
  <c r="B13617" i="1"/>
  <c r="A13618" i="1"/>
  <c r="B13618" i="1"/>
  <c r="A13619" i="1"/>
  <c r="B13619" i="1"/>
  <c r="A13620" i="1"/>
  <c r="B13620" i="1"/>
  <c r="A13621" i="1"/>
  <c r="B13621" i="1"/>
  <c r="A13622" i="1"/>
  <c r="B13622" i="1"/>
  <c r="A13623" i="1"/>
  <c r="B13623" i="1"/>
  <c r="A13624" i="1"/>
  <c r="B13624" i="1"/>
  <c r="A13625" i="1"/>
  <c r="B13625" i="1"/>
  <c r="A13626" i="1"/>
  <c r="B13626" i="1"/>
  <c r="A13627" i="1"/>
  <c r="B13627" i="1"/>
  <c r="A13628" i="1"/>
  <c r="B13628" i="1"/>
  <c r="A13629" i="1"/>
  <c r="B13629" i="1"/>
  <c r="A13630" i="1"/>
  <c r="B13630" i="1"/>
  <c r="A13631" i="1"/>
  <c r="B13631" i="1"/>
  <c r="A13632" i="1"/>
  <c r="B13632" i="1"/>
  <c r="A13633" i="1"/>
  <c r="B13633" i="1"/>
  <c r="A13634" i="1"/>
  <c r="B13634" i="1"/>
  <c r="A13635" i="1"/>
  <c r="B13635" i="1"/>
  <c r="A13636" i="1"/>
  <c r="B13636" i="1"/>
  <c r="A13637" i="1"/>
  <c r="B13637" i="1"/>
  <c r="A13638" i="1"/>
  <c r="B13638" i="1"/>
  <c r="A13639" i="1"/>
  <c r="B13639" i="1"/>
  <c r="A13640" i="1"/>
  <c r="B13640" i="1"/>
  <c r="A13641" i="1"/>
  <c r="B13641" i="1"/>
  <c r="A13642" i="1"/>
  <c r="B13642" i="1"/>
  <c r="A13643" i="1"/>
  <c r="B13643" i="1"/>
  <c r="A13644" i="1"/>
  <c r="B13644" i="1"/>
  <c r="A13645" i="1"/>
  <c r="B13645" i="1"/>
  <c r="A13646" i="1"/>
  <c r="B13646" i="1"/>
  <c r="A13647" i="1"/>
  <c r="B13647" i="1"/>
  <c r="A13648" i="1"/>
  <c r="B13648" i="1"/>
  <c r="A13649" i="1"/>
  <c r="B13649" i="1"/>
  <c r="A13650" i="1"/>
  <c r="B13650" i="1"/>
  <c r="A13651" i="1"/>
  <c r="B13651" i="1"/>
  <c r="A13652" i="1"/>
  <c r="B13652" i="1"/>
  <c r="A13653" i="1"/>
  <c r="B13653" i="1"/>
  <c r="A13654" i="1"/>
  <c r="B13654" i="1"/>
  <c r="A13655" i="1"/>
  <c r="B13655" i="1"/>
  <c r="A13656" i="1"/>
  <c r="B13656" i="1"/>
  <c r="A13657" i="1"/>
  <c r="B13657" i="1"/>
  <c r="A13658" i="1"/>
  <c r="B13658" i="1"/>
  <c r="A13659" i="1"/>
  <c r="B13659" i="1"/>
  <c r="A13660" i="1"/>
  <c r="B13660" i="1"/>
  <c r="A13661" i="1"/>
  <c r="B13661" i="1"/>
  <c r="A13662" i="1"/>
  <c r="B13662" i="1"/>
  <c r="A13663" i="1"/>
  <c r="B13663" i="1"/>
  <c r="A13664" i="1"/>
  <c r="B13664" i="1"/>
  <c r="A13665" i="1"/>
  <c r="B13665" i="1"/>
  <c r="A13666" i="1"/>
  <c r="B13666" i="1"/>
  <c r="A13667" i="1"/>
  <c r="B13667" i="1"/>
  <c r="A13668" i="1"/>
  <c r="B13668" i="1"/>
  <c r="A13669" i="1"/>
  <c r="B13669" i="1"/>
  <c r="A13670" i="1"/>
  <c r="B13670" i="1"/>
  <c r="A13671" i="1"/>
  <c r="B13671" i="1"/>
  <c r="A13672" i="1"/>
  <c r="B13672" i="1"/>
  <c r="A13673" i="1"/>
  <c r="B13673" i="1"/>
  <c r="A13674" i="1"/>
  <c r="B13674" i="1"/>
  <c r="A13675" i="1"/>
  <c r="B13675" i="1"/>
  <c r="A13676" i="1"/>
  <c r="B13676" i="1"/>
  <c r="A13677" i="1"/>
  <c r="B13677" i="1"/>
  <c r="A13678" i="1"/>
  <c r="B13678" i="1"/>
  <c r="A13679" i="1"/>
  <c r="B13679" i="1"/>
  <c r="A13680" i="1"/>
  <c r="B13680" i="1"/>
  <c r="A13681" i="1"/>
  <c r="B13681" i="1"/>
  <c r="A13682" i="1"/>
  <c r="B13682" i="1"/>
  <c r="A13683" i="1"/>
  <c r="B13683" i="1"/>
  <c r="A13684" i="1"/>
  <c r="B13684" i="1"/>
  <c r="A13685" i="1"/>
  <c r="B13685" i="1"/>
  <c r="A13686" i="1"/>
  <c r="B13686" i="1"/>
  <c r="A13687" i="1"/>
  <c r="B13687" i="1"/>
  <c r="A13688" i="1"/>
  <c r="B13688" i="1"/>
  <c r="A13689" i="1"/>
  <c r="B13689" i="1"/>
  <c r="A13690" i="1"/>
  <c r="B13690" i="1"/>
  <c r="A13691" i="1"/>
  <c r="B13691" i="1"/>
  <c r="A13692" i="1"/>
  <c r="B13692" i="1"/>
  <c r="A13693" i="1"/>
  <c r="B13693" i="1"/>
  <c r="A13694" i="1"/>
  <c r="B13694" i="1"/>
  <c r="A13695" i="1"/>
  <c r="B13695" i="1"/>
  <c r="A13696" i="1"/>
  <c r="B13696" i="1"/>
  <c r="A13697" i="1"/>
  <c r="B13697" i="1"/>
  <c r="A13698" i="1"/>
  <c r="B13698" i="1"/>
  <c r="A13699" i="1"/>
  <c r="B13699" i="1"/>
  <c r="A13700" i="1"/>
  <c r="B13700" i="1"/>
  <c r="A13701" i="1"/>
  <c r="B13701" i="1"/>
  <c r="A13702" i="1"/>
  <c r="B13702" i="1"/>
  <c r="A13703" i="1"/>
  <c r="B13703" i="1"/>
  <c r="A13704" i="1"/>
  <c r="B13704" i="1"/>
  <c r="A13705" i="1"/>
  <c r="B13705" i="1"/>
  <c r="A13706" i="1"/>
  <c r="B13706" i="1"/>
  <c r="A13707" i="1"/>
  <c r="B13707" i="1"/>
  <c r="A13708" i="1"/>
  <c r="B13708" i="1"/>
  <c r="A13709" i="1"/>
  <c r="B13709" i="1"/>
  <c r="A13710" i="1"/>
  <c r="B13710" i="1"/>
  <c r="A13711" i="1"/>
  <c r="B13711" i="1"/>
  <c r="A13712" i="1"/>
  <c r="B13712" i="1"/>
  <c r="A13713" i="1"/>
  <c r="B13713" i="1"/>
  <c r="A13714" i="1"/>
  <c r="B13714" i="1"/>
  <c r="A13715" i="1"/>
  <c r="B13715" i="1"/>
  <c r="A13716" i="1"/>
  <c r="B13716" i="1"/>
  <c r="A13717" i="1"/>
  <c r="B13717" i="1"/>
  <c r="A13718" i="1"/>
  <c r="B13718" i="1"/>
  <c r="A13719" i="1"/>
  <c r="B13719" i="1"/>
  <c r="A13720" i="1"/>
  <c r="B13720" i="1"/>
  <c r="A13721" i="1"/>
  <c r="B13721" i="1"/>
  <c r="A13722" i="1"/>
  <c r="B13722" i="1"/>
  <c r="A13723" i="1"/>
  <c r="B13723" i="1"/>
  <c r="A13724" i="1"/>
  <c r="B13724" i="1"/>
  <c r="A13725" i="1"/>
  <c r="B13725" i="1"/>
  <c r="A13726" i="1"/>
  <c r="B13726" i="1"/>
  <c r="A13727" i="1"/>
  <c r="B13727" i="1"/>
  <c r="A13728" i="1"/>
  <c r="B13728" i="1"/>
  <c r="A13729" i="1"/>
  <c r="B13729" i="1"/>
  <c r="A13730" i="1"/>
  <c r="B13730" i="1"/>
  <c r="A13731" i="1"/>
  <c r="B13731" i="1"/>
  <c r="A13732" i="1"/>
  <c r="B13732" i="1"/>
  <c r="A13733" i="1"/>
  <c r="B13733" i="1"/>
  <c r="A13734" i="1"/>
  <c r="B13734" i="1"/>
  <c r="A13735" i="1"/>
  <c r="B13735" i="1"/>
  <c r="A13736" i="1"/>
  <c r="B13736" i="1"/>
  <c r="A13737" i="1"/>
  <c r="B13737" i="1"/>
  <c r="A13738" i="1"/>
  <c r="B13738" i="1"/>
  <c r="A13739" i="1"/>
  <c r="B13739" i="1"/>
  <c r="A13740" i="1"/>
  <c r="B13740" i="1"/>
  <c r="A13741" i="1"/>
  <c r="B13741" i="1"/>
  <c r="A13742" i="1"/>
  <c r="B13742" i="1"/>
  <c r="A13743" i="1"/>
  <c r="B13743" i="1"/>
  <c r="A13744" i="1"/>
  <c r="B13744" i="1"/>
  <c r="A13745" i="1"/>
  <c r="B13745" i="1"/>
  <c r="A13746" i="1"/>
  <c r="B13746" i="1"/>
  <c r="A13747" i="1"/>
  <c r="B13747" i="1"/>
  <c r="A13748" i="1"/>
  <c r="B13748" i="1"/>
  <c r="A13749" i="1"/>
  <c r="B13749" i="1"/>
  <c r="A13750" i="1"/>
  <c r="B13750" i="1"/>
  <c r="A13751" i="1"/>
  <c r="B13751" i="1"/>
  <c r="A13752" i="1"/>
  <c r="B13752" i="1"/>
  <c r="A13753" i="1"/>
  <c r="B13753" i="1"/>
  <c r="A13754" i="1"/>
  <c r="B13754" i="1"/>
  <c r="A13755" i="1"/>
  <c r="B13755" i="1"/>
  <c r="A13756" i="1"/>
  <c r="B13756" i="1"/>
  <c r="A13757" i="1"/>
  <c r="B13757" i="1"/>
  <c r="A13758" i="1"/>
  <c r="B13758" i="1"/>
  <c r="A13759" i="1"/>
  <c r="B13759" i="1"/>
  <c r="A13760" i="1"/>
  <c r="B13760" i="1"/>
  <c r="A13761" i="1"/>
  <c r="B13761" i="1"/>
  <c r="A13762" i="1"/>
  <c r="B13762" i="1"/>
  <c r="A13763" i="1"/>
  <c r="B13763" i="1"/>
  <c r="A13764" i="1"/>
  <c r="B13764" i="1"/>
  <c r="A13765" i="1"/>
  <c r="B13765" i="1"/>
  <c r="A13766" i="1"/>
  <c r="B13766" i="1"/>
  <c r="A13767" i="1"/>
  <c r="B13767" i="1"/>
  <c r="A13768" i="1"/>
  <c r="B13768" i="1"/>
  <c r="A13769" i="1"/>
  <c r="B13769" i="1"/>
  <c r="A13770" i="1"/>
  <c r="B13770" i="1"/>
  <c r="A13771" i="1"/>
  <c r="B13771" i="1"/>
  <c r="A13772" i="1"/>
  <c r="B13772" i="1"/>
  <c r="A13773" i="1"/>
  <c r="B13773" i="1"/>
  <c r="A13774" i="1"/>
  <c r="B13774" i="1"/>
  <c r="A13775" i="1"/>
  <c r="B13775" i="1"/>
  <c r="A13776" i="1"/>
  <c r="B13776" i="1"/>
  <c r="A13777" i="1"/>
  <c r="B13777" i="1"/>
  <c r="A13778" i="1"/>
  <c r="B13778" i="1"/>
  <c r="A13779" i="1"/>
  <c r="B13779" i="1"/>
  <c r="A13780" i="1"/>
  <c r="B13780" i="1"/>
  <c r="A13781" i="1"/>
  <c r="B13781" i="1"/>
  <c r="A13782" i="1"/>
  <c r="B13782" i="1"/>
  <c r="A13783" i="1"/>
  <c r="B13783" i="1"/>
  <c r="A13784" i="1"/>
  <c r="B13784" i="1"/>
  <c r="A13785" i="1"/>
  <c r="B13785" i="1"/>
  <c r="A13786" i="1"/>
  <c r="B13786" i="1"/>
  <c r="A13787" i="1"/>
  <c r="B13787" i="1"/>
  <c r="A13788" i="1"/>
  <c r="B13788" i="1"/>
  <c r="A13789" i="1"/>
  <c r="B13789" i="1"/>
  <c r="A13790" i="1"/>
  <c r="B13790" i="1"/>
  <c r="A13791" i="1"/>
  <c r="B13791" i="1"/>
  <c r="A13792" i="1"/>
  <c r="B13792" i="1"/>
  <c r="A13793" i="1"/>
  <c r="B13793" i="1"/>
  <c r="A13794" i="1"/>
  <c r="B13794" i="1"/>
  <c r="A13795" i="1"/>
  <c r="B13795" i="1"/>
  <c r="A13796" i="1"/>
  <c r="B13796" i="1"/>
  <c r="A13797" i="1"/>
  <c r="B13797" i="1"/>
  <c r="A13798" i="1"/>
  <c r="B13798" i="1"/>
  <c r="A13799" i="1"/>
  <c r="B13799" i="1"/>
  <c r="A13800" i="1"/>
  <c r="B13800" i="1"/>
  <c r="A13801" i="1"/>
  <c r="B13801" i="1"/>
  <c r="A13802" i="1"/>
  <c r="B13802" i="1"/>
  <c r="A13803" i="1"/>
  <c r="B13803" i="1"/>
  <c r="A13804" i="1"/>
  <c r="B13804" i="1"/>
  <c r="A13805" i="1"/>
  <c r="B13805" i="1"/>
  <c r="A13806" i="1"/>
  <c r="B13806" i="1"/>
  <c r="A13807" i="1"/>
  <c r="B13807" i="1"/>
  <c r="A13808" i="1"/>
  <c r="B13808" i="1"/>
  <c r="A13809" i="1"/>
  <c r="B13809" i="1"/>
  <c r="A13810" i="1"/>
  <c r="B13810" i="1"/>
  <c r="A13811" i="1"/>
  <c r="B13811" i="1"/>
  <c r="A13812" i="1"/>
  <c r="B13812" i="1"/>
  <c r="A13813" i="1"/>
  <c r="B13813" i="1"/>
  <c r="A13814" i="1"/>
  <c r="B13814" i="1"/>
  <c r="A13815" i="1"/>
  <c r="B13815" i="1"/>
  <c r="A13816" i="1"/>
  <c r="B13816" i="1"/>
  <c r="A13817" i="1"/>
  <c r="B13817" i="1"/>
  <c r="A13818" i="1"/>
  <c r="B13818" i="1"/>
  <c r="A13819" i="1"/>
  <c r="B13819" i="1"/>
  <c r="A13820" i="1"/>
  <c r="B13820" i="1"/>
  <c r="A13821" i="1"/>
  <c r="B13821" i="1"/>
  <c r="A13822" i="1"/>
  <c r="B13822" i="1"/>
  <c r="A13823" i="1"/>
  <c r="B13823" i="1"/>
  <c r="A13824" i="1"/>
  <c r="B13824" i="1"/>
  <c r="A13825" i="1"/>
  <c r="B13825" i="1"/>
  <c r="A13826" i="1"/>
  <c r="B13826" i="1"/>
  <c r="A13827" i="1"/>
  <c r="B13827" i="1"/>
  <c r="A13828" i="1"/>
  <c r="B13828" i="1"/>
  <c r="A13829" i="1"/>
  <c r="B13829" i="1"/>
  <c r="A13830" i="1"/>
  <c r="B13830" i="1"/>
  <c r="A13831" i="1"/>
  <c r="B13831" i="1"/>
  <c r="A13832" i="1"/>
  <c r="B13832" i="1"/>
  <c r="A13833" i="1"/>
  <c r="B13833" i="1"/>
  <c r="A13834" i="1"/>
  <c r="B13834" i="1"/>
  <c r="A13835" i="1"/>
  <c r="B13835" i="1"/>
  <c r="A13836" i="1"/>
  <c r="B13836" i="1"/>
  <c r="A13837" i="1"/>
  <c r="B13837" i="1"/>
  <c r="A13838" i="1"/>
  <c r="B13838" i="1"/>
  <c r="A13839" i="1"/>
  <c r="B13839" i="1"/>
  <c r="A13840" i="1"/>
  <c r="B13840" i="1"/>
  <c r="A13841" i="1"/>
  <c r="B13841" i="1"/>
  <c r="A13842" i="1"/>
  <c r="B13842" i="1"/>
  <c r="A13843" i="1"/>
  <c r="B13843" i="1"/>
  <c r="A13844" i="1"/>
  <c r="B13844" i="1"/>
  <c r="A13845" i="1"/>
  <c r="B13845" i="1"/>
  <c r="A13846" i="1"/>
  <c r="B13846" i="1"/>
  <c r="A13847" i="1"/>
  <c r="B13847" i="1"/>
  <c r="A13848" i="1"/>
  <c r="B13848" i="1"/>
  <c r="A13849" i="1"/>
  <c r="B13849" i="1"/>
  <c r="A13850" i="1"/>
  <c r="B13850" i="1"/>
  <c r="A13851" i="1"/>
  <c r="B13851" i="1"/>
  <c r="A13852" i="1"/>
  <c r="B13852" i="1"/>
  <c r="A13853" i="1"/>
  <c r="B13853" i="1"/>
  <c r="A13854" i="1"/>
  <c r="B13854" i="1"/>
  <c r="A13855" i="1"/>
  <c r="B13855" i="1"/>
  <c r="A13856" i="1"/>
  <c r="B13856" i="1"/>
  <c r="A13857" i="1"/>
  <c r="B13857" i="1"/>
  <c r="A13858" i="1"/>
  <c r="B13858" i="1"/>
  <c r="A13859" i="1"/>
  <c r="B13859" i="1"/>
  <c r="A13860" i="1"/>
  <c r="B13860" i="1"/>
  <c r="A13861" i="1"/>
  <c r="B13861" i="1"/>
  <c r="A13862" i="1"/>
  <c r="B13862" i="1"/>
  <c r="A13863" i="1"/>
  <c r="B13863" i="1"/>
  <c r="A13864" i="1"/>
  <c r="B13864" i="1"/>
  <c r="A13865" i="1"/>
  <c r="B13865" i="1"/>
  <c r="A13866" i="1"/>
  <c r="B13866" i="1"/>
  <c r="A13867" i="1"/>
  <c r="B13867" i="1"/>
  <c r="A13868" i="1"/>
  <c r="B13868" i="1"/>
  <c r="A13869" i="1"/>
  <c r="B13869" i="1"/>
  <c r="A13870" i="1"/>
  <c r="B13870" i="1"/>
  <c r="A13871" i="1"/>
  <c r="B13871" i="1"/>
  <c r="A13872" i="1"/>
  <c r="B13872" i="1"/>
  <c r="A13873" i="1"/>
  <c r="B13873" i="1"/>
  <c r="A13874" i="1"/>
  <c r="B13874" i="1"/>
  <c r="A13875" i="1"/>
  <c r="B13875" i="1"/>
  <c r="A13876" i="1"/>
  <c r="B13876" i="1"/>
  <c r="A13877" i="1"/>
  <c r="B13877" i="1"/>
  <c r="A13878" i="1"/>
  <c r="B13878" i="1"/>
  <c r="A13879" i="1"/>
  <c r="B13879" i="1"/>
  <c r="A13880" i="1"/>
  <c r="B13880" i="1"/>
  <c r="A13881" i="1"/>
  <c r="B13881" i="1"/>
  <c r="A13882" i="1"/>
  <c r="B13882" i="1"/>
  <c r="A13883" i="1"/>
  <c r="B13883" i="1"/>
  <c r="A13884" i="1"/>
  <c r="B13884" i="1"/>
  <c r="A13885" i="1"/>
  <c r="B13885" i="1"/>
  <c r="A13886" i="1"/>
  <c r="B13886" i="1"/>
  <c r="A13887" i="1"/>
  <c r="B13887" i="1"/>
  <c r="A13888" i="1"/>
  <c r="B13888" i="1"/>
  <c r="A13889" i="1"/>
  <c r="B13889" i="1"/>
  <c r="A13890" i="1"/>
  <c r="B13890" i="1"/>
  <c r="A13891" i="1"/>
  <c r="B13891" i="1"/>
  <c r="A13892" i="1"/>
  <c r="B13892" i="1"/>
  <c r="A13893" i="1"/>
  <c r="B13893" i="1"/>
  <c r="A13894" i="1"/>
  <c r="B13894" i="1"/>
  <c r="A13895" i="1"/>
  <c r="B13895" i="1"/>
  <c r="A13896" i="1"/>
  <c r="B13896" i="1"/>
  <c r="A13897" i="1"/>
  <c r="B13897" i="1"/>
  <c r="A13898" i="1"/>
  <c r="B13898" i="1"/>
  <c r="A13899" i="1"/>
  <c r="B13899" i="1"/>
  <c r="A13900" i="1"/>
  <c r="B13900" i="1"/>
  <c r="A13901" i="1"/>
  <c r="B13901" i="1"/>
  <c r="A13902" i="1"/>
  <c r="B13902" i="1"/>
  <c r="A13903" i="1"/>
  <c r="B13903" i="1"/>
  <c r="A13904" i="1"/>
  <c r="B13904" i="1"/>
  <c r="A13905" i="1"/>
  <c r="B13905" i="1"/>
  <c r="A13906" i="1"/>
  <c r="B13906" i="1"/>
  <c r="A13907" i="1"/>
  <c r="B13907" i="1"/>
  <c r="A13908" i="1"/>
  <c r="B13908" i="1"/>
  <c r="A13909" i="1"/>
  <c r="B13909" i="1"/>
  <c r="A13910" i="1"/>
  <c r="B13910" i="1"/>
  <c r="A13911" i="1"/>
  <c r="B13911" i="1"/>
  <c r="A13912" i="1"/>
  <c r="B13912" i="1"/>
  <c r="A13913" i="1"/>
  <c r="B13913" i="1"/>
  <c r="A13914" i="1"/>
  <c r="B13914" i="1"/>
  <c r="A13915" i="1"/>
  <c r="B13915" i="1"/>
  <c r="A13916" i="1"/>
  <c r="B13916" i="1"/>
  <c r="A13917" i="1"/>
  <c r="B13917" i="1"/>
  <c r="A13918" i="1"/>
  <c r="B13918" i="1"/>
  <c r="A13919" i="1"/>
  <c r="B13919" i="1"/>
  <c r="A13920" i="1"/>
  <c r="B13920" i="1"/>
  <c r="A13921" i="1"/>
  <c r="B13921" i="1"/>
  <c r="A13922" i="1"/>
  <c r="B13922" i="1"/>
  <c r="A13923" i="1"/>
  <c r="B13923" i="1"/>
  <c r="A13924" i="1"/>
  <c r="B13924" i="1"/>
  <c r="A13925" i="1"/>
  <c r="B13925" i="1"/>
  <c r="A13926" i="1"/>
  <c r="B13926" i="1"/>
  <c r="A13927" i="1"/>
  <c r="B13927" i="1"/>
  <c r="A13928" i="1"/>
  <c r="B13928" i="1"/>
  <c r="A13929" i="1"/>
  <c r="B13929" i="1"/>
  <c r="A13930" i="1"/>
  <c r="B13930" i="1"/>
  <c r="A13931" i="1"/>
  <c r="B13931" i="1"/>
  <c r="A13932" i="1"/>
  <c r="B13932" i="1"/>
  <c r="A13933" i="1"/>
  <c r="B13933" i="1"/>
  <c r="A13934" i="1"/>
  <c r="B13934" i="1"/>
  <c r="A13935" i="1"/>
  <c r="B13935" i="1"/>
  <c r="A13936" i="1"/>
  <c r="B13936" i="1"/>
  <c r="A13937" i="1"/>
  <c r="B13937" i="1"/>
  <c r="A13938" i="1"/>
  <c r="B13938" i="1"/>
  <c r="A13939" i="1"/>
  <c r="B13939" i="1"/>
  <c r="A13940" i="1"/>
  <c r="B13940" i="1"/>
  <c r="A13941" i="1"/>
  <c r="B13941" i="1"/>
  <c r="A13942" i="1"/>
  <c r="B13942" i="1"/>
  <c r="A13943" i="1"/>
  <c r="B13943" i="1"/>
  <c r="A13944" i="1"/>
  <c r="B13944" i="1"/>
  <c r="A13945" i="1"/>
  <c r="B13945" i="1"/>
  <c r="A13946" i="1"/>
  <c r="B13946" i="1"/>
  <c r="A13947" i="1"/>
  <c r="B13947" i="1"/>
  <c r="A13948" i="1"/>
  <c r="B13948" i="1"/>
  <c r="A13949" i="1"/>
  <c r="B13949" i="1"/>
  <c r="A13950" i="1"/>
  <c r="B13950" i="1"/>
  <c r="A13951" i="1"/>
  <c r="B13951" i="1"/>
  <c r="A13952" i="1"/>
  <c r="B13952" i="1"/>
  <c r="A13953" i="1"/>
  <c r="B13953" i="1"/>
  <c r="A13954" i="1"/>
  <c r="B13954" i="1"/>
  <c r="A13955" i="1"/>
  <c r="B13955" i="1"/>
  <c r="A13956" i="1"/>
  <c r="B13956" i="1"/>
  <c r="A13957" i="1"/>
  <c r="B13957" i="1"/>
  <c r="A13958" i="1"/>
  <c r="B13958" i="1"/>
  <c r="A13959" i="1"/>
  <c r="B13959" i="1"/>
  <c r="A13960" i="1"/>
  <c r="B13960" i="1"/>
  <c r="A13961" i="1"/>
  <c r="B13961" i="1"/>
  <c r="A13962" i="1"/>
  <c r="B13962" i="1"/>
  <c r="A13963" i="1"/>
  <c r="B13963" i="1"/>
  <c r="A13964" i="1"/>
  <c r="B13964" i="1"/>
  <c r="A13965" i="1"/>
  <c r="B13965" i="1"/>
  <c r="A13966" i="1"/>
  <c r="B13966" i="1"/>
  <c r="A13967" i="1"/>
  <c r="B13967" i="1"/>
  <c r="A13968" i="1"/>
  <c r="B13968" i="1"/>
  <c r="A13969" i="1"/>
  <c r="B13969" i="1"/>
  <c r="A13970" i="1"/>
  <c r="B13970" i="1"/>
  <c r="A13971" i="1"/>
  <c r="B13971" i="1"/>
  <c r="A13972" i="1"/>
  <c r="B13972" i="1"/>
  <c r="A13973" i="1"/>
  <c r="B13973" i="1"/>
  <c r="A13974" i="1"/>
  <c r="B13974" i="1"/>
  <c r="A13975" i="1"/>
  <c r="B13975" i="1"/>
  <c r="A13976" i="1"/>
  <c r="B13976" i="1"/>
  <c r="A13977" i="1"/>
  <c r="B13977" i="1"/>
  <c r="A13978" i="1"/>
  <c r="B13978" i="1"/>
  <c r="A13979" i="1"/>
  <c r="B13979" i="1"/>
  <c r="A13980" i="1"/>
  <c r="B13980" i="1"/>
  <c r="A13981" i="1"/>
  <c r="B13981" i="1"/>
  <c r="A13982" i="1"/>
  <c r="B13982" i="1"/>
  <c r="A13983" i="1"/>
  <c r="B13983" i="1"/>
  <c r="A13984" i="1"/>
  <c r="B13984" i="1"/>
  <c r="A13985" i="1"/>
  <c r="B13985" i="1"/>
  <c r="A13986" i="1"/>
  <c r="B13986" i="1"/>
  <c r="A13987" i="1"/>
  <c r="B13987" i="1"/>
  <c r="A13988" i="1"/>
  <c r="B13988" i="1"/>
  <c r="A13989" i="1"/>
  <c r="B13989" i="1"/>
  <c r="A13990" i="1"/>
  <c r="B13990" i="1"/>
  <c r="A13991" i="1"/>
  <c r="B13991" i="1"/>
  <c r="A13992" i="1"/>
  <c r="B13992" i="1"/>
  <c r="A13993" i="1"/>
  <c r="B13993" i="1"/>
  <c r="A13994" i="1"/>
  <c r="B13994" i="1"/>
  <c r="A13995" i="1"/>
  <c r="B13995" i="1"/>
  <c r="A13996" i="1"/>
  <c r="B13996" i="1"/>
  <c r="A13997" i="1"/>
  <c r="B13997" i="1"/>
  <c r="A13998" i="1"/>
  <c r="B13998" i="1"/>
  <c r="A13999" i="1"/>
  <c r="B13999" i="1"/>
  <c r="A14000" i="1"/>
  <c r="B14000" i="1"/>
  <c r="A14001" i="1"/>
  <c r="B14001" i="1"/>
  <c r="A14002" i="1"/>
  <c r="B14002" i="1"/>
  <c r="A14003" i="1"/>
  <c r="B14003" i="1"/>
  <c r="A14004" i="1"/>
  <c r="B14004" i="1"/>
  <c r="A14005" i="1"/>
  <c r="B14005" i="1"/>
  <c r="A14006" i="1"/>
  <c r="B14006" i="1"/>
  <c r="A14007" i="1"/>
  <c r="B14007" i="1"/>
  <c r="A14008" i="1"/>
  <c r="B14008" i="1"/>
  <c r="A14009" i="1"/>
  <c r="B14009" i="1"/>
  <c r="A14010" i="1"/>
  <c r="B14010" i="1"/>
  <c r="A14011" i="1"/>
  <c r="B14011" i="1"/>
  <c r="A14012" i="1"/>
  <c r="B14012" i="1"/>
  <c r="A14013" i="1"/>
  <c r="B14013" i="1"/>
  <c r="A14014" i="1"/>
  <c r="B14014" i="1"/>
  <c r="A14015" i="1"/>
  <c r="B14015" i="1"/>
  <c r="A14016" i="1"/>
  <c r="B14016" i="1"/>
  <c r="A14017" i="1"/>
  <c r="B14017" i="1"/>
  <c r="A14018" i="1"/>
  <c r="B14018" i="1"/>
  <c r="A14019" i="1"/>
  <c r="B14019" i="1"/>
  <c r="A14020" i="1"/>
  <c r="B14020" i="1"/>
  <c r="A14021" i="1"/>
  <c r="B14021" i="1"/>
  <c r="A14022" i="1"/>
  <c r="B14022" i="1"/>
  <c r="A14023" i="1"/>
  <c r="B14023" i="1"/>
  <c r="A14024" i="1"/>
  <c r="B14024" i="1"/>
  <c r="A14025" i="1"/>
  <c r="B14025" i="1"/>
  <c r="A14026" i="1"/>
  <c r="B14026" i="1"/>
  <c r="A14027" i="1"/>
  <c r="B14027" i="1"/>
  <c r="A14028" i="1"/>
  <c r="B14028" i="1"/>
  <c r="A14029" i="1"/>
  <c r="B14029" i="1"/>
  <c r="A14030" i="1"/>
  <c r="B14030" i="1"/>
  <c r="A14031" i="1"/>
  <c r="B14031" i="1"/>
  <c r="A14032" i="1"/>
  <c r="B14032" i="1"/>
  <c r="A14033" i="1"/>
  <c r="B14033" i="1"/>
  <c r="A14034" i="1"/>
  <c r="B14034" i="1"/>
  <c r="A14035" i="1"/>
  <c r="B14035" i="1"/>
  <c r="A14036" i="1"/>
  <c r="B14036" i="1"/>
  <c r="A14037" i="1"/>
  <c r="B14037" i="1"/>
  <c r="A14038" i="1"/>
  <c r="B14038" i="1"/>
  <c r="A14039" i="1"/>
  <c r="B14039" i="1"/>
  <c r="A14040" i="1"/>
  <c r="B14040" i="1"/>
  <c r="A14041" i="1"/>
  <c r="B14041" i="1"/>
  <c r="A14042" i="1"/>
  <c r="B14042" i="1"/>
  <c r="A14043" i="1"/>
  <c r="B14043" i="1"/>
  <c r="A14044" i="1"/>
  <c r="B14044" i="1"/>
  <c r="A14045" i="1"/>
  <c r="B14045" i="1"/>
  <c r="A14046" i="1"/>
  <c r="B14046" i="1"/>
  <c r="A14047" i="1"/>
  <c r="B14047" i="1"/>
  <c r="A14048" i="1"/>
  <c r="B14048" i="1"/>
  <c r="A14049" i="1"/>
  <c r="B14049" i="1"/>
  <c r="A14050" i="1"/>
  <c r="B14050" i="1"/>
  <c r="A14051" i="1"/>
  <c r="B14051" i="1"/>
  <c r="A14052" i="1"/>
  <c r="B14052" i="1"/>
  <c r="A14053" i="1"/>
  <c r="B14053" i="1"/>
  <c r="A14054" i="1"/>
  <c r="B14054" i="1"/>
  <c r="A14055" i="1"/>
  <c r="B14055" i="1"/>
  <c r="A14056" i="1"/>
  <c r="B14056" i="1"/>
  <c r="A14057" i="1"/>
  <c r="B14057" i="1"/>
  <c r="A14058" i="1"/>
  <c r="B14058" i="1"/>
  <c r="A14059" i="1"/>
  <c r="B14059" i="1"/>
  <c r="A14060" i="1"/>
  <c r="B14060" i="1"/>
  <c r="A14061" i="1"/>
  <c r="B14061" i="1"/>
  <c r="A14062" i="1"/>
  <c r="B14062" i="1"/>
  <c r="A14063" i="1"/>
  <c r="B14063" i="1"/>
  <c r="A14064" i="1"/>
  <c r="B14064" i="1"/>
  <c r="A14065" i="1"/>
  <c r="B14065" i="1"/>
  <c r="A14066" i="1"/>
  <c r="B14066" i="1"/>
  <c r="A14067" i="1"/>
  <c r="B14067" i="1"/>
  <c r="A14068" i="1"/>
  <c r="B14068" i="1"/>
  <c r="A14069" i="1"/>
  <c r="B14069" i="1"/>
  <c r="A14070" i="1"/>
  <c r="B14070" i="1"/>
  <c r="A14071" i="1"/>
  <c r="B14071" i="1"/>
  <c r="A14072" i="1"/>
  <c r="B14072" i="1"/>
  <c r="A14073" i="1"/>
  <c r="B14073" i="1"/>
  <c r="A14074" i="1"/>
  <c r="B14074" i="1"/>
  <c r="A14075" i="1"/>
  <c r="B14075" i="1"/>
  <c r="A14076" i="1"/>
  <c r="B14076" i="1"/>
  <c r="A14077" i="1"/>
  <c r="B14077" i="1"/>
  <c r="A14078" i="1"/>
  <c r="B14078" i="1"/>
  <c r="A14079" i="1"/>
  <c r="B14079" i="1"/>
  <c r="A14080" i="1"/>
  <c r="B14080" i="1"/>
  <c r="A14081" i="1"/>
  <c r="B14081" i="1"/>
  <c r="A14082" i="1"/>
  <c r="B14082" i="1"/>
  <c r="A14083" i="1"/>
  <c r="B14083" i="1"/>
  <c r="A14084" i="1"/>
  <c r="B14084" i="1"/>
  <c r="A14085" i="1"/>
  <c r="B14085" i="1"/>
  <c r="A14086" i="1"/>
  <c r="B14086" i="1"/>
  <c r="A14087" i="1"/>
  <c r="B14087" i="1"/>
  <c r="A14088" i="1"/>
  <c r="B14088" i="1"/>
  <c r="A14089" i="1"/>
  <c r="B14089" i="1"/>
  <c r="A14090" i="1"/>
  <c r="B14090" i="1"/>
  <c r="A14091" i="1"/>
  <c r="B14091" i="1"/>
  <c r="A14092" i="1"/>
  <c r="B14092" i="1"/>
  <c r="A14093" i="1"/>
  <c r="B14093" i="1"/>
  <c r="A14094" i="1"/>
  <c r="B14094" i="1"/>
  <c r="A14095" i="1"/>
  <c r="B14095" i="1"/>
  <c r="A14096" i="1"/>
  <c r="B14096" i="1"/>
  <c r="A14097" i="1"/>
  <c r="B14097" i="1"/>
  <c r="A14098" i="1"/>
  <c r="B14098" i="1"/>
  <c r="A14099" i="1"/>
  <c r="B14099" i="1"/>
  <c r="A14100" i="1"/>
  <c r="B14100" i="1"/>
  <c r="A14101" i="1"/>
  <c r="B14101" i="1"/>
  <c r="A14102" i="1"/>
  <c r="B14102" i="1"/>
  <c r="A14103" i="1"/>
  <c r="B14103" i="1"/>
  <c r="A14104" i="1"/>
  <c r="B14104" i="1"/>
  <c r="A14105" i="1"/>
  <c r="B14105" i="1"/>
  <c r="A14106" i="1"/>
  <c r="B14106" i="1"/>
  <c r="A14107" i="1"/>
  <c r="B14107" i="1"/>
  <c r="A14108" i="1"/>
  <c r="B14108" i="1"/>
  <c r="A14109" i="1"/>
  <c r="B14109" i="1"/>
  <c r="A14110" i="1"/>
  <c r="B14110" i="1"/>
  <c r="A14111" i="1"/>
  <c r="B14111" i="1"/>
  <c r="A14112" i="1"/>
  <c r="B14112" i="1"/>
  <c r="A14113" i="1"/>
  <c r="B14113" i="1"/>
  <c r="A14114" i="1"/>
  <c r="B14114" i="1"/>
  <c r="A14115" i="1"/>
  <c r="B14115" i="1"/>
  <c r="A14116" i="1"/>
  <c r="B14116" i="1"/>
  <c r="A14117" i="1"/>
  <c r="B14117" i="1"/>
  <c r="A14118" i="1"/>
  <c r="B14118" i="1"/>
  <c r="A14119" i="1"/>
  <c r="B14119" i="1"/>
  <c r="A14120" i="1"/>
  <c r="B14120" i="1"/>
  <c r="A14121" i="1"/>
  <c r="B14121" i="1"/>
  <c r="A14122" i="1"/>
  <c r="B14122" i="1"/>
  <c r="A14123" i="1"/>
  <c r="B14123" i="1"/>
  <c r="A14124" i="1"/>
  <c r="B14124" i="1"/>
  <c r="A14125" i="1"/>
  <c r="B14125" i="1"/>
  <c r="A14126" i="1"/>
  <c r="B14126" i="1"/>
  <c r="A14127" i="1"/>
  <c r="B14127" i="1"/>
  <c r="A14128" i="1"/>
  <c r="B14128" i="1"/>
  <c r="A14129" i="1"/>
  <c r="B14129" i="1"/>
  <c r="A14130" i="1"/>
  <c r="B14130" i="1"/>
  <c r="A14131" i="1"/>
  <c r="B14131" i="1"/>
  <c r="A14132" i="1"/>
  <c r="B14132" i="1"/>
  <c r="A14133" i="1"/>
  <c r="B14133" i="1"/>
  <c r="A14134" i="1"/>
  <c r="B14134" i="1"/>
  <c r="A14135" i="1"/>
  <c r="B14135" i="1"/>
  <c r="A14136" i="1"/>
  <c r="B14136" i="1"/>
  <c r="A14137" i="1"/>
  <c r="B14137" i="1"/>
  <c r="A14138" i="1"/>
  <c r="B14138" i="1"/>
  <c r="A14139" i="1"/>
  <c r="B14139" i="1"/>
  <c r="A14140" i="1"/>
  <c r="B14140" i="1"/>
  <c r="A14141" i="1"/>
  <c r="B14141" i="1"/>
  <c r="A14142" i="1"/>
  <c r="B14142" i="1"/>
  <c r="A14143" i="1"/>
  <c r="B14143" i="1"/>
  <c r="A14144" i="1"/>
  <c r="B14144" i="1"/>
  <c r="A14145" i="1"/>
  <c r="B14145" i="1"/>
  <c r="A14146" i="1"/>
  <c r="B14146" i="1"/>
  <c r="A14147" i="1"/>
  <c r="B14147" i="1"/>
  <c r="A14148" i="1"/>
  <c r="B14148" i="1"/>
  <c r="A14149" i="1"/>
  <c r="B14149" i="1"/>
  <c r="A14150" i="1"/>
  <c r="B14150" i="1"/>
  <c r="A14151" i="1"/>
  <c r="B14151" i="1"/>
  <c r="A14152" i="1"/>
  <c r="B14152" i="1"/>
  <c r="A14153" i="1"/>
  <c r="B14153" i="1"/>
  <c r="A14154" i="1"/>
  <c r="B14154" i="1"/>
  <c r="A14155" i="1"/>
  <c r="B14155" i="1"/>
  <c r="A14156" i="1"/>
  <c r="B14156" i="1"/>
  <c r="A14157" i="1"/>
  <c r="B14157" i="1"/>
  <c r="A14158" i="1"/>
  <c r="B14158" i="1"/>
  <c r="A14159" i="1"/>
  <c r="B14159" i="1"/>
  <c r="A14160" i="1"/>
  <c r="B14160" i="1"/>
  <c r="A14161" i="1"/>
  <c r="B14161" i="1"/>
  <c r="A14162" i="1"/>
  <c r="B14162" i="1"/>
  <c r="A14163" i="1"/>
  <c r="B14163" i="1"/>
  <c r="A14164" i="1"/>
  <c r="B14164" i="1"/>
  <c r="A14165" i="1"/>
  <c r="B14165" i="1"/>
  <c r="A14166" i="1"/>
  <c r="B14166" i="1"/>
  <c r="A14167" i="1"/>
  <c r="B14167" i="1"/>
  <c r="A14168" i="1"/>
  <c r="B14168" i="1"/>
  <c r="A14169" i="1"/>
  <c r="B14169" i="1"/>
  <c r="A14170" i="1"/>
  <c r="B14170" i="1"/>
  <c r="A14171" i="1"/>
  <c r="B14171" i="1"/>
  <c r="A14172" i="1"/>
  <c r="B14172" i="1"/>
  <c r="A14173" i="1"/>
  <c r="B14173" i="1"/>
  <c r="A14174" i="1"/>
  <c r="B14174" i="1"/>
  <c r="A14175" i="1"/>
  <c r="B14175" i="1"/>
  <c r="A14176" i="1"/>
  <c r="B14176" i="1"/>
  <c r="A14177" i="1"/>
  <c r="B14177" i="1"/>
  <c r="A14178" i="1"/>
  <c r="B14178" i="1"/>
  <c r="A14179" i="1"/>
  <c r="B14179" i="1"/>
  <c r="A14180" i="1"/>
  <c r="B14180" i="1"/>
  <c r="A14181" i="1"/>
  <c r="B14181" i="1"/>
  <c r="A14182" i="1"/>
  <c r="B14182" i="1"/>
  <c r="A14183" i="1"/>
  <c r="B14183" i="1"/>
  <c r="A14184" i="1"/>
  <c r="B14184" i="1"/>
  <c r="A14185" i="1"/>
  <c r="B14185" i="1"/>
  <c r="A14186" i="1"/>
  <c r="B14186" i="1"/>
  <c r="A14187" i="1"/>
  <c r="B14187" i="1"/>
  <c r="A14188" i="1"/>
  <c r="B14188" i="1"/>
  <c r="A14189" i="1"/>
  <c r="B14189" i="1"/>
  <c r="A14190" i="1"/>
  <c r="B14190" i="1"/>
  <c r="A14191" i="1"/>
  <c r="B14191" i="1"/>
  <c r="A14192" i="1"/>
  <c r="B14192" i="1"/>
  <c r="A14193" i="1"/>
  <c r="B14193" i="1"/>
  <c r="A14194" i="1"/>
  <c r="B14194" i="1"/>
  <c r="A14195" i="1"/>
  <c r="B14195" i="1"/>
  <c r="A14196" i="1"/>
  <c r="B14196" i="1"/>
  <c r="A14197" i="1"/>
  <c r="B14197" i="1"/>
  <c r="A14198" i="1"/>
  <c r="B14198" i="1"/>
  <c r="A14199" i="1"/>
  <c r="B14199" i="1"/>
  <c r="A14200" i="1"/>
  <c r="B14200" i="1"/>
  <c r="A14201" i="1"/>
  <c r="B14201" i="1"/>
  <c r="A14202" i="1"/>
  <c r="B14202" i="1"/>
  <c r="A14203" i="1"/>
  <c r="B14203" i="1"/>
  <c r="A14204" i="1"/>
  <c r="B14204" i="1"/>
  <c r="A14205" i="1"/>
  <c r="B14205" i="1"/>
  <c r="A14206" i="1"/>
  <c r="B14206" i="1"/>
  <c r="A14207" i="1"/>
  <c r="B14207" i="1"/>
  <c r="A14208" i="1"/>
  <c r="B14208" i="1"/>
  <c r="A14209" i="1"/>
  <c r="B14209" i="1"/>
  <c r="A14210" i="1"/>
  <c r="B14210" i="1"/>
  <c r="A14211" i="1"/>
  <c r="B14211" i="1"/>
  <c r="A14212" i="1"/>
  <c r="B14212" i="1"/>
  <c r="A14213" i="1"/>
  <c r="B14213" i="1"/>
  <c r="A14214" i="1"/>
  <c r="B14214" i="1"/>
  <c r="A14215" i="1"/>
  <c r="B14215" i="1"/>
  <c r="A14216" i="1"/>
  <c r="B14216" i="1"/>
  <c r="A14217" i="1"/>
  <c r="B14217" i="1"/>
  <c r="A14218" i="1"/>
  <c r="B14218" i="1"/>
  <c r="A14219" i="1"/>
  <c r="B14219" i="1"/>
  <c r="A14220" i="1"/>
  <c r="B14220" i="1"/>
  <c r="A14221" i="1"/>
  <c r="B14221" i="1"/>
  <c r="A14222" i="1"/>
  <c r="B14222" i="1"/>
  <c r="A14223" i="1"/>
  <c r="B14223" i="1"/>
  <c r="A14224" i="1"/>
  <c r="B14224" i="1"/>
  <c r="A14225" i="1"/>
  <c r="B14225" i="1"/>
  <c r="A14226" i="1"/>
  <c r="B14226" i="1"/>
  <c r="A14227" i="1"/>
  <c r="B14227" i="1"/>
  <c r="A14228" i="1"/>
  <c r="B14228" i="1"/>
  <c r="A14229" i="1"/>
  <c r="B14229" i="1"/>
  <c r="A14230" i="1"/>
  <c r="B14230" i="1"/>
  <c r="A14231" i="1"/>
  <c r="B14231" i="1"/>
  <c r="A14232" i="1"/>
  <c r="B14232" i="1"/>
  <c r="A14233" i="1"/>
  <c r="B14233" i="1"/>
  <c r="A14234" i="1"/>
  <c r="B14234" i="1"/>
  <c r="A14235" i="1"/>
  <c r="B14235" i="1"/>
  <c r="A14236" i="1"/>
  <c r="B14236" i="1"/>
  <c r="A14237" i="1"/>
  <c r="B14237" i="1"/>
  <c r="A14238" i="1"/>
  <c r="B14238" i="1"/>
  <c r="A14239" i="1"/>
  <c r="B14239" i="1"/>
  <c r="A14240" i="1"/>
  <c r="B14240" i="1"/>
  <c r="A14241" i="1"/>
  <c r="B14241" i="1"/>
  <c r="A14242" i="1"/>
  <c r="B14242" i="1"/>
  <c r="A14243" i="1"/>
  <c r="B14243" i="1"/>
  <c r="A14244" i="1"/>
  <c r="B14244" i="1"/>
  <c r="A14245" i="1"/>
  <c r="B14245" i="1"/>
  <c r="A14246" i="1"/>
  <c r="B14246" i="1"/>
  <c r="A14247" i="1"/>
  <c r="B14247" i="1"/>
  <c r="A14248" i="1"/>
  <c r="B14248" i="1"/>
  <c r="A14249" i="1"/>
  <c r="B14249" i="1"/>
  <c r="A14250" i="1"/>
  <c r="B14250" i="1"/>
  <c r="A14251" i="1"/>
  <c r="B14251" i="1"/>
  <c r="A14252" i="1"/>
  <c r="B14252" i="1"/>
  <c r="A14253" i="1"/>
  <c r="B14253" i="1"/>
  <c r="A14254" i="1"/>
  <c r="B14254" i="1"/>
  <c r="A14255" i="1"/>
  <c r="B14255" i="1"/>
  <c r="A14256" i="1"/>
  <c r="B14256" i="1"/>
  <c r="A14257" i="1"/>
  <c r="B14257" i="1"/>
  <c r="A14258" i="1"/>
  <c r="B14258" i="1"/>
  <c r="A14259" i="1"/>
  <c r="B14259" i="1"/>
  <c r="A14260" i="1"/>
  <c r="B14260" i="1"/>
  <c r="A14261" i="1"/>
  <c r="B14261" i="1"/>
  <c r="A14262" i="1"/>
  <c r="B14262" i="1"/>
  <c r="A14263" i="1"/>
  <c r="B14263" i="1"/>
  <c r="A14264" i="1"/>
  <c r="B14264" i="1"/>
  <c r="A14265" i="1"/>
  <c r="B14265" i="1"/>
  <c r="A14266" i="1"/>
  <c r="B14266" i="1"/>
  <c r="A14267" i="1"/>
  <c r="B14267" i="1"/>
  <c r="A14268" i="1"/>
  <c r="B14268" i="1"/>
  <c r="A14269" i="1"/>
  <c r="B14269" i="1"/>
  <c r="A14270" i="1"/>
  <c r="B14270" i="1"/>
  <c r="A14271" i="1"/>
  <c r="B14271" i="1"/>
  <c r="A14272" i="1"/>
  <c r="B14272" i="1"/>
  <c r="A14273" i="1"/>
  <c r="B14273" i="1"/>
  <c r="A14274" i="1"/>
  <c r="B14274" i="1"/>
  <c r="A14275" i="1"/>
  <c r="B14275" i="1"/>
  <c r="A14276" i="1"/>
  <c r="B14276" i="1"/>
  <c r="A14277" i="1"/>
  <c r="B14277" i="1"/>
  <c r="A14278" i="1"/>
  <c r="B14278" i="1"/>
  <c r="A14279" i="1"/>
  <c r="B14279" i="1"/>
  <c r="A14280" i="1"/>
  <c r="B14280" i="1"/>
  <c r="A14281" i="1"/>
  <c r="B14281" i="1"/>
  <c r="A14282" i="1"/>
  <c r="B14282" i="1"/>
  <c r="A14283" i="1"/>
  <c r="B14283" i="1"/>
  <c r="A14284" i="1"/>
  <c r="B14284" i="1"/>
  <c r="A14285" i="1"/>
  <c r="B14285" i="1"/>
  <c r="A14286" i="1"/>
  <c r="B14286" i="1"/>
  <c r="A14287" i="1"/>
  <c r="B14287" i="1"/>
  <c r="A14288" i="1"/>
  <c r="B14288" i="1"/>
  <c r="A14289" i="1"/>
  <c r="B14289" i="1"/>
  <c r="A14290" i="1"/>
  <c r="B14290" i="1"/>
  <c r="A14291" i="1"/>
  <c r="B14291" i="1"/>
  <c r="A14292" i="1"/>
  <c r="B14292" i="1"/>
  <c r="A14293" i="1"/>
  <c r="B14293" i="1"/>
  <c r="A14294" i="1"/>
  <c r="B14294" i="1"/>
  <c r="A14295" i="1"/>
  <c r="B14295" i="1"/>
  <c r="A14296" i="1"/>
  <c r="B14296" i="1"/>
  <c r="A14297" i="1"/>
  <c r="B14297" i="1"/>
  <c r="A14298" i="1"/>
  <c r="B14298" i="1"/>
  <c r="A14299" i="1"/>
  <c r="B14299" i="1"/>
  <c r="A14300" i="1"/>
  <c r="B14300" i="1"/>
  <c r="A14301" i="1"/>
  <c r="B14301" i="1"/>
  <c r="A14302" i="1"/>
  <c r="B14302" i="1"/>
  <c r="A14303" i="1"/>
  <c r="B14303" i="1"/>
  <c r="A14304" i="1"/>
  <c r="B14304" i="1"/>
  <c r="A14305" i="1"/>
  <c r="B14305" i="1"/>
  <c r="A14306" i="1"/>
  <c r="B14306" i="1"/>
  <c r="A14307" i="1"/>
  <c r="B14307" i="1"/>
  <c r="A14308" i="1"/>
  <c r="B14308" i="1"/>
  <c r="A14309" i="1"/>
  <c r="B14309" i="1"/>
  <c r="A14310" i="1"/>
  <c r="B14310" i="1"/>
  <c r="A14311" i="1"/>
  <c r="B14311" i="1"/>
  <c r="A14312" i="1"/>
  <c r="B14312" i="1"/>
  <c r="A14313" i="1"/>
  <c r="B14313" i="1"/>
  <c r="A14314" i="1"/>
  <c r="B14314" i="1"/>
  <c r="A14315" i="1"/>
  <c r="B14315" i="1"/>
  <c r="A14316" i="1"/>
  <c r="B14316" i="1"/>
  <c r="A14317" i="1"/>
  <c r="B14317" i="1"/>
  <c r="A14318" i="1"/>
  <c r="B14318" i="1"/>
  <c r="A14319" i="1"/>
  <c r="B14319" i="1"/>
  <c r="A14320" i="1"/>
  <c r="B14320" i="1"/>
  <c r="A14321" i="1"/>
  <c r="B14321" i="1"/>
  <c r="A14322" i="1"/>
  <c r="B14322" i="1"/>
  <c r="A14323" i="1"/>
  <c r="B14323" i="1"/>
  <c r="A14324" i="1"/>
  <c r="B14324" i="1"/>
  <c r="A14325" i="1"/>
  <c r="B14325" i="1"/>
  <c r="A14326" i="1"/>
  <c r="B14326" i="1"/>
  <c r="A14327" i="1"/>
  <c r="B14327" i="1"/>
  <c r="A14328" i="1"/>
  <c r="B14328" i="1"/>
  <c r="A14329" i="1"/>
  <c r="B14329" i="1"/>
  <c r="A14330" i="1"/>
  <c r="B14330" i="1"/>
  <c r="A14331" i="1"/>
  <c r="B14331" i="1"/>
  <c r="A14332" i="1"/>
  <c r="B14332" i="1"/>
  <c r="A14333" i="1"/>
  <c r="B14333" i="1"/>
  <c r="A14334" i="1"/>
  <c r="B14334" i="1"/>
  <c r="A14335" i="1"/>
  <c r="B14335" i="1"/>
  <c r="A14336" i="1"/>
  <c r="B14336" i="1"/>
  <c r="A14337" i="1"/>
  <c r="B14337" i="1"/>
  <c r="A14338" i="1"/>
  <c r="B14338" i="1"/>
  <c r="A14339" i="1"/>
  <c r="B14339" i="1"/>
  <c r="A14340" i="1"/>
  <c r="B14340" i="1"/>
  <c r="A14341" i="1"/>
  <c r="B14341" i="1"/>
  <c r="A14342" i="1"/>
  <c r="B14342" i="1"/>
  <c r="A14343" i="1"/>
  <c r="B14343" i="1"/>
  <c r="A14344" i="1"/>
  <c r="B14344" i="1"/>
  <c r="A14345" i="1"/>
  <c r="B14345" i="1"/>
  <c r="A14346" i="1"/>
  <c r="B14346" i="1"/>
  <c r="A14347" i="1"/>
  <c r="B14347" i="1"/>
  <c r="A14348" i="1"/>
  <c r="B14348" i="1"/>
  <c r="A14349" i="1"/>
  <c r="B14349" i="1"/>
  <c r="A14350" i="1"/>
  <c r="B14350" i="1"/>
  <c r="A14351" i="1"/>
  <c r="B14351" i="1"/>
  <c r="A14352" i="1"/>
  <c r="B14352" i="1"/>
  <c r="A14353" i="1"/>
  <c r="B14353" i="1"/>
  <c r="A14354" i="1"/>
  <c r="B14354" i="1"/>
  <c r="A14355" i="1"/>
  <c r="B14355" i="1"/>
  <c r="A14356" i="1"/>
  <c r="B14356" i="1"/>
  <c r="A14357" i="1"/>
  <c r="B14357" i="1"/>
  <c r="A14358" i="1"/>
  <c r="B14358" i="1"/>
  <c r="A14359" i="1"/>
  <c r="B14359" i="1"/>
  <c r="A14360" i="1"/>
  <c r="B14360" i="1"/>
  <c r="A14361" i="1"/>
  <c r="B14361" i="1"/>
  <c r="A14362" i="1"/>
  <c r="B14362" i="1"/>
  <c r="A14363" i="1"/>
  <c r="B14363" i="1"/>
  <c r="A14364" i="1"/>
  <c r="B14364" i="1"/>
  <c r="A14365" i="1"/>
  <c r="B14365" i="1"/>
  <c r="A14366" i="1"/>
  <c r="B14366" i="1"/>
  <c r="A14367" i="1"/>
  <c r="B14367" i="1"/>
  <c r="A14368" i="1"/>
  <c r="B14368" i="1"/>
  <c r="A14369" i="1"/>
  <c r="B14369" i="1"/>
  <c r="A14370" i="1"/>
  <c r="B14370" i="1"/>
  <c r="A14371" i="1"/>
  <c r="B14371" i="1"/>
  <c r="A14372" i="1"/>
  <c r="B14372" i="1"/>
  <c r="A14373" i="1"/>
  <c r="B14373" i="1"/>
  <c r="A14374" i="1"/>
  <c r="B14374" i="1"/>
  <c r="A14375" i="1"/>
  <c r="B14375" i="1"/>
  <c r="A14376" i="1"/>
  <c r="B14376" i="1"/>
  <c r="A14377" i="1"/>
  <c r="B14377" i="1"/>
  <c r="A14378" i="1"/>
  <c r="B14378" i="1"/>
  <c r="A14379" i="1"/>
  <c r="B14379" i="1"/>
  <c r="A14380" i="1"/>
  <c r="B14380" i="1"/>
  <c r="A14381" i="1"/>
  <c r="B14381" i="1"/>
  <c r="A14382" i="1"/>
  <c r="B14382" i="1"/>
  <c r="A14383" i="1"/>
  <c r="B14383" i="1"/>
  <c r="A14384" i="1"/>
  <c r="B14384" i="1"/>
  <c r="A14385" i="1"/>
  <c r="B14385" i="1"/>
  <c r="A14386" i="1"/>
  <c r="B14386" i="1"/>
  <c r="A14387" i="1"/>
  <c r="B14387" i="1"/>
  <c r="A14388" i="1"/>
  <c r="B14388" i="1"/>
  <c r="A14389" i="1"/>
  <c r="B14389" i="1"/>
  <c r="A14390" i="1"/>
  <c r="B14390" i="1"/>
  <c r="A14391" i="1"/>
  <c r="B14391" i="1"/>
  <c r="A14392" i="1"/>
  <c r="B14392" i="1"/>
  <c r="A14393" i="1"/>
  <c r="B14393" i="1"/>
  <c r="A14394" i="1"/>
  <c r="B14394" i="1"/>
  <c r="A14395" i="1"/>
  <c r="B14395" i="1"/>
  <c r="A14396" i="1"/>
  <c r="B14396" i="1"/>
  <c r="A14397" i="1"/>
  <c r="B14397" i="1"/>
  <c r="A14398" i="1"/>
  <c r="B14398" i="1"/>
  <c r="A14399" i="1"/>
  <c r="B14399" i="1"/>
  <c r="A14400" i="1"/>
  <c r="B14400" i="1"/>
  <c r="A14401" i="1"/>
  <c r="B14401" i="1"/>
  <c r="A14402" i="1"/>
  <c r="B14402" i="1"/>
  <c r="A14403" i="1"/>
  <c r="B14403" i="1"/>
  <c r="A14404" i="1"/>
  <c r="B14404" i="1"/>
  <c r="A14405" i="1"/>
  <c r="B14405" i="1"/>
  <c r="A14406" i="1"/>
  <c r="B14406" i="1"/>
  <c r="A14407" i="1"/>
  <c r="B14407" i="1"/>
  <c r="A14408" i="1"/>
  <c r="B14408" i="1"/>
  <c r="A14409" i="1"/>
  <c r="B14409" i="1"/>
  <c r="A14410" i="1"/>
  <c r="B14410" i="1"/>
  <c r="A14411" i="1"/>
  <c r="B14411" i="1"/>
  <c r="A14412" i="1"/>
  <c r="B14412" i="1"/>
  <c r="A14413" i="1"/>
  <c r="B14413" i="1"/>
  <c r="A14414" i="1"/>
  <c r="B14414" i="1"/>
  <c r="A14415" i="1"/>
  <c r="B14415" i="1"/>
  <c r="A14416" i="1"/>
  <c r="B14416" i="1"/>
  <c r="A14417" i="1"/>
  <c r="B14417" i="1"/>
  <c r="A14418" i="1"/>
  <c r="B14418" i="1"/>
  <c r="A14419" i="1"/>
  <c r="B14419" i="1"/>
  <c r="A14420" i="1"/>
  <c r="B14420" i="1"/>
  <c r="A14421" i="1"/>
  <c r="B14421" i="1"/>
  <c r="A14422" i="1"/>
  <c r="B14422" i="1"/>
  <c r="A14423" i="1"/>
  <c r="B14423" i="1"/>
  <c r="A14424" i="1"/>
  <c r="B14424" i="1"/>
  <c r="A14425" i="1"/>
  <c r="B14425" i="1"/>
  <c r="A14426" i="1"/>
  <c r="B14426" i="1"/>
  <c r="A14427" i="1"/>
  <c r="B14427" i="1"/>
  <c r="A14428" i="1"/>
  <c r="B14428" i="1"/>
  <c r="A14429" i="1"/>
  <c r="B14429" i="1"/>
  <c r="A14430" i="1"/>
  <c r="B14430" i="1"/>
  <c r="A14431" i="1"/>
  <c r="B14431" i="1"/>
  <c r="A14432" i="1"/>
  <c r="B14432" i="1"/>
  <c r="A14433" i="1"/>
  <c r="B14433" i="1"/>
  <c r="A14434" i="1"/>
  <c r="B14434" i="1"/>
  <c r="A14435" i="1"/>
  <c r="B14435" i="1"/>
  <c r="A14436" i="1"/>
  <c r="B14436" i="1"/>
  <c r="A14437" i="1"/>
  <c r="B14437" i="1"/>
  <c r="A14438" i="1"/>
  <c r="B14438" i="1"/>
  <c r="A14439" i="1"/>
  <c r="B14439" i="1"/>
  <c r="A14440" i="1"/>
  <c r="B14440" i="1"/>
  <c r="A14441" i="1"/>
  <c r="B14441" i="1"/>
  <c r="A14442" i="1"/>
  <c r="B14442" i="1"/>
  <c r="A14443" i="1"/>
  <c r="B14443" i="1"/>
  <c r="A14444" i="1"/>
  <c r="B14444" i="1"/>
  <c r="A14445" i="1"/>
  <c r="B14445" i="1"/>
  <c r="A14446" i="1"/>
  <c r="B14446" i="1"/>
  <c r="A14447" i="1"/>
  <c r="B14447" i="1"/>
  <c r="A14448" i="1"/>
  <c r="B14448" i="1"/>
  <c r="A14449" i="1"/>
  <c r="B14449" i="1"/>
  <c r="A14450" i="1"/>
  <c r="B14450" i="1"/>
  <c r="A14451" i="1"/>
  <c r="B14451" i="1"/>
  <c r="A14452" i="1"/>
  <c r="B14452" i="1"/>
  <c r="A14453" i="1"/>
  <c r="B14453" i="1"/>
  <c r="A14454" i="1"/>
  <c r="B14454" i="1"/>
  <c r="A14455" i="1"/>
  <c r="B14455" i="1"/>
  <c r="A14456" i="1"/>
  <c r="B14456" i="1"/>
  <c r="A14457" i="1"/>
  <c r="B14457" i="1"/>
  <c r="A14458" i="1"/>
  <c r="B14458" i="1"/>
  <c r="A14459" i="1"/>
  <c r="B14459" i="1"/>
  <c r="A14460" i="1"/>
  <c r="B14460" i="1"/>
  <c r="A14461" i="1"/>
  <c r="B14461" i="1"/>
  <c r="A14462" i="1"/>
  <c r="B14462" i="1"/>
  <c r="A14463" i="1"/>
  <c r="B14463" i="1"/>
  <c r="A14464" i="1"/>
  <c r="B14464" i="1"/>
  <c r="A14465" i="1"/>
  <c r="B14465" i="1"/>
  <c r="A14466" i="1"/>
  <c r="B14466" i="1"/>
  <c r="A14467" i="1"/>
  <c r="B14467" i="1"/>
  <c r="A14468" i="1"/>
  <c r="B14468" i="1"/>
  <c r="A14469" i="1"/>
  <c r="B14469" i="1"/>
  <c r="A14470" i="1"/>
  <c r="B14470" i="1"/>
  <c r="A14471" i="1"/>
  <c r="B14471" i="1"/>
  <c r="A14472" i="1"/>
  <c r="B14472" i="1"/>
  <c r="A14473" i="1"/>
  <c r="B14473" i="1"/>
  <c r="A14474" i="1"/>
  <c r="B14474" i="1"/>
  <c r="A14475" i="1"/>
  <c r="B14475" i="1"/>
  <c r="A14476" i="1"/>
  <c r="B14476" i="1"/>
  <c r="A14477" i="1"/>
  <c r="B14477" i="1"/>
  <c r="A14478" i="1"/>
  <c r="B14478" i="1"/>
  <c r="A14479" i="1"/>
  <c r="B14479" i="1"/>
  <c r="A14480" i="1"/>
  <c r="B14480" i="1"/>
  <c r="A14481" i="1"/>
  <c r="B14481" i="1"/>
  <c r="A14482" i="1"/>
  <c r="B14482" i="1"/>
  <c r="A14483" i="1"/>
  <c r="B14483" i="1"/>
  <c r="A14484" i="1"/>
  <c r="B14484" i="1"/>
  <c r="A14485" i="1"/>
  <c r="B14485" i="1"/>
  <c r="A14486" i="1"/>
  <c r="B14486" i="1"/>
  <c r="A14487" i="1"/>
  <c r="B14487" i="1"/>
  <c r="A14488" i="1"/>
  <c r="B14488" i="1"/>
  <c r="A14489" i="1"/>
  <c r="B14489" i="1"/>
  <c r="A14490" i="1"/>
  <c r="B14490" i="1"/>
  <c r="A14491" i="1"/>
  <c r="B14491" i="1"/>
  <c r="A14492" i="1"/>
  <c r="B14492" i="1"/>
  <c r="A14493" i="1"/>
  <c r="B14493" i="1"/>
  <c r="A14494" i="1"/>
  <c r="B14494" i="1"/>
  <c r="A14495" i="1"/>
  <c r="B14495" i="1"/>
  <c r="A14496" i="1"/>
  <c r="B14496" i="1"/>
  <c r="A14497" i="1"/>
  <c r="B14497" i="1"/>
  <c r="A14498" i="1"/>
  <c r="B14498" i="1"/>
  <c r="A14499" i="1"/>
  <c r="B14499" i="1"/>
  <c r="A14500" i="1"/>
  <c r="B14500" i="1"/>
  <c r="A14501" i="1"/>
  <c r="B14501" i="1"/>
  <c r="A14502" i="1"/>
  <c r="B14502" i="1"/>
  <c r="A14503" i="1"/>
  <c r="B14503" i="1"/>
  <c r="A14504" i="1"/>
  <c r="B14504" i="1"/>
  <c r="A14505" i="1"/>
  <c r="B14505" i="1"/>
  <c r="A14506" i="1"/>
  <c r="B14506" i="1"/>
  <c r="A14507" i="1"/>
  <c r="B14507" i="1"/>
  <c r="A14508" i="1"/>
  <c r="B14508" i="1"/>
  <c r="A14509" i="1"/>
  <c r="B14509" i="1"/>
  <c r="A14510" i="1"/>
  <c r="B14510" i="1"/>
  <c r="A14511" i="1"/>
  <c r="B14511" i="1"/>
  <c r="A14512" i="1"/>
  <c r="B14512" i="1"/>
  <c r="A14513" i="1"/>
  <c r="B14513" i="1"/>
  <c r="A14514" i="1"/>
  <c r="B14514" i="1"/>
  <c r="A14515" i="1"/>
  <c r="B14515" i="1"/>
  <c r="A14516" i="1"/>
  <c r="B14516" i="1"/>
  <c r="A14517" i="1"/>
  <c r="B14517" i="1"/>
  <c r="A14518" i="1"/>
  <c r="B14518" i="1"/>
  <c r="A14519" i="1"/>
  <c r="B14519" i="1"/>
  <c r="A14520" i="1"/>
  <c r="B14520" i="1"/>
  <c r="A14521" i="1"/>
  <c r="B14521" i="1"/>
  <c r="A14522" i="1"/>
  <c r="B14522" i="1"/>
  <c r="A14523" i="1"/>
  <c r="B14523" i="1"/>
  <c r="A14524" i="1"/>
  <c r="B14524" i="1"/>
  <c r="A14525" i="1"/>
  <c r="B14525" i="1"/>
  <c r="A14526" i="1"/>
  <c r="B14526" i="1"/>
  <c r="A14527" i="1"/>
  <c r="B14527" i="1"/>
  <c r="A14528" i="1"/>
  <c r="B14528" i="1"/>
  <c r="A14529" i="1"/>
  <c r="B14529" i="1"/>
  <c r="A14530" i="1"/>
  <c r="B14530" i="1"/>
  <c r="A14531" i="1"/>
  <c r="B14531" i="1"/>
  <c r="A14532" i="1"/>
  <c r="B14532" i="1"/>
  <c r="A14533" i="1"/>
  <c r="B14533" i="1"/>
  <c r="A14534" i="1"/>
  <c r="B14534" i="1"/>
  <c r="A14535" i="1"/>
  <c r="B14535" i="1"/>
  <c r="A14536" i="1"/>
  <c r="B14536" i="1"/>
  <c r="A14537" i="1"/>
  <c r="B14537" i="1"/>
  <c r="A14538" i="1"/>
  <c r="B14538" i="1"/>
  <c r="A14539" i="1"/>
  <c r="B14539" i="1"/>
  <c r="A14540" i="1"/>
  <c r="B14540" i="1"/>
  <c r="A14541" i="1"/>
  <c r="B14541" i="1"/>
  <c r="A14542" i="1"/>
  <c r="B14542" i="1"/>
  <c r="A14543" i="1"/>
  <c r="B14543" i="1"/>
  <c r="A14544" i="1"/>
  <c r="B14544" i="1"/>
  <c r="A14545" i="1"/>
  <c r="B14545" i="1"/>
  <c r="A14546" i="1"/>
  <c r="B14546" i="1"/>
  <c r="A14547" i="1"/>
  <c r="B14547" i="1"/>
  <c r="A14548" i="1"/>
  <c r="B14548" i="1"/>
  <c r="A14549" i="1"/>
  <c r="B14549" i="1"/>
  <c r="A14550" i="1"/>
  <c r="B14550" i="1"/>
  <c r="A14551" i="1"/>
  <c r="B14551" i="1"/>
  <c r="A14552" i="1"/>
  <c r="B14552" i="1"/>
  <c r="A14553" i="1"/>
  <c r="B14553" i="1"/>
  <c r="A14554" i="1"/>
  <c r="B14554" i="1"/>
  <c r="A14555" i="1"/>
  <c r="B14555" i="1"/>
  <c r="A14556" i="1"/>
  <c r="B14556" i="1"/>
  <c r="A14557" i="1"/>
  <c r="B14557" i="1"/>
  <c r="A14558" i="1"/>
  <c r="B14558" i="1"/>
  <c r="A14559" i="1"/>
  <c r="B14559" i="1"/>
  <c r="A14560" i="1"/>
  <c r="B14560" i="1"/>
  <c r="A14561" i="1"/>
  <c r="B14561" i="1"/>
  <c r="A14562" i="1"/>
  <c r="B14562" i="1"/>
  <c r="A14563" i="1"/>
  <c r="B14563" i="1"/>
  <c r="A14564" i="1"/>
  <c r="B14564" i="1"/>
  <c r="A14565" i="1"/>
  <c r="B14565" i="1"/>
  <c r="A14566" i="1"/>
  <c r="B14566" i="1"/>
  <c r="A14567" i="1"/>
  <c r="B14567" i="1"/>
  <c r="A14568" i="1"/>
  <c r="B14568" i="1"/>
  <c r="A14569" i="1"/>
  <c r="B14569" i="1"/>
  <c r="A14570" i="1"/>
  <c r="B14570" i="1"/>
  <c r="A14571" i="1"/>
  <c r="B14571" i="1"/>
  <c r="A14572" i="1"/>
  <c r="B14572" i="1"/>
  <c r="A14573" i="1"/>
  <c r="B14573" i="1"/>
  <c r="A14574" i="1"/>
  <c r="B14574" i="1"/>
  <c r="A14575" i="1"/>
  <c r="B14575" i="1"/>
  <c r="A14576" i="1"/>
  <c r="B14576" i="1"/>
  <c r="A14577" i="1"/>
  <c r="B14577" i="1"/>
  <c r="A14578" i="1"/>
  <c r="B14578" i="1"/>
  <c r="A14579" i="1"/>
  <c r="B14579" i="1"/>
  <c r="A14580" i="1"/>
  <c r="B14580" i="1"/>
  <c r="A14581" i="1"/>
  <c r="B14581" i="1"/>
  <c r="A14582" i="1"/>
  <c r="B14582" i="1"/>
  <c r="A14583" i="1"/>
  <c r="B14583" i="1"/>
  <c r="A14584" i="1"/>
  <c r="B14584" i="1"/>
  <c r="A14585" i="1"/>
  <c r="B14585" i="1"/>
</calcChain>
</file>

<file path=xl/sharedStrings.xml><?xml version="1.0" encoding="utf-8"?>
<sst xmlns="http://schemas.openxmlformats.org/spreadsheetml/2006/main" count="19" uniqueCount="19">
  <si>
    <t>Produced:</t>
  </si>
  <si>
    <t>Mois(C):</t>
  </si>
  <si>
    <t>Annee(C):</t>
  </si>
  <si>
    <t>BUREAU(C):</t>
  </si>
  <si>
    <t>SYSCOM(C):</t>
  </si>
  <si>
    <t>FLUX(C):</t>
  </si>
  <si>
    <t>PROVDEST(C):</t>
  </si>
  <si>
    <t>PARTENAIRE(L):</t>
  </si>
  <si>
    <t>Y Axis (1)</t>
  </si>
  <si>
    <t>PRODUIT(B):</t>
  </si>
  <si>
    <t>Y Axis (2)</t>
  </si>
  <si>
    <t>INDICATORS(L):</t>
  </si>
  <si>
    <t>X Axis (1)</t>
  </si>
  <si>
    <t>Source: Copyright © 1958 - 2003 European Community, Eurostat. All Rights Reserved. Comext: k0000324.txt  Extracted: 19/03/2015</t>
  </si>
  <si>
    <t>Code Produit SH6</t>
  </si>
  <si>
    <t>Pays/Territoire</t>
  </si>
  <si>
    <t>Poids net (KG)</t>
  </si>
  <si>
    <t>Valeur (FCFA)</t>
  </si>
  <si>
    <t>Table generation of Extraction from Plan "k0000322,mtx"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</si>
</sst>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9" formatCode="_-* #,##0\ _€_-;\-* #,##0\ _€_-;_-* &quot;-&quot;??\ _€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double">
        <color auto="1"/>
      </top>
      <bottom style="double">
        <color auto="1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169" fontId="16" fillId="0" borderId="0" xfId="1" applyNumberFormat="1" applyFont="1"/>
    <xf numFmtId="169" fontId="16" fillId="0" borderId="10" xfId="1" applyNumberFormat="1" applyFont="1" applyBorder="1"/>
    <xf numFmtId="0" fontId="16" fillId="0" borderId="10" xfId="0" applyFont="1" applyBorder="1"/>
    <xf numFmtId="169" fontId="0" fillId="0" borderId="0" xfId="1" applyNumberFormat="1" applyFont="1"/>
    <xf numFmtId="0" fontId="16" fillId="0" borderId="0" xfId="0" applyFont="1"/>
  </cellXfs>
  <cellStyles count="43">
    <cellStyle name="20 % - Accent1" xfId="20" builtinId="30" customBuiltin="1"/>
    <cellStyle name="20 % - Accent2" xfId="24" builtinId="34" customBuiltin="1"/>
    <cellStyle name="20 % - Accent3" xfId="28" builtinId="38" customBuiltin="1"/>
    <cellStyle name="20 % - Accent4" xfId="32" builtinId="42" customBuiltin="1"/>
    <cellStyle name="20 % - Accent5" xfId="36" builtinId="46" customBuiltin="1"/>
    <cellStyle name="20 % - Accent6" xfId="40" builtinId="50" customBuiltin="1"/>
    <cellStyle name="40 % - Accent1" xfId="21" builtinId="31" customBuiltin="1"/>
    <cellStyle name="40 % - Accent2" xfId="25" builtinId="35" customBuiltin="1"/>
    <cellStyle name="40 % - Accent3" xfId="29" builtinId="39" customBuiltin="1"/>
    <cellStyle name="40 % - Accent4" xfId="33" builtinId="43" customBuiltin="1"/>
    <cellStyle name="40 % - Accent5" xfId="37" builtinId="47" customBuiltin="1"/>
    <cellStyle name="40 % - Accent6" xfId="41" builtinId="51" customBuiltin="1"/>
    <cellStyle name="60 % - Accent1" xfId="22" builtinId="32" customBuiltin="1"/>
    <cellStyle name="60 % - Accent2" xfId="26" builtinId="36" customBuiltin="1"/>
    <cellStyle name="60 % - Accent3" xfId="30" builtinId="40" customBuiltin="1"/>
    <cellStyle name="60 % - Accent4" xfId="34" builtinId="44" customBuiltin="1"/>
    <cellStyle name="60 % - Accent5" xfId="38" builtinId="48" customBuiltin="1"/>
    <cellStyle name="60 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Avertissement" xfId="15" builtinId="11" customBuiltin="1"/>
    <cellStyle name="Calcul" xfId="12" builtinId="22" customBuiltin="1"/>
    <cellStyle name="Cellule liée" xfId="13" builtinId="24" customBuiltin="1"/>
    <cellStyle name="Commentaire" xfId="16" builtinId="10" customBuiltin="1"/>
    <cellStyle name="Entrée" xfId="10" builtinId="20" customBuiltin="1"/>
    <cellStyle name="Insatisfaisant" xfId="8" builtinId="27" customBuiltin="1"/>
    <cellStyle name="Milliers" xfId="1" builtinId="3"/>
    <cellStyle name="Neutre" xfId="9" builtinId="28" customBuiltin="1"/>
    <cellStyle name="Normal" xfId="0" builtinId="0"/>
    <cellStyle name="Satisfaisant" xfId="7" builtinId="26" customBuiltin="1"/>
    <cellStyle name="Sortie" xfId="11" builtinId="21" customBuiltin="1"/>
    <cellStyle name="Texte explicatif" xfId="17" builtinId="53" customBuiltin="1"/>
    <cellStyle name="Titre" xfId="2" builtinId="15" customBuiltin="1"/>
    <cellStyle name="Titre 1" xfId="3" builtinId="16" customBuiltin="1"/>
    <cellStyle name="Titre 2" xfId="4" builtinId="17" customBuiltin="1"/>
    <cellStyle name="Titre 3" xfId="5" builtinId="18" customBuiltin="1"/>
    <cellStyle name="Titre 4" xfId="6" builtinId="19" customBuiltin="1"/>
    <cellStyle name="Total" xfId="18" builtinId="25" customBuiltin="1"/>
    <cellStyle name="Vérification" xfId="14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88"/>
  <sheetViews>
    <sheetView tabSelected="1" workbookViewId="0"/>
  </sheetViews>
  <sheetFormatPr baseColWidth="10" defaultRowHeight="15" x14ac:dyDescent="0.25"/>
  <cols>
    <col min="2" max="2" width="102.140625" bestFit="1" customWidth="1"/>
    <col min="3" max="3" width="17.85546875" style="4" bestFit="1" customWidth="1"/>
    <col min="4" max="4" width="21.42578125" style="4" bestFit="1" customWidth="1"/>
  </cols>
  <sheetData>
    <row r="1" spans="1:4" x14ac:dyDescent="0.25">
      <c r="C1" s="4" t="s">
        <v>18</v>
      </c>
    </row>
    <row r="3" spans="1:4" x14ac:dyDescent="0.25">
      <c r="A3" t="s">
        <v>0</v>
      </c>
      <c r="B3" t="str">
        <f>T("19/03/2015")</f>
        <v>19/03/2015</v>
      </c>
    </row>
    <row r="4" spans="1:4" x14ac:dyDescent="0.25">
      <c r="A4" t="s">
        <v>1</v>
      </c>
      <c r="B4" t="str">
        <f>T("00")</f>
        <v>00</v>
      </c>
    </row>
    <row r="5" spans="1:4" x14ac:dyDescent="0.25">
      <c r="A5" t="s">
        <v>2</v>
      </c>
      <c r="B5" t="str">
        <f>T("2014")</f>
        <v>2014</v>
      </c>
    </row>
    <row r="6" spans="1:4" x14ac:dyDescent="0.25">
      <c r="A6" t="s">
        <v>3</v>
      </c>
      <c r="B6" t="str">
        <f>T("7Bureaux")</f>
        <v>7Bureaux</v>
      </c>
    </row>
    <row r="7" spans="1:4" x14ac:dyDescent="0.25">
      <c r="A7" t="s">
        <v>4</v>
      </c>
      <c r="B7" t="str">
        <f>T("Commerce Spécial")</f>
        <v>Commerce Spécial</v>
      </c>
    </row>
    <row r="8" spans="1:4" x14ac:dyDescent="0.25">
      <c r="A8" t="s">
        <v>5</v>
      </c>
      <c r="B8" t="str">
        <f>T("I")</f>
        <v>I</v>
      </c>
    </row>
    <row r="9" spans="1:4" x14ac:dyDescent="0.25">
      <c r="A9" t="s">
        <v>6</v>
      </c>
      <c r="B9" t="str">
        <f>T("ZZZ_Monde")</f>
        <v>ZZZ_Monde</v>
      </c>
    </row>
    <row r="10" spans="1:4" x14ac:dyDescent="0.25">
      <c r="A10" t="s">
        <v>7</v>
      </c>
      <c r="B10" t="s">
        <v>8</v>
      </c>
    </row>
    <row r="11" spans="1:4" x14ac:dyDescent="0.25">
      <c r="A11" t="s">
        <v>9</v>
      </c>
      <c r="B11" t="s">
        <v>10</v>
      </c>
    </row>
    <row r="12" spans="1:4" x14ac:dyDescent="0.25">
      <c r="A12" t="s">
        <v>11</v>
      </c>
      <c r="B12" t="s">
        <v>12</v>
      </c>
    </row>
    <row r="13" spans="1:4" ht="15.75" thickBot="1" x14ac:dyDescent="0.3"/>
    <row r="14" spans="1:4" ht="16.5" thickTop="1" thickBot="1" x14ac:dyDescent="0.3">
      <c r="A14" s="3" t="s">
        <v>14</v>
      </c>
      <c r="B14" s="3" t="s">
        <v>15</v>
      </c>
      <c r="C14" s="2" t="s">
        <v>16</v>
      </c>
      <c r="D14" s="2" t="s">
        <v>17</v>
      </c>
    </row>
    <row r="15" spans="1:4" ht="15.75" thickTop="1" x14ac:dyDescent="0.25"/>
    <row r="16" spans="1:4" s="5" customFormat="1" x14ac:dyDescent="0.25">
      <c r="B16" s="5" t="str">
        <f>T("Andorre")</f>
        <v>Andorre</v>
      </c>
      <c r="C16" s="1"/>
      <c r="D16" s="1"/>
    </row>
    <row r="17" spans="1:4" x14ac:dyDescent="0.25">
      <c r="A17" t="str">
        <f>T("   271019")</f>
        <v xml:space="preserve">   271019</v>
      </c>
      <c r="B17" t="str">
        <f>T("   AUTRES")</f>
        <v xml:space="preserve">   AUTRES</v>
      </c>
      <c r="C17" s="4">
        <v>41589</v>
      </c>
      <c r="D17" s="4">
        <v>13789155</v>
      </c>
    </row>
    <row r="18" spans="1:4" x14ac:dyDescent="0.25">
      <c r="A18" t="str">
        <f>T("   847180")</f>
        <v xml:space="preserve">   847180</v>
      </c>
      <c r="B18" t="str">
        <f>T("   AUTRES UNITES DE MACHINES AUTOMATIQUES DE TRAITEMENT DE L'INFORMATION")</f>
        <v xml:space="preserve">   AUTRES UNITES DE MACHINES AUTOMATIQUES DE TRAITEMENT DE L'INFORMATION</v>
      </c>
      <c r="C18" s="4">
        <v>117</v>
      </c>
      <c r="D18" s="4">
        <v>115000</v>
      </c>
    </row>
    <row r="19" spans="1:4" x14ac:dyDescent="0.25">
      <c r="A19" t="str">
        <f>T("   870421")</f>
        <v xml:space="preserve">   870421</v>
      </c>
      <c r="B19" t="str">
        <f>T("   D'UN POIDS EN CHARGE MAXIMAL N'EXCEDANT PAS 5 TONNES")</f>
        <v xml:space="preserve">   D'UN POIDS EN CHARGE MAXIMAL N'EXCEDANT PAS 5 TONNES</v>
      </c>
      <c r="C19" s="4">
        <v>1100</v>
      </c>
      <c r="D19" s="4">
        <v>1200000</v>
      </c>
    </row>
    <row r="20" spans="1:4" s="5" customFormat="1" x14ac:dyDescent="0.25">
      <c r="A20" s="5" t="str">
        <f>T("   ZZ_Total_Produit_SH6")</f>
        <v xml:space="preserve">   ZZ_Total_Produit_SH6</v>
      </c>
      <c r="B20" s="5" t="str">
        <f>T("   ZZ_Total_Produit_SH6")</f>
        <v xml:space="preserve">   ZZ_Total_Produit_SH6</v>
      </c>
      <c r="C20" s="1">
        <v>42806</v>
      </c>
      <c r="D20" s="1">
        <v>15104155</v>
      </c>
    </row>
    <row r="21" spans="1:4" s="5" customFormat="1" x14ac:dyDescent="0.25">
      <c r="B21" s="5" t="str">
        <f>T("Emirats Arabes Unis")</f>
        <v>Emirats Arabes Unis</v>
      </c>
      <c r="C21" s="1"/>
      <c r="D21" s="1"/>
    </row>
    <row r="22" spans="1:4" x14ac:dyDescent="0.25">
      <c r="A22" t="str">
        <f>T("   020712")</f>
        <v xml:space="preserve">   020712</v>
      </c>
      <c r="B22" t="str">
        <f>T("   NON DECOUPES EN MORCEAUX, CONGELES")</f>
        <v xml:space="preserve">   NON DECOUPES EN MORCEAUX, CONGELES</v>
      </c>
      <c r="C22" s="4">
        <v>25000</v>
      </c>
      <c r="D22" s="4">
        <v>15559250</v>
      </c>
    </row>
    <row r="23" spans="1:4" x14ac:dyDescent="0.25">
      <c r="A23" t="str">
        <f>T("   091099")</f>
        <v xml:space="preserve">   091099</v>
      </c>
      <c r="B23" t="str">
        <f>T("   AUTRES")</f>
        <v xml:space="preserve">   AUTRES</v>
      </c>
      <c r="C23" s="4">
        <v>15</v>
      </c>
      <c r="D23" s="4">
        <v>389000</v>
      </c>
    </row>
    <row r="24" spans="1:4" x14ac:dyDescent="0.25">
      <c r="A24" t="str">
        <f>T("   100620")</f>
        <v xml:space="preserve">   100620</v>
      </c>
      <c r="B24" t="str">
        <f>T("   RIZ DECORTIQUE (RIZ CARGO OU RIZ BRUN)")</f>
        <v xml:space="preserve">   RIZ DECORTIQUE (RIZ CARGO OU RIZ BRUN)</v>
      </c>
      <c r="C24" s="4">
        <v>260317</v>
      </c>
      <c r="D24" s="4">
        <v>87322640.148000002</v>
      </c>
    </row>
    <row r="25" spans="1:4" x14ac:dyDescent="0.25">
      <c r="A25" t="str">
        <f>T("   100630")</f>
        <v xml:space="preserve">   100630</v>
      </c>
      <c r="B25" t="str">
        <f>T("   RIZ SEMIBLANCHI OU BLANCHI, MEME POLI OU GLACE")</f>
        <v xml:space="preserve">   RIZ SEMIBLANCHI OU BLANCHI, MEME POLI OU GLACE</v>
      </c>
      <c r="C25" s="4">
        <v>6126200</v>
      </c>
      <c r="D25" s="4">
        <v>1378720859</v>
      </c>
    </row>
    <row r="26" spans="1:4" x14ac:dyDescent="0.25">
      <c r="A26" t="str">
        <f>T("   100640")</f>
        <v xml:space="preserve">   100640</v>
      </c>
      <c r="B26" t="str">
        <f>T("   RIZ EN BRISURES")</f>
        <v xml:space="preserve">   RIZ EN BRISURES</v>
      </c>
      <c r="C26" s="4">
        <v>47832211</v>
      </c>
      <c r="D26" s="4">
        <v>17864913871.756001</v>
      </c>
    </row>
    <row r="27" spans="1:4" x14ac:dyDescent="0.25">
      <c r="A27" t="str">
        <f>T("   100890")</f>
        <v xml:space="preserve">   100890</v>
      </c>
      <c r="B27" t="str">
        <f>T("   Autres cereales")</f>
        <v xml:space="preserve">   Autres cereales</v>
      </c>
      <c r="C27" s="4">
        <v>104520</v>
      </c>
      <c r="D27" s="4">
        <v>18659438</v>
      </c>
    </row>
    <row r="28" spans="1:4" x14ac:dyDescent="0.25">
      <c r="A28" t="str">
        <f>T("   110100")</f>
        <v xml:space="preserve">   110100</v>
      </c>
      <c r="B28" t="str">
        <f>T("   FARINES DE FROMENT (BLE) OU DE METEIL.")</f>
        <v xml:space="preserve">   FARINES DE FROMENT (BLE) OU DE METEIL.</v>
      </c>
      <c r="C28" s="4">
        <v>48000</v>
      </c>
      <c r="D28" s="4">
        <v>12805646.226</v>
      </c>
    </row>
    <row r="29" spans="1:4" x14ac:dyDescent="0.25">
      <c r="A29" t="str">
        <f>T("   150990")</f>
        <v xml:space="preserve">   150990</v>
      </c>
      <c r="B29" t="str">
        <f>T("   AUTRES")</f>
        <v xml:space="preserve">   AUTRES</v>
      </c>
      <c r="C29" s="4">
        <v>1000</v>
      </c>
      <c r="D29" s="4">
        <v>355000</v>
      </c>
    </row>
    <row r="30" spans="1:4" x14ac:dyDescent="0.25">
      <c r="A30" t="str">
        <f>T("   151190")</f>
        <v xml:space="preserve">   151190</v>
      </c>
      <c r="B30" t="str">
        <f>T("   AUTRES")</f>
        <v xml:space="preserve">   AUTRES</v>
      </c>
      <c r="C30" s="4">
        <v>132650</v>
      </c>
      <c r="D30" s="4">
        <v>49945621.616999999</v>
      </c>
    </row>
    <row r="31" spans="1:4" x14ac:dyDescent="0.25">
      <c r="A31" t="str">
        <f>T("   151620")</f>
        <v xml:space="preserve">   151620</v>
      </c>
      <c r="B31" t="str">
        <f>T("   GRAISSES ET HUILES VEGETALES ET LEURS FRACTIONS")</f>
        <v xml:space="preserve">   GRAISSES ET HUILES VEGETALES ET LEURS FRACTIONS</v>
      </c>
      <c r="C31" s="4">
        <v>238364</v>
      </c>
      <c r="D31" s="4">
        <v>60879397</v>
      </c>
    </row>
    <row r="32" spans="1:4" x14ac:dyDescent="0.25">
      <c r="A32" t="str">
        <f>T("   160250")</f>
        <v xml:space="preserve">   160250</v>
      </c>
      <c r="B32" t="str">
        <f>T("   DE L'ESPECE BOVINE")</f>
        <v xml:space="preserve">   DE L'ESPECE BOVINE</v>
      </c>
      <c r="C32" s="4">
        <v>15216</v>
      </c>
      <c r="D32" s="4">
        <v>3276898</v>
      </c>
    </row>
    <row r="33" spans="1:4" x14ac:dyDescent="0.25">
      <c r="A33" t="str">
        <f>T("   160413")</f>
        <v xml:space="preserve">   160413</v>
      </c>
      <c r="B33" t="str">
        <f>T("   SARDINES, SARDINELLES ET SPRATS OU ESPROTS")</f>
        <v xml:space="preserve">   SARDINES, SARDINELLES ET SPRATS OU ESPROTS</v>
      </c>
      <c r="C33" s="4">
        <v>81251</v>
      </c>
      <c r="D33" s="4">
        <v>26215190</v>
      </c>
    </row>
    <row r="34" spans="1:4" x14ac:dyDescent="0.25">
      <c r="A34" t="str">
        <f>T("   170199")</f>
        <v xml:space="preserve">   170199</v>
      </c>
      <c r="B34" t="str">
        <f>T("   AUTRES")</f>
        <v xml:space="preserve">   AUTRES</v>
      </c>
      <c r="C34" s="4">
        <v>135000</v>
      </c>
      <c r="D34" s="4">
        <v>27986650.931000002</v>
      </c>
    </row>
    <row r="35" spans="1:4" x14ac:dyDescent="0.25">
      <c r="A35" t="str">
        <f>T("   170410")</f>
        <v xml:space="preserve">   170410</v>
      </c>
      <c r="B35" t="str">
        <f>T("   GOMMES A MACHER (CHEWINGGUM), MEME ENROBEES DE SUCRE")</f>
        <v xml:space="preserve">   GOMMES A MACHER (CHEWINGGUM), MEME ENROBEES DE SUCRE</v>
      </c>
      <c r="C35" s="4">
        <v>84036</v>
      </c>
      <c r="D35" s="4">
        <v>14613108</v>
      </c>
    </row>
    <row r="36" spans="1:4" x14ac:dyDescent="0.25">
      <c r="A36" t="str">
        <f>T("   170490")</f>
        <v xml:space="preserve">   170490</v>
      </c>
      <c r="B36" t="str">
        <f>T("   AUTRES")</f>
        <v xml:space="preserve">   AUTRES</v>
      </c>
      <c r="C36" s="4">
        <v>120169.37</v>
      </c>
      <c r="D36" s="4">
        <v>15969711</v>
      </c>
    </row>
    <row r="37" spans="1:4" x14ac:dyDescent="0.25">
      <c r="A37" t="str">
        <f>T("   180620")</f>
        <v xml:space="preserve">   180620</v>
      </c>
      <c r="B37" t="str">
        <f>T("   AUTRES PREPARATIONS PRESENTEES SOIT EN BLOCS OU EN BARRES D'UN POIDS EXCEDANT 2 KG, S")</f>
        <v xml:space="preserve">   AUTRES PREPARATIONS PRESENTEES SOIT EN BLOCS OU EN BARRES D'UN POIDS EXCEDANT 2 KG, S</v>
      </c>
      <c r="C37" s="4">
        <v>15925</v>
      </c>
      <c r="D37" s="4">
        <v>5297613</v>
      </c>
    </row>
    <row r="38" spans="1:4" x14ac:dyDescent="0.25">
      <c r="A38" t="str">
        <f>T("   180690")</f>
        <v xml:space="preserve">   180690</v>
      </c>
      <c r="B38" t="str">
        <f>T("   AUTRES")</f>
        <v xml:space="preserve">   AUTRES</v>
      </c>
      <c r="C38" s="4">
        <v>100</v>
      </c>
      <c r="D38" s="4">
        <v>218575</v>
      </c>
    </row>
    <row r="39" spans="1:4" x14ac:dyDescent="0.25">
      <c r="A39" t="str">
        <f>T("   190190")</f>
        <v xml:space="preserve">   190190</v>
      </c>
      <c r="B39" t="str">
        <f>T("   AUTRES")</f>
        <v xml:space="preserve">   AUTRES</v>
      </c>
      <c r="C39" s="4">
        <v>81159</v>
      </c>
      <c r="D39" s="4">
        <v>26148657</v>
      </c>
    </row>
    <row r="40" spans="1:4" x14ac:dyDescent="0.25">
      <c r="A40" t="str">
        <f>T("   190219")</f>
        <v xml:space="preserve">   190219</v>
      </c>
      <c r="B40" t="str">
        <f>T("   AUTRES")</f>
        <v xml:space="preserve">   AUTRES</v>
      </c>
      <c r="C40" s="4">
        <v>827153</v>
      </c>
      <c r="D40" s="4">
        <v>103721934</v>
      </c>
    </row>
    <row r="41" spans="1:4" x14ac:dyDescent="0.25">
      <c r="A41" t="str">
        <f>T("   190230")</f>
        <v xml:space="preserve">   190230</v>
      </c>
      <c r="B41" t="str">
        <f>T("   AUTRES PATES ALIMENTAIRES")</f>
        <v xml:space="preserve">   AUTRES PATES ALIMENTAIRES</v>
      </c>
      <c r="C41" s="4">
        <v>313620</v>
      </c>
      <c r="D41" s="4">
        <v>52735277</v>
      </c>
    </row>
    <row r="42" spans="1:4" x14ac:dyDescent="0.25">
      <c r="A42" t="str">
        <f>T("   190531")</f>
        <v xml:space="preserve">   190531</v>
      </c>
      <c r="B42" t="str">
        <f>T("   BISCUITS ADDITIONNES D’EDULCORANTS")</f>
        <v xml:space="preserve">   BISCUITS ADDITIONNES D’EDULCORANTS</v>
      </c>
      <c r="C42" s="4">
        <v>109551.65</v>
      </c>
      <c r="D42" s="4">
        <v>29708864</v>
      </c>
    </row>
    <row r="43" spans="1:4" x14ac:dyDescent="0.25">
      <c r="A43" t="str">
        <f>T("   190590")</f>
        <v xml:space="preserve">   190590</v>
      </c>
      <c r="B43" t="str">
        <f>T("   AUTRES")</f>
        <v xml:space="preserve">   AUTRES</v>
      </c>
      <c r="C43" s="4">
        <v>125889</v>
      </c>
      <c r="D43" s="4">
        <v>24508109</v>
      </c>
    </row>
    <row r="44" spans="1:4" x14ac:dyDescent="0.25">
      <c r="A44" t="str">
        <f>T("   200290")</f>
        <v xml:space="preserve">   200290</v>
      </c>
      <c r="B44" t="str">
        <f>T("   AUTRES")</f>
        <v xml:space="preserve">   AUTRES</v>
      </c>
      <c r="C44" s="4">
        <v>197744.05</v>
      </c>
      <c r="D44" s="4">
        <v>59902549</v>
      </c>
    </row>
    <row r="45" spans="1:4" x14ac:dyDescent="0.25">
      <c r="A45" t="str">
        <f>T("   200390")</f>
        <v xml:space="preserve">   200390</v>
      </c>
      <c r="B45" t="str">
        <f>T("   AUTRES")</f>
        <v xml:space="preserve">   AUTRES</v>
      </c>
      <c r="C45" s="4">
        <v>1118</v>
      </c>
      <c r="D45" s="4">
        <v>722193</v>
      </c>
    </row>
    <row r="46" spans="1:4" x14ac:dyDescent="0.25">
      <c r="A46" t="str">
        <f>T("   200919")</f>
        <v xml:space="preserve">   200919</v>
      </c>
      <c r="B46" t="str">
        <f>T("   AUTRES")</f>
        <v xml:space="preserve">   AUTRES</v>
      </c>
      <c r="C46" s="4">
        <v>51924</v>
      </c>
      <c r="D46" s="4">
        <v>11481924</v>
      </c>
    </row>
    <row r="47" spans="1:4" x14ac:dyDescent="0.25">
      <c r="A47" t="str">
        <f>T("   200980")</f>
        <v xml:space="preserve">   200980</v>
      </c>
      <c r="B47" t="str">
        <f>T("   AUTRES JUS DE FRUITS OU DE LEGUMES,SANS ALCOOL,SUCRES OU NON")</f>
        <v xml:space="preserve">   AUTRES JUS DE FRUITS OU DE LEGUMES,SANS ALCOOL,SUCRES OU NON</v>
      </c>
      <c r="C47" s="4">
        <v>175124</v>
      </c>
      <c r="D47" s="4">
        <v>28457701</v>
      </c>
    </row>
    <row r="48" spans="1:4" x14ac:dyDescent="0.25">
      <c r="A48" t="str">
        <f>T("   200990")</f>
        <v xml:space="preserve">   200990</v>
      </c>
      <c r="B48" t="str">
        <f>T("   MELANGES DE JUS")</f>
        <v xml:space="preserve">   MELANGES DE JUS</v>
      </c>
      <c r="C48" s="4">
        <v>20295</v>
      </c>
      <c r="D48" s="4">
        <v>4715779</v>
      </c>
    </row>
    <row r="49" spans="1:4" x14ac:dyDescent="0.25">
      <c r="A49" t="str">
        <f>T("   210320")</f>
        <v xml:space="preserve">   210320</v>
      </c>
      <c r="B49" t="str">
        <f>T("   «TOMATOKETCHUP» ET AUTRES SAUCES TOMATES")</f>
        <v xml:space="preserve">   «TOMATOKETCHUP» ET AUTRES SAUCES TOMATES</v>
      </c>
      <c r="C49" s="4">
        <v>410</v>
      </c>
      <c r="D49" s="4">
        <v>186292</v>
      </c>
    </row>
    <row r="50" spans="1:4" x14ac:dyDescent="0.25">
      <c r="A50" t="str">
        <f>T("   210390")</f>
        <v xml:space="preserve">   210390</v>
      </c>
      <c r="B50" t="str">
        <f>T("   AUTRES")</f>
        <v xml:space="preserve">   AUTRES</v>
      </c>
      <c r="C50" s="4">
        <v>33170.1</v>
      </c>
      <c r="D50" s="4">
        <v>14720000</v>
      </c>
    </row>
    <row r="51" spans="1:4" x14ac:dyDescent="0.25">
      <c r="A51" t="str">
        <f>T("   210610")</f>
        <v xml:space="preserve">   210610</v>
      </c>
      <c r="B51" t="str">
        <f>T("   CONCENTRATS DE PROTEINES ET SUBSTANCES PROTEIQUES TEXTUREES")</f>
        <v xml:space="preserve">   CONCENTRATS DE PROTEINES ET SUBSTANCES PROTEIQUES TEXTUREES</v>
      </c>
      <c r="C51" s="4">
        <v>325</v>
      </c>
      <c r="D51" s="4">
        <v>118073</v>
      </c>
    </row>
    <row r="52" spans="1:4" x14ac:dyDescent="0.25">
      <c r="A52" t="str">
        <f>T("   210690")</f>
        <v xml:space="preserve">   210690</v>
      </c>
      <c r="B52" t="str">
        <f>T("   AUTRES")</f>
        <v xml:space="preserve">   AUTRES</v>
      </c>
      <c r="C52" s="4">
        <v>1898</v>
      </c>
      <c r="D52" s="4">
        <v>1205904</v>
      </c>
    </row>
    <row r="53" spans="1:4" x14ac:dyDescent="0.25">
      <c r="A53" t="str">
        <f>T("   220110")</f>
        <v xml:space="preserve">   220110</v>
      </c>
      <c r="B53" t="str">
        <f>T("   EAUX MINERALES ET EAUX GAZEIFIEES")</f>
        <v xml:space="preserve">   EAUX MINERALES ET EAUX GAZEIFIEES</v>
      </c>
      <c r="C53" s="4">
        <v>2016.1</v>
      </c>
      <c r="D53" s="4">
        <v>469560</v>
      </c>
    </row>
    <row r="54" spans="1:4" x14ac:dyDescent="0.25">
      <c r="A54" t="str">
        <f>T("   220290")</f>
        <v xml:space="preserve">   220290</v>
      </c>
      <c r="B54" t="str">
        <f>T("   AUTRES")</f>
        <v xml:space="preserve">   AUTRES</v>
      </c>
      <c r="C54" s="4">
        <v>416366</v>
      </c>
      <c r="D54" s="4">
        <v>77021208</v>
      </c>
    </row>
    <row r="55" spans="1:4" x14ac:dyDescent="0.25">
      <c r="A55" t="str">
        <f>T("   220710")</f>
        <v xml:space="preserve">   220710</v>
      </c>
      <c r="B55" t="str">
        <f>T("   ALCOOL ETHYLIQUE NON DENATURE D'UN TITRE ALCOOMETRIQUE +VOLUMIQUE DE 80 % VOL OU PLUS")</f>
        <v xml:space="preserve">   ALCOOL ETHYLIQUE NON DENATURE D'UN TITRE ALCOOMETRIQUE +VOLUMIQUE DE 80 % VOL OU PLUS</v>
      </c>
      <c r="C55" s="4">
        <v>100320</v>
      </c>
      <c r="D55" s="4">
        <v>13443690</v>
      </c>
    </row>
    <row r="56" spans="1:4" x14ac:dyDescent="0.25">
      <c r="A56" t="str">
        <f>T("   240210")</f>
        <v xml:space="preserve">   240210</v>
      </c>
      <c r="B56" t="str">
        <f>T("   CIGARES (Y COMPRIS CEUX A BOUTS COUPES) ET CIGARILLOS, CONTENANT DU TABAC")</f>
        <v xml:space="preserve">   CIGARES (Y COMPRIS CEUX A BOUTS COUPES) ET CIGARILLOS, CONTENANT DU TABAC</v>
      </c>
      <c r="C56" s="4">
        <v>3</v>
      </c>
      <c r="D56" s="4">
        <v>122879</v>
      </c>
    </row>
    <row r="57" spans="1:4" x14ac:dyDescent="0.25">
      <c r="A57" t="str">
        <f>T("   240220")</f>
        <v xml:space="preserve">   240220</v>
      </c>
      <c r="B57" t="str">
        <f>T("   Cigarettes contenant du tabac")</f>
        <v xml:space="preserve">   Cigarettes contenant du tabac</v>
      </c>
      <c r="C57" s="4">
        <v>396039</v>
      </c>
      <c r="D57" s="4">
        <v>762498734</v>
      </c>
    </row>
    <row r="58" spans="1:4" x14ac:dyDescent="0.25">
      <c r="A58" t="str">
        <f>T("   240290")</f>
        <v xml:space="preserve">   240290</v>
      </c>
      <c r="B58" t="str">
        <f>T("   AUTRES")</f>
        <v xml:space="preserve">   AUTRES</v>
      </c>
      <c r="C58" s="4">
        <v>90229</v>
      </c>
      <c r="D58" s="4">
        <v>260045</v>
      </c>
    </row>
    <row r="59" spans="1:4" x14ac:dyDescent="0.25">
      <c r="A59" t="str">
        <f>T("   253090")</f>
        <v xml:space="preserve">   253090</v>
      </c>
      <c r="B59" t="str">
        <f>T("   AUTRES")</f>
        <v xml:space="preserve">   AUTRES</v>
      </c>
      <c r="C59" s="4">
        <v>21900</v>
      </c>
      <c r="D59" s="4">
        <v>7170541</v>
      </c>
    </row>
    <row r="60" spans="1:4" x14ac:dyDescent="0.25">
      <c r="A60" t="str">
        <f>T("   271011")</f>
        <v xml:space="preserve">   271011</v>
      </c>
      <c r="B60" t="str">
        <f>T("   HUILLES DE PETROLE OU D'ESSENCE")</f>
        <v xml:space="preserve">   HUILLES DE PETROLE OU D'ESSENCE</v>
      </c>
      <c r="C60" s="4">
        <v>171468</v>
      </c>
      <c r="D60" s="4">
        <v>80758747</v>
      </c>
    </row>
    <row r="61" spans="1:4" x14ac:dyDescent="0.25">
      <c r="A61" t="str">
        <f>T("   271019")</f>
        <v xml:space="preserve">   271019</v>
      </c>
      <c r="B61" t="str">
        <f>T("   AUTRES")</f>
        <v xml:space="preserve">   AUTRES</v>
      </c>
      <c r="C61" s="4">
        <v>5413515</v>
      </c>
      <c r="D61" s="4">
        <v>2836501491</v>
      </c>
    </row>
    <row r="62" spans="1:4" x14ac:dyDescent="0.25">
      <c r="A62" t="str">
        <f>T("   271099")</f>
        <v xml:space="preserve">   271099</v>
      </c>
      <c r="B62" t="str">
        <f>T("   AUTRES")</f>
        <v xml:space="preserve">   AUTRES</v>
      </c>
      <c r="C62" s="4">
        <v>199109</v>
      </c>
      <c r="D62" s="4">
        <v>77930155</v>
      </c>
    </row>
    <row r="63" spans="1:4" x14ac:dyDescent="0.25">
      <c r="A63" t="str">
        <f>T("   280610")</f>
        <v xml:space="preserve">   280610</v>
      </c>
      <c r="B63" t="str">
        <f>T("   CHLORURE D'HYDROGENE (ACIDE CHLORHYDRIQUE)")</f>
        <v xml:space="preserve">   CHLORURE D'HYDROGENE (ACIDE CHLORHYDRIQUE)</v>
      </c>
      <c r="C63" s="4">
        <v>22739</v>
      </c>
      <c r="D63" s="4">
        <v>3425686</v>
      </c>
    </row>
    <row r="64" spans="1:4" x14ac:dyDescent="0.25">
      <c r="A64" t="str">
        <f>T("   281511")</f>
        <v xml:space="preserve">   281511</v>
      </c>
      <c r="B64" t="str">
        <f>T("   SOLIDE")</f>
        <v xml:space="preserve">   SOLIDE</v>
      </c>
      <c r="C64" s="4">
        <v>50750</v>
      </c>
      <c r="D64" s="4">
        <v>5360500</v>
      </c>
    </row>
    <row r="65" spans="1:4" x14ac:dyDescent="0.25">
      <c r="A65" t="str">
        <f>T("   291619")</f>
        <v xml:space="preserve">   291619</v>
      </c>
      <c r="B65" t="str">
        <f>T("   AUTRES")</f>
        <v xml:space="preserve">   AUTRES</v>
      </c>
      <c r="C65" s="4">
        <v>27437</v>
      </c>
      <c r="D65" s="4">
        <v>4427730</v>
      </c>
    </row>
    <row r="66" spans="1:4" x14ac:dyDescent="0.25">
      <c r="A66" t="str">
        <f>T("   300420")</f>
        <v xml:space="preserve">   300420</v>
      </c>
      <c r="B66" t="str">
        <f>T("   CONTENANT D'AUTRES ANTIBIOTIQUES")</f>
        <v xml:space="preserve">   CONTENANT D'AUTRES ANTIBIOTIQUES</v>
      </c>
      <c r="C66" s="4">
        <v>99</v>
      </c>
      <c r="D66" s="4">
        <v>450000</v>
      </c>
    </row>
    <row r="67" spans="1:4" x14ac:dyDescent="0.25">
      <c r="A67" t="str">
        <f>T("   320411")</f>
        <v xml:space="preserve">   320411</v>
      </c>
      <c r="B67" t="str">
        <f>T("   Colorants disperses et preparations a base de ces colorants")</f>
        <v xml:space="preserve">   Colorants disperses et preparations a base de ces colorants</v>
      </c>
      <c r="C67" s="4">
        <v>17</v>
      </c>
      <c r="D67" s="4">
        <v>826510</v>
      </c>
    </row>
    <row r="68" spans="1:4" x14ac:dyDescent="0.25">
      <c r="A68" t="str">
        <f>T("   320820")</f>
        <v xml:space="preserve">   320820</v>
      </c>
      <c r="B68" t="str">
        <f>T("   A BASE DE POLYMERES ACRYLIQUES OU VINYLIQUES")</f>
        <v xml:space="preserve">   A BASE DE POLYMERES ACRYLIQUES OU VINYLIQUES</v>
      </c>
      <c r="C68" s="4">
        <v>12000</v>
      </c>
      <c r="D68" s="4">
        <v>4370032</v>
      </c>
    </row>
    <row r="69" spans="1:4" x14ac:dyDescent="0.25">
      <c r="A69" t="str">
        <f>T("   320910")</f>
        <v xml:space="preserve">   320910</v>
      </c>
      <c r="B69" t="str">
        <f>T("   A BASE DE POLYMERES ACRYLIQUES OU VINYLIQUES")</f>
        <v xml:space="preserve">   A BASE DE POLYMERES ACRYLIQUES OU VINYLIQUES</v>
      </c>
      <c r="C69" s="4">
        <v>23800</v>
      </c>
      <c r="D69" s="4">
        <v>4493511</v>
      </c>
    </row>
    <row r="70" spans="1:4" x14ac:dyDescent="0.25">
      <c r="A70" t="str">
        <f>T("   321590")</f>
        <v xml:space="preserve">   321590</v>
      </c>
      <c r="B70" t="str">
        <f>T("   AUTRES")</f>
        <v xml:space="preserve">   AUTRES</v>
      </c>
      <c r="C70" s="4">
        <v>10</v>
      </c>
      <c r="D70" s="4">
        <v>74684</v>
      </c>
    </row>
    <row r="71" spans="1:4" x14ac:dyDescent="0.25">
      <c r="A71" t="str">
        <f>T("   330300")</f>
        <v xml:space="preserve">   330300</v>
      </c>
      <c r="B71" t="str">
        <f>T("   PARFUMS ET EAUX DE TOILETTE.")</f>
        <v xml:space="preserve">   PARFUMS ET EAUX DE TOILETTE.</v>
      </c>
      <c r="C71" s="4">
        <v>6506</v>
      </c>
      <c r="D71" s="4">
        <v>3900000</v>
      </c>
    </row>
    <row r="72" spans="1:4" x14ac:dyDescent="0.25">
      <c r="A72" t="str">
        <f>T("   330499")</f>
        <v xml:space="preserve">   330499</v>
      </c>
      <c r="B72" t="str">
        <f>T("   AUTRES")</f>
        <v xml:space="preserve">   AUTRES</v>
      </c>
      <c r="C72" s="4">
        <v>24341</v>
      </c>
      <c r="D72" s="4">
        <v>16770307</v>
      </c>
    </row>
    <row r="73" spans="1:4" x14ac:dyDescent="0.25">
      <c r="A73" t="str">
        <f>T("   330530")</f>
        <v xml:space="preserve">   330530</v>
      </c>
      <c r="B73" t="str">
        <f>T("   Laques pour cheveux")</f>
        <v xml:space="preserve">   Laques pour cheveux</v>
      </c>
      <c r="C73" s="4">
        <v>17100</v>
      </c>
      <c r="D73" s="4">
        <v>2680253</v>
      </c>
    </row>
    <row r="74" spans="1:4" x14ac:dyDescent="0.25">
      <c r="A74" t="str">
        <f>T("   330610")</f>
        <v xml:space="preserve">   330610</v>
      </c>
      <c r="B74" t="str">
        <f>T("   Dentifrices")</f>
        <v xml:space="preserve">   Dentifrices</v>
      </c>
      <c r="C74" s="4">
        <v>79989</v>
      </c>
      <c r="D74" s="4">
        <v>19845354</v>
      </c>
    </row>
    <row r="75" spans="1:4" x14ac:dyDescent="0.25">
      <c r="A75" t="str">
        <f>T("   330720")</f>
        <v xml:space="preserve">   330720</v>
      </c>
      <c r="B75" t="str">
        <f>T("   Desodorisants corporels et antisudoraux")</f>
        <v xml:space="preserve">   Desodorisants corporels et antisudoraux</v>
      </c>
      <c r="C75" s="4">
        <v>1194</v>
      </c>
      <c r="D75" s="4">
        <v>3750123</v>
      </c>
    </row>
    <row r="76" spans="1:4" x14ac:dyDescent="0.25">
      <c r="A76" t="str">
        <f>T("   340111")</f>
        <v xml:space="preserve">   340111</v>
      </c>
      <c r="B76" t="str">
        <f>T("   DE TOILETTE (Y COMPRIS CEUX A USAGES MEDICAUX)")</f>
        <v xml:space="preserve">   DE TOILETTE (Y COMPRIS CEUX A USAGES MEDICAUX)</v>
      </c>
      <c r="C76" s="4">
        <v>33179</v>
      </c>
      <c r="D76" s="4">
        <v>11205839</v>
      </c>
    </row>
    <row r="77" spans="1:4" x14ac:dyDescent="0.25">
      <c r="A77" t="str">
        <f>T("   340119")</f>
        <v xml:space="preserve">   340119</v>
      </c>
      <c r="B77" t="str">
        <f>T("   AUTRES")</f>
        <v xml:space="preserve">   AUTRES</v>
      </c>
      <c r="C77" s="4">
        <v>692915</v>
      </c>
      <c r="D77" s="4">
        <v>179731567</v>
      </c>
    </row>
    <row r="78" spans="1:4" x14ac:dyDescent="0.25">
      <c r="A78" t="str">
        <f>T("   340120")</f>
        <v xml:space="preserve">   340120</v>
      </c>
      <c r="B78" t="str">
        <f>T("   SAVONS SOUS AUTRES FORMES")</f>
        <v xml:space="preserve">   SAVONS SOUS AUTRES FORMES</v>
      </c>
      <c r="C78" s="4">
        <v>660</v>
      </c>
      <c r="D78" s="4">
        <v>2072834</v>
      </c>
    </row>
    <row r="79" spans="1:4" x14ac:dyDescent="0.25">
      <c r="A79" t="str">
        <f>T("   340219")</f>
        <v xml:space="preserve">   340219</v>
      </c>
      <c r="B79" t="str">
        <f>T("   AUTRES")</f>
        <v xml:space="preserve">   AUTRES</v>
      </c>
      <c r="C79" s="4">
        <v>1850</v>
      </c>
      <c r="D79" s="4">
        <v>484951</v>
      </c>
    </row>
    <row r="80" spans="1:4" x14ac:dyDescent="0.25">
      <c r="A80" t="str">
        <f>T("   370110")</f>
        <v xml:space="preserve">   370110</v>
      </c>
      <c r="B80" t="str">
        <f>T("   POUR RAYONS X")</f>
        <v xml:space="preserve">   POUR RAYONS X</v>
      </c>
      <c r="C80" s="4">
        <v>101</v>
      </c>
      <c r="D80" s="4">
        <v>1419004</v>
      </c>
    </row>
    <row r="81" spans="1:4" x14ac:dyDescent="0.25">
      <c r="A81" t="str">
        <f>T("   380850")</f>
        <v xml:space="preserve">   380850</v>
      </c>
      <c r="B81" t="str">
        <f>T("   MARCHANDISES MENTIONNEES DANS LA NOTE 1 DE SOUSPOSITIONS DU PRESENT CHAPITRE")</f>
        <v xml:space="preserve">   MARCHANDISES MENTIONNEES DANS LA NOTE 1 DE SOUSPOSITIONS DU PRESENT CHAPITRE</v>
      </c>
      <c r="C81" s="4">
        <v>6325</v>
      </c>
      <c r="D81" s="4">
        <v>15451138</v>
      </c>
    </row>
    <row r="82" spans="1:4" x14ac:dyDescent="0.25">
      <c r="A82" t="str">
        <f>T("   381400")</f>
        <v xml:space="preserve">   381400</v>
      </c>
      <c r="B82" t="str">
        <f>T("   SOLVANTS ET DILUANTS ORGANIQUES COMPOSITES, NON DENOMMES NI COMPRIS AILLEURS; PREPARATI")</f>
        <v xml:space="preserve">   SOLVANTS ET DILUANTS ORGANIQUES COMPOSITES, NON DENOMMES NI COMPRIS AILLEURS; PREPARATI</v>
      </c>
      <c r="C82" s="4">
        <v>16000</v>
      </c>
      <c r="D82" s="4">
        <v>1476261</v>
      </c>
    </row>
    <row r="83" spans="1:4" x14ac:dyDescent="0.25">
      <c r="A83" t="str">
        <f>T("   390110")</f>
        <v xml:space="preserve">   390110</v>
      </c>
      <c r="B83" t="str">
        <f>T("   POLYETHYLENE D'UNE DENSITE INFERIEURE A 0,94")</f>
        <v xml:space="preserve">   POLYETHYLENE D'UNE DENSITE INFERIEURE A 0,94</v>
      </c>
      <c r="C83" s="4">
        <v>15876</v>
      </c>
      <c r="D83" s="4">
        <v>7194569</v>
      </c>
    </row>
    <row r="84" spans="1:4" x14ac:dyDescent="0.25">
      <c r="A84" t="str">
        <f>T("   390120")</f>
        <v xml:space="preserve">   390120</v>
      </c>
      <c r="B84" t="str">
        <f>T("   POLYETHYLENE D'UNE DENSITE EGALE OU SUPERIEURE A 0,94")</f>
        <v xml:space="preserve">   POLYETHYLENE D'UNE DENSITE EGALE OU SUPERIEURE A 0,94</v>
      </c>
      <c r="C84" s="4">
        <v>53462</v>
      </c>
      <c r="D84" s="4">
        <v>25960458</v>
      </c>
    </row>
    <row r="85" spans="1:4" x14ac:dyDescent="0.25">
      <c r="A85" t="str">
        <f>T("   390190")</f>
        <v xml:space="preserve">   390190</v>
      </c>
      <c r="B85" t="str">
        <f>T("   AUTRES")</f>
        <v xml:space="preserve">   AUTRES</v>
      </c>
      <c r="C85" s="4">
        <v>34204</v>
      </c>
      <c r="D85" s="4">
        <v>27022817</v>
      </c>
    </row>
    <row r="86" spans="1:4" x14ac:dyDescent="0.25">
      <c r="A86" t="str">
        <f>T("   391740")</f>
        <v xml:space="preserve">   391740</v>
      </c>
      <c r="B86" t="str">
        <f>T("   ACCESSOIRES")</f>
        <v xml:space="preserve">   ACCESSOIRES</v>
      </c>
      <c r="C86" s="4">
        <v>6265</v>
      </c>
      <c r="D86" s="4">
        <v>1530035</v>
      </c>
    </row>
    <row r="87" spans="1:4" x14ac:dyDescent="0.25">
      <c r="A87" t="str">
        <f>T("   392059")</f>
        <v xml:space="preserve">   392059</v>
      </c>
      <c r="B87" t="str">
        <f>T("   AUTRES")</f>
        <v xml:space="preserve">   AUTRES</v>
      </c>
      <c r="C87" s="4">
        <v>20000</v>
      </c>
      <c r="D87" s="4">
        <v>19350820</v>
      </c>
    </row>
    <row r="88" spans="1:4" x14ac:dyDescent="0.25">
      <c r="A88" t="str">
        <f>T("   392290")</f>
        <v xml:space="preserve">   392290</v>
      </c>
      <c r="B88" t="str">
        <f>T("   AUTRES")</f>
        <v xml:space="preserve">   AUTRES</v>
      </c>
      <c r="C88" s="4">
        <v>800</v>
      </c>
      <c r="D88" s="4">
        <v>298738</v>
      </c>
    </row>
    <row r="89" spans="1:4" x14ac:dyDescent="0.25">
      <c r="A89" t="str">
        <f>T("   392321")</f>
        <v xml:space="preserve">   392321</v>
      </c>
      <c r="B89" t="str">
        <f>T("   EN POLYMERES DE L'ETHYLENE")</f>
        <v xml:space="preserve">   EN POLYMERES DE L'ETHYLENE</v>
      </c>
      <c r="C89" s="4">
        <v>49236</v>
      </c>
      <c r="D89" s="4">
        <v>28903859</v>
      </c>
    </row>
    <row r="90" spans="1:4" x14ac:dyDescent="0.25">
      <c r="A90" t="str">
        <f>T("   392329")</f>
        <v xml:space="preserve">   392329</v>
      </c>
      <c r="B90" t="str">
        <f>T("   EN AUTRES MATIERES PLASTIQUES")</f>
        <v xml:space="preserve">   EN AUTRES MATIERES PLASTIQUES</v>
      </c>
      <c r="C90" s="4">
        <v>23930</v>
      </c>
      <c r="D90" s="4">
        <v>15854502</v>
      </c>
    </row>
    <row r="91" spans="1:4" x14ac:dyDescent="0.25">
      <c r="A91" t="str">
        <f>T("   392330")</f>
        <v xml:space="preserve">   392330</v>
      </c>
      <c r="B91" t="str">
        <f>T("   BONBONNES, BOUTEILLES, FLACONS ET ARTICLES SIMILAIRES")</f>
        <v xml:space="preserve">   BONBONNES, BOUTEILLES, FLACONS ET ARTICLES SIMILAIRES</v>
      </c>
      <c r="C91" s="4">
        <v>38193</v>
      </c>
      <c r="D91" s="4">
        <v>13808500</v>
      </c>
    </row>
    <row r="92" spans="1:4" x14ac:dyDescent="0.25">
      <c r="A92" t="str">
        <f>T("   392350")</f>
        <v xml:space="preserve">   392350</v>
      </c>
      <c r="B92" t="str">
        <f>T("   BOUCHONS, COUVERCLES, CAPSULES ET AUTRES DISPOSITIFS DE FERMETURE")</f>
        <v xml:space="preserve">   BOUCHONS, COUVERCLES, CAPSULES ET AUTRES DISPOSITIFS DE FERMETURE</v>
      </c>
      <c r="C92" s="4">
        <v>7836</v>
      </c>
      <c r="D92" s="4">
        <v>9484000</v>
      </c>
    </row>
    <row r="93" spans="1:4" x14ac:dyDescent="0.25">
      <c r="A93" t="str">
        <f>T("   392410")</f>
        <v xml:space="preserve">   392410</v>
      </c>
      <c r="B93" t="str">
        <f>T("   VAISSELLE ET AUTRES ARTICLES POUR LE SERVICE DE LA TABLE OU DE LA CUISINE")</f>
        <v xml:space="preserve">   VAISSELLE ET AUTRES ARTICLES POUR LE SERVICE DE LA TABLE OU DE LA CUISINE</v>
      </c>
      <c r="C93" s="4">
        <v>9965</v>
      </c>
      <c r="D93" s="4">
        <v>8185464</v>
      </c>
    </row>
    <row r="94" spans="1:4" x14ac:dyDescent="0.25">
      <c r="A94" t="str">
        <f>T("   392490")</f>
        <v xml:space="preserve">   392490</v>
      </c>
      <c r="B94" t="str">
        <f>T("   AUTRES")</f>
        <v xml:space="preserve">   AUTRES</v>
      </c>
      <c r="C94" s="4">
        <v>24550</v>
      </c>
      <c r="D94" s="4">
        <v>5745720</v>
      </c>
    </row>
    <row r="95" spans="1:4" x14ac:dyDescent="0.25">
      <c r="A95" t="str">
        <f>T("   392590")</f>
        <v xml:space="preserve">   392590</v>
      </c>
      <c r="B95" t="str">
        <f>T("   AUTRES")</f>
        <v xml:space="preserve">   AUTRES</v>
      </c>
      <c r="C95" s="4">
        <v>5000</v>
      </c>
      <c r="D95" s="4">
        <v>4755425</v>
      </c>
    </row>
    <row r="96" spans="1:4" x14ac:dyDescent="0.25">
      <c r="A96" t="str">
        <f>T("   392620")</f>
        <v xml:space="preserve">   392620</v>
      </c>
      <c r="B96" t="str">
        <f>T("   VETEMENTS ET ACCESSOIRES DU VETEMENT (Y COMPRIS LES GANTS, MITAINES ET MOUFLES)")</f>
        <v xml:space="preserve">   VETEMENTS ET ACCESSOIRES DU VETEMENT (Y COMPRIS LES GANTS, MITAINES ET MOUFLES)</v>
      </c>
      <c r="C96" s="4">
        <v>98</v>
      </c>
      <c r="D96" s="4">
        <v>431591</v>
      </c>
    </row>
    <row r="97" spans="1:4" x14ac:dyDescent="0.25">
      <c r="A97" t="str">
        <f>T("   392690")</f>
        <v xml:space="preserve">   392690</v>
      </c>
      <c r="B97" t="str">
        <f>T("   AUTRES")</f>
        <v xml:space="preserve">   AUTRES</v>
      </c>
      <c r="C97" s="4">
        <v>1701.49</v>
      </c>
      <c r="D97" s="4">
        <v>1418464</v>
      </c>
    </row>
    <row r="98" spans="1:4" x14ac:dyDescent="0.25">
      <c r="A98" t="str">
        <f>T("   400941")</f>
        <v xml:space="preserve">   400941</v>
      </c>
      <c r="B98" t="str">
        <f>T("   SANS ACCESSOIRES")</f>
        <v xml:space="preserve">   SANS ACCESSOIRES</v>
      </c>
      <c r="C98" s="4">
        <v>2</v>
      </c>
      <c r="D98" s="4">
        <v>73519</v>
      </c>
    </row>
    <row r="99" spans="1:4" x14ac:dyDescent="0.25">
      <c r="A99" t="str">
        <f>T("   401120")</f>
        <v xml:space="preserve">   401120</v>
      </c>
      <c r="B99" t="str">
        <f>T("   DES TYPES UTILISES POUR AUTOBUS OU CAMIONS")</f>
        <v xml:space="preserve">   DES TYPES UTILISES POUR AUTOBUS OU CAMIONS</v>
      </c>
      <c r="C99" s="4">
        <v>27312</v>
      </c>
      <c r="D99" s="4">
        <v>15995792</v>
      </c>
    </row>
    <row r="100" spans="1:4" x14ac:dyDescent="0.25">
      <c r="A100" t="str">
        <f>T("   401163")</f>
        <v xml:space="preserve">   401163</v>
      </c>
      <c r="B100" t="str">
        <f>T("   DES TYPES UTILISES POUR LES VEHICULES ET ENGINS DE GENIE CIVIL ET DE MANUTENTION IND")</f>
        <v xml:space="preserve">   DES TYPES UTILISES POUR LES VEHICULES ET ENGINS DE GENIE CIVIL ET DE MANUTENTION IND</v>
      </c>
      <c r="C100" s="4">
        <v>330</v>
      </c>
      <c r="D100" s="4">
        <v>591978</v>
      </c>
    </row>
    <row r="101" spans="1:4" x14ac:dyDescent="0.25">
      <c r="A101" t="str">
        <f>T("   401199")</f>
        <v xml:space="preserve">   401199</v>
      </c>
      <c r="B101" t="str">
        <f>T("   AUTRES")</f>
        <v xml:space="preserve">   AUTRES</v>
      </c>
      <c r="C101" s="4">
        <v>29000</v>
      </c>
      <c r="D101" s="4">
        <v>9636529</v>
      </c>
    </row>
    <row r="102" spans="1:4" x14ac:dyDescent="0.25">
      <c r="A102" t="str">
        <f>T("   401220")</f>
        <v xml:space="preserve">   401220</v>
      </c>
      <c r="B102" t="str">
        <f>T("   PNEUMATIQUES USAGES")</f>
        <v xml:space="preserve">   PNEUMATIQUES USAGES</v>
      </c>
      <c r="C102" s="4">
        <v>34094</v>
      </c>
      <c r="D102" s="4">
        <v>9461568</v>
      </c>
    </row>
    <row r="103" spans="1:4" x14ac:dyDescent="0.25">
      <c r="A103" t="str">
        <f>T("   401310")</f>
        <v xml:space="preserve">   401310</v>
      </c>
      <c r="B103" t="str">
        <f>T("   DES TYPES UTILISES POUR LES VOITURES DE TOURISME (Y COMPRIS LES VOITURES DU TYPE «BRE")</f>
        <v xml:space="preserve">   DES TYPES UTILISES POUR LES VOITURES DE TOURISME (Y COMPRIS LES VOITURES DU TYPE «BRE</v>
      </c>
      <c r="C103" s="4">
        <v>4936</v>
      </c>
      <c r="D103" s="4">
        <v>1721192</v>
      </c>
    </row>
    <row r="104" spans="1:4" x14ac:dyDescent="0.25">
      <c r="A104" t="str">
        <f>T("   420239")</f>
        <v xml:space="preserve">   420239</v>
      </c>
      <c r="B104" t="str">
        <f>T("   AUTRES")</f>
        <v xml:space="preserve">   AUTRES</v>
      </c>
      <c r="C104" s="4">
        <v>176</v>
      </c>
      <c r="D104" s="4">
        <v>310000</v>
      </c>
    </row>
    <row r="105" spans="1:4" x14ac:dyDescent="0.25">
      <c r="A105" t="str">
        <f>T("   420292")</f>
        <v xml:space="preserve">   420292</v>
      </c>
      <c r="B105" t="str">
        <f>T("   A SURFACE EXTERIEURE EN FEUILLES DE MATIERES PLASTIQUES OU EN MATIERES TEXTILES")</f>
        <v xml:space="preserve">   A SURFACE EXTERIEURE EN FEUILLES DE MATIERES PLASTIQUES OU EN MATIERES TEXTILES</v>
      </c>
      <c r="C105" s="4">
        <v>183</v>
      </c>
      <c r="D105" s="4">
        <v>583765</v>
      </c>
    </row>
    <row r="106" spans="1:4" x14ac:dyDescent="0.25">
      <c r="A106" t="str">
        <f>T("   420299")</f>
        <v xml:space="preserve">   420299</v>
      </c>
      <c r="B106" t="str">
        <f>T("   AUTRES")</f>
        <v xml:space="preserve">   AUTRES</v>
      </c>
      <c r="C106" s="4">
        <v>9500</v>
      </c>
      <c r="D106" s="4">
        <v>655729</v>
      </c>
    </row>
    <row r="107" spans="1:4" x14ac:dyDescent="0.25">
      <c r="A107" t="str">
        <f>T("   420329")</f>
        <v xml:space="preserve">   420329</v>
      </c>
      <c r="B107" t="str">
        <f>T("   AUTRES")</f>
        <v xml:space="preserve">   AUTRES</v>
      </c>
      <c r="C107" s="4">
        <v>80</v>
      </c>
      <c r="D107" s="4">
        <v>349912</v>
      </c>
    </row>
    <row r="108" spans="1:4" x14ac:dyDescent="0.25">
      <c r="A108" t="str">
        <f>T("   441199")</f>
        <v xml:space="preserve">   441199</v>
      </c>
      <c r="B108" t="str">
        <f>T("   AUTRES PANNEAUX DE FIBRES 0,35 G/CM3 ET -")</f>
        <v xml:space="preserve">   AUTRES PANNEAUX DE FIBRES 0,35 G/CM3 ET -</v>
      </c>
      <c r="C108" s="4">
        <v>29</v>
      </c>
      <c r="D108" s="4">
        <v>71000</v>
      </c>
    </row>
    <row r="109" spans="1:4" x14ac:dyDescent="0.25">
      <c r="A109" t="str">
        <f>T("   441239")</f>
        <v xml:space="preserve">   441239</v>
      </c>
      <c r="B109" t="str">
        <f>T("   AUTRES")</f>
        <v xml:space="preserve">   AUTRES</v>
      </c>
      <c r="C109" s="4">
        <v>6605</v>
      </c>
      <c r="D109" s="4">
        <v>2377900</v>
      </c>
    </row>
    <row r="110" spans="1:4" x14ac:dyDescent="0.25">
      <c r="A110" t="str">
        <f>T("   480920")</f>
        <v xml:space="preserve">   480920</v>
      </c>
      <c r="B110" t="str">
        <f>T("    PAPIERS DITS «AUTOCOPIANTS»")</f>
        <v xml:space="preserve">    PAPIERS DITS «AUTOCOPIANTS»</v>
      </c>
      <c r="C110" s="4">
        <v>565</v>
      </c>
      <c r="D110" s="4">
        <v>1723860</v>
      </c>
    </row>
    <row r="111" spans="1:4" x14ac:dyDescent="0.25">
      <c r="A111" t="str">
        <f>T("   481014")</f>
        <v xml:space="preserve">   481014</v>
      </c>
      <c r="B111" t="str">
        <f>T("   EN FEUILLES DONT UN DES COTES N'EXCEDE PAS 435 MM ET DONT L'AUTRE COTE N'EXCEDE PAS")</f>
        <v xml:space="preserve">   EN FEUILLES DONT UN DES COTES N'EXCEDE PAS 435 MM ET DONT L'AUTRE COTE N'EXCEDE PAS</v>
      </c>
      <c r="C111" s="4">
        <v>750</v>
      </c>
      <c r="D111" s="4">
        <v>118499</v>
      </c>
    </row>
    <row r="112" spans="1:4" x14ac:dyDescent="0.25">
      <c r="A112" t="str">
        <f>T("   481099")</f>
        <v xml:space="preserve">   481099</v>
      </c>
      <c r="B112" t="str">
        <f>T("   AUTRES")</f>
        <v xml:space="preserve">   AUTRES</v>
      </c>
      <c r="C112" s="4">
        <v>1488</v>
      </c>
      <c r="D112" s="4">
        <v>1187482</v>
      </c>
    </row>
    <row r="113" spans="1:4" x14ac:dyDescent="0.25">
      <c r="A113" t="str">
        <f>T("   481810")</f>
        <v xml:space="preserve">   481810</v>
      </c>
      <c r="B113" t="str">
        <f>T("   Papier hygienique")</f>
        <v xml:space="preserve">   Papier hygienique</v>
      </c>
      <c r="C113" s="4">
        <v>180</v>
      </c>
      <c r="D113" s="4">
        <v>177109</v>
      </c>
    </row>
    <row r="114" spans="1:4" x14ac:dyDescent="0.25">
      <c r="A114" t="str">
        <f>T("   481820")</f>
        <v xml:space="preserve">   481820</v>
      </c>
      <c r="B114" t="str">
        <f>T("   MOUCHOIRS, SERVIETTES A DEMAQUILLER ET ESSUIEMAINS")</f>
        <v xml:space="preserve">   MOUCHOIRS, SERVIETTES A DEMAQUILLER ET ESSUIEMAINS</v>
      </c>
      <c r="C114" s="4">
        <v>610</v>
      </c>
      <c r="D114" s="4">
        <v>332594</v>
      </c>
    </row>
    <row r="115" spans="1:4" x14ac:dyDescent="0.25">
      <c r="A115" t="str">
        <f>T("   481890")</f>
        <v xml:space="preserve">   481890</v>
      </c>
      <c r="B115" t="str">
        <f>T("   AUTRES")</f>
        <v xml:space="preserve">   AUTRES</v>
      </c>
      <c r="C115" s="4">
        <v>3436.29</v>
      </c>
      <c r="D115" s="4">
        <v>1586575</v>
      </c>
    </row>
    <row r="116" spans="1:4" x14ac:dyDescent="0.25">
      <c r="A116" t="str">
        <f>T("   481940")</f>
        <v xml:space="preserve">   481940</v>
      </c>
      <c r="B116" t="str">
        <f>T("   AUTRES SACS; SACHETS, POCHETTES (AUTRES QUE CELLES POUR DISQUES) ET CORNETS")</f>
        <v xml:space="preserve">   AUTRES SACS; SACHETS, POCHETTES (AUTRES QUE CELLES POUR DISQUES) ET CORNETS</v>
      </c>
      <c r="C116" s="4">
        <v>1700</v>
      </c>
      <c r="D116" s="4">
        <v>1125245</v>
      </c>
    </row>
    <row r="117" spans="1:4" x14ac:dyDescent="0.25">
      <c r="A117" t="str">
        <f>T("   490199")</f>
        <v xml:space="preserve">   490199</v>
      </c>
      <c r="B117" t="str">
        <f>T("   AUTRES")</f>
        <v xml:space="preserve">   AUTRES</v>
      </c>
      <c r="C117" s="4">
        <v>20986</v>
      </c>
      <c r="D117" s="4">
        <v>54629773</v>
      </c>
    </row>
    <row r="118" spans="1:4" x14ac:dyDescent="0.25">
      <c r="A118" t="str">
        <f>T("   490600")</f>
        <v xml:space="preserve">   490600</v>
      </c>
      <c r="B118" t="str">
        <f>T("   PLANS ET DESSINS D'ARCHITECTES, D'INGENIEURS ET AUTRES PLANS ET DESSINS INDUSTRIELS, CO")</f>
        <v xml:space="preserve">   PLANS ET DESSINS D'ARCHITECTES, D'INGENIEURS ET AUTRES PLANS ET DESSINS INDUSTRIELS, CO</v>
      </c>
      <c r="C118" s="4">
        <v>245</v>
      </c>
      <c r="D118" s="4">
        <v>283801</v>
      </c>
    </row>
    <row r="119" spans="1:4" x14ac:dyDescent="0.25">
      <c r="A119" t="str">
        <f>T("   491110")</f>
        <v xml:space="preserve">   491110</v>
      </c>
      <c r="B119" t="str">
        <f>T("   IMPRIMES PUBLICITAIRES, CATALOGUES COMMERCIAUX ET SIMILAIRES")</f>
        <v xml:space="preserve">   IMPRIMES PUBLICITAIRES, CATALOGUES COMMERCIAUX ET SIMILAIRES</v>
      </c>
      <c r="C119" s="4">
        <v>680</v>
      </c>
      <c r="D119" s="4">
        <v>995793</v>
      </c>
    </row>
    <row r="120" spans="1:4" x14ac:dyDescent="0.25">
      <c r="A120" t="str">
        <f>T("   491199")</f>
        <v xml:space="preserve">   491199</v>
      </c>
      <c r="B120" t="str">
        <f>T("   AUTRES")</f>
        <v xml:space="preserve">   AUTRES</v>
      </c>
      <c r="C120" s="4">
        <v>22</v>
      </c>
      <c r="D120" s="4">
        <v>15500</v>
      </c>
    </row>
    <row r="121" spans="1:4" x14ac:dyDescent="0.25">
      <c r="A121" t="str">
        <f>T("   520852")</f>
        <v xml:space="preserve">   520852</v>
      </c>
      <c r="B121" t="str">
        <f>T("   A ARMURE TOILE, D'UN POIDS EXCEDANT 100 G/M²")</f>
        <v xml:space="preserve">   A ARMURE TOILE, D'UN POIDS EXCEDANT 100 G/M²</v>
      </c>
      <c r="C121" s="4">
        <v>10000</v>
      </c>
      <c r="D121" s="4">
        <v>10922992</v>
      </c>
    </row>
    <row r="122" spans="1:4" x14ac:dyDescent="0.25">
      <c r="A122" t="str">
        <f>T("   520859")</f>
        <v xml:space="preserve">   520859</v>
      </c>
      <c r="B122" t="str">
        <f>T("   AUTRES TISSUS")</f>
        <v xml:space="preserve">   AUTRES TISSUS</v>
      </c>
      <c r="C122" s="4">
        <v>110856</v>
      </c>
      <c r="D122" s="4">
        <v>71589842</v>
      </c>
    </row>
    <row r="123" spans="1:4" x14ac:dyDescent="0.25">
      <c r="A123" t="str">
        <f>T("   551329")</f>
        <v xml:space="preserve">   551329</v>
      </c>
      <c r="B123" t="str">
        <f>T("   AUTRES TISSUS")</f>
        <v xml:space="preserve">   AUTRES TISSUS</v>
      </c>
      <c r="C123" s="4">
        <v>150</v>
      </c>
      <c r="D123" s="4">
        <v>249500</v>
      </c>
    </row>
    <row r="124" spans="1:4" x14ac:dyDescent="0.25">
      <c r="A124" t="str">
        <f>T("   570390")</f>
        <v xml:space="preserve">   570390</v>
      </c>
      <c r="B124" t="str">
        <f>T("   D'AUTRES MATIERES TEXTILES")</f>
        <v xml:space="preserve">   D'AUTRES MATIERES TEXTILES</v>
      </c>
      <c r="C124" s="4">
        <v>21920</v>
      </c>
      <c r="D124" s="4">
        <v>6500000</v>
      </c>
    </row>
    <row r="125" spans="1:4" x14ac:dyDescent="0.25">
      <c r="A125" t="str">
        <f>T("   580219")</f>
        <v xml:space="preserve">   580219</v>
      </c>
      <c r="B125" t="str">
        <f>T("   AUTRES")</f>
        <v xml:space="preserve">   AUTRES</v>
      </c>
      <c r="C125" s="4">
        <v>20435</v>
      </c>
      <c r="D125" s="4">
        <v>10910433</v>
      </c>
    </row>
    <row r="126" spans="1:4" x14ac:dyDescent="0.25">
      <c r="A126" t="str">
        <f>T("   610910")</f>
        <v xml:space="preserve">   610910</v>
      </c>
      <c r="B126" t="str">
        <f>T("   DE COTON")</f>
        <v xml:space="preserve">   DE COTON</v>
      </c>
      <c r="C126" s="4">
        <v>90</v>
      </c>
      <c r="D126" s="4">
        <v>146587</v>
      </c>
    </row>
    <row r="127" spans="1:4" x14ac:dyDescent="0.25">
      <c r="A127" t="str">
        <f>T("   610990")</f>
        <v xml:space="preserve">   610990</v>
      </c>
      <c r="B127" t="str">
        <f>T("   D'AUTRES MATIERES TEXTILES")</f>
        <v xml:space="preserve">   D'AUTRES MATIERES TEXTILES</v>
      </c>
      <c r="C127" s="4">
        <v>32625</v>
      </c>
      <c r="D127" s="4">
        <v>7529901</v>
      </c>
    </row>
    <row r="128" spans="1:4" x14ac:dyDescent="0.25">
      <c r="A128" t="str">
        <f>T("   611610")</f>
        <v xml:space="preserve">   611610</v>
      </c>
      <c r="B128" t="str">
        <f>T("   IMPREGNES, ENDUITS OU RECOUVERTS DE MATIERES PLASTIQUES OU DE CAOUTCHOUC")</f>
        <v xml:space="preserve">   IMPREGNES, ENDUITS OU RECOUVERTS DE MATIERES PLASTIQUES OU DE CAOUTCHOUC</v>
      </c>
      <c r="C128" s="4">
        <v>91</v>
      </c>
      <c r="D128" s="4">
        <v>401687</v>
      </c>
    </row>
    <row r="129" spans="1:4" x14ac:dyDescent="0.25">
      <c r="A129" t="str">
        <f>T("   620342")</f>
        <v xml:space="preserve">   620342</v>
      </c>
      <c r="B129" t="str">
        <f>T("   DE COTON")</f>
        <v xml:space="preserve">   DE COTON</v>
      </c>
      <c r="C129" s="4">
        <v>31</v>
      </c>
      <c r="D129" s="4">
        <v>68988</v>
      </c>
    </row>
    <row r="130" spans="1:4" x14ac:dyDescent="0.25">
      <c r="A130" t="str">
        <f>T("   620343")</f>
        <v xml:space="preserve">   620343</v>
      </c>
      <c r="B130" t="str">
        <f>T("   DE FIBRES SYNTHETIQUES")</f>
        <v xml:space="preserve">   DE FIBRES SYNTHETIQUES</v>
      </c>
      <c r="C130" s="4">
        <v>100</v>
      </c>
      <c r="D130" s="4">
        <v>32798</v>
      </c>
    </row>
    <row r="131" spans="1:4" x14ac:dyDescent="0.25">
      <c r="A131" t="str">
        <f>T("   620590")</f>
        <v xml:space="preserve">   620590</v>
      </c>
      <c r="B131" t="str">
        <f>T("   D'AUTRES MATIERES TEXTILES")</f>
        <v xml:space="preserve">   D'AUTRES MATIERES TEXTILES</v>
      </c>
      <c r="C131" s="4">
        <v>3100</v>
      </c>
      <c r="D131" s="4">
        <v>2900000</v>
      </c>
    </row>
    <row r="132" spans="1:4" x14ac:dyDescent="0.25">
      <c r="A132" t="str">
        <f>T("   621040")</f>
        <v xml:space="preserve">   621040</v>
      </c>
      <c r="B132" t="str">
        <f>T("   AUTRES VETEMENTS POUR HOMMES OU GARCONNETS")</f>
        <v xml:space="preserve">   AUTRES VETEMENTS POUR HOMMES OU GARCONNETS</v>
      </c>
      <c r="C132" s="4">
        <v>36000</v>
      </c>
      <c r="D132" s="4">
        <v>13201535</v>
      </c>
    </row>
    <row r="133" spans="1:4" x14ac:dyDescent="0.25">
      <c r="A133" t="str">
        <f>T("   621050")</f>
        <v xml:space="preserve">   621050</v>
      </c>
      <c r="B133" t="str">
        <f>T("   AUTRES VETEMENTS POUR FEMMES OU FILLETTES")</f>
        <v xml:space="preserve">   AUTRES VETEMENTS POUR FEMMES OU FILLETTES</v>
      </c>
      <c r="C133" s="4">
        <v>126</v>
      </c>
      <c r="D133" s="4">
        <v>140033</v>
      </c>
    </row>
    <row r="134" spans="1:4" x14ac:dyDescent="0.25">
      <c r="A134" t="str">
        <f>T("   621133")</f>
        <v xml:space="preserve">   621133</v>
      </c>
      <c r="B134" t="str">
        <f>T("   DE FIBRES SYNTHETIQUES OU ARTIFICIELLES")</f>
        <v xml:space="preserve">   DE FIBRES SYNTHETIQUES OU ARTIFICIELLES</v>
      </c>
      <c r="C134" s="4">
        <v>189</v>
      </c>
      <c r="D134" s="4">
        <v>830332</v>
      </c>
    </row>
    <row r="135" spans="1:4" x14ac:dyDescent="0.25">
      <c r="A135" t="str">
        <f>T("   621490")</f>
        <v xml:space="preserve">   621490</v>
      </c>
      <c r="B135" t="str">
        <f>T("   D'AUTRES MATIERES TEXTILES")</f>
        <v xml:space="preserve">   D'AUTRES MATIERES TEXTILES</v>
      </c>
      <c r="C135" s="4">
        <v>1282</v>
      </c>
      <c r="D135" s="4">
        <v>667013</v>
      </c>
    </row>
    <row r="136" spans="1:4" x14ac:dyDescent="0.25">
      <c r="A136" t="str">
        <f>T("   630190")</f>
        <v xml:space="preserve">   630190</v>
      </c>
      <c r="B136" t="str">
        <f>T("   AUTRES COUVERTURES")</f>
        <v xml:space="preserve">   AUTRES COUVERTURES</v>
      </c>
      <c r="C136" s="4">
        <v>2000</v>
      </c>
      <c r="D136" s="4">
        <v>247305</v>
      </c>
    </row>
    <row r="137" spans="1:4" x14ac:dyDescent="0.25">
      <c r="A137" t="str">
        <f>T("   630231")</f>
        <v xml:space="preserve">   630231</v>
      </c>
      <c r="B137" t="str">
        <f>T("   DE COTON")</f>
        <v xml:space="preserve">   DE COTON</v>
      </c>
      <c r="C137" s="4">
        <v>100</v>
      </c>
      <c r="D137" s="4">
        <v>301741</v>
      </c>
    </row>
    <row r="138" spans="1:4" x14ac:dyDescent="0.25">
      <c r="A138" t="str">
        <f>T("   630319")</f>
        <v xml:space="preserve">   630319</v>
      </c>
      <c r="B138" t="str">
        <f>T("   D'AUTRES MATIERES TEXTILES")</f>
        <v xml:space="preserve">   D'AUTRES MATIERES TEXTILES</v>
      </c>
      <c r="C138" s="4">
        <v>4000</v>
      </c>
      <c r="D138" s="4">
        <v>2004689</v>
      </c>
    </row>
    <row r="139" spans="1:4" x14ac:dyDescent="0.25">
      <c r="A139" t="str">
        <f>T("   630533")</f>
        <v xml:space="preserve">   630533</v>
      </c>
      <c r="B139" t="str">
        <f>T("   AUTRES, OBTENUES A PARTIR DE LAMES OU FORMES SIMILAIRES DE POLYETHYLENE OU DE POLYPR")</f>
        <v xml:space="preserve">   AUTRES, OBTENUES A PARTIR DE LAMES OU FORMES SIMILAIRES DE POLYETHYLENE OU DE POLYPR</v>
      </c>
      <c r="C139" s="4">
        <v>1700</v>
      </c>
      <c r="D139" s="4">
        <v>989200</v>
      </c>
    </row>
    <row r="140" spans="1:4" x14ac:dyDescent="0.25">
      <c r="A140" t="str">
        <f>T("   630691")</f>
        <v xml:space="preserve">   630691</v>
      </c>
      <c r="B140" t="str">
        <f>T("   AUTRES ARTICLES DU N. 63.06 DE COTON")</f>
        <v xml:space="preserve">   AUTRES ARTICLES DU N. 63.06 DE COTON</v>
      </c>
      <c r="C140" s="4">
        <v>2200</v>
      </c>
      <c r="D140" s="4">
        <v>562060</v>
      </c>
    </row>
    <row r="141" spans="1:4" x14ac:dyDescent="0.25">
      <c r="A141" t="str">
        <f>T("   630900")</f>
        <v xml:space="preserve">   630900</v>
      </c>
      <c r="B141" t="str">
        <f>T("   ARTICLES DE FRIPERIE.")</f>
        <v xml:space="preserve">   ARTICLES DE FRIPERIE.</v>
      </c>
      <c r="C141" s="4">
        <v>124663</v>
      </c>
      <c r="D141" s="4">
        <v>65636270</v>
      </c>
    </row>
    <row r="142" spans="1:4" x14ac:dyDescent="0.25">
      <c r="A142" t="str">
        <f>T("   640340")</f>
        <v xml:space="preserve">   640340</v>
      </c>
      <c r="B142" t="str">
        <f>T("   AUTRES CHAUSSURES, COMPORTANT, A L'AVANT, UNE COQUILLE DE PROTECTION EN METAL")</f>
        <v xml:space="preserve">   AUTRES CHAUSSURES, COMPORTANT, A L'AVANT, UNE COQUILLE DE PROTECTION EN METAL</v>
      </c>
      <c r="C142" s="4">
        <v>2194</v>
      </c>
      <c r="D142" s="4">
        <v>9650629</v>
      </c>
    </row>
    <row r="143" spans="1:4" x14ac:dyDescent="0.25">
      <c r="A143" t="str">
        <f>T("   640590")</f>
        <v xml:space="preserve">   640590</v>
      </c>
      <c r="B143" t="str">
        <f>T("   AUTRES")</f>
        <v xml:space="preserve">   AUTRES</v>
      </c>
      <c r="C143" s="4">
        <v>90</v>
      </c>
      <c r="D143" s="4">
        <v>95000</v>
      </c>
    </row>
    <row r="144" spans="1:4" x14ac:dyDescent="0.25">
      <c r="A144" t="str">
        <f>T("   650610")</f>
        <v xml:space="preserve">   650610</v>
      </c>
      <c r="B144" t="str">
        <f>T("   COIFFURES DE SECURITE")</f>
        <v xml:space="preserve">   COIFFURES DE SECURITE</v>
      </c>
      <c r="C144" s="4">
        <v>1108</v>
      </c>
      <c r="D144" s="4">
        <v>4873361</v>
      </c>
    </row>
    <row r="145" spans="1:4" x14ac:dyDescent="0.25">
      <c r="A145" t="str">
        <f>T("   690790")</f>
        <v xml:space="preserve">   690790</v>
      </c>
      <c r="B145" t="str">
        <f>T("   AUTRES")</f>
        <v xml:space="preserve">   AUTRES</v>
      </c>
      <c r="C145" s="4">
        <v>664667</v>
      </c>
      <c r="D145" s="4">
        <v>77237651</v>
      </c>
    </row>
    <row r="146" spans="1:4" x14ac:dyDescent="0.25">
      <c r="A146" t="str">
        <f>T("   690810")</f>
        <v xml:space="preserve">   690810</v>
      </c>
      <c r="B146" t="str">
        <f>T("   CARREAUX, CUBES, DES ET ARTICLES SIMILAIRES, MEME DE FORME AUTRE QUE CARREE OU RECTAN")</f>
        <v xml:space="preserve">   CARREAUX, CUBES, DES ET ARTICLES SIMILAIRES, MEME DE FORME AUTRE QUE CARREE OU RECTAN</v>
      </c>
      <c r="C146" s="4">
        <v>63095</v>
      </c>
      <c r="D146" s="4">
        <v>15287000</v>
      </c>
    </row>
    <row r="147" spans="1:4" x14ac:dyDescent="0.25">
      <c r="A147" t="str">
        <f>T("   690890")</f>
        <v xml:space="preserve">   690890</v>
      </c>
      <c r="B147" t="str">
        <f>T("   AUTRES")</f>
        <v xml:space="preserve">   AUTRES</v>
      </c>
      <c r="C147" s="4">
        <v>3363133</v>
      </c>
      <c r="D147" s="4">
        <v>354675393</v>
      </c>
    </row>
    <row r="148" spans="1:4" x14ac:dyDescent="0.25">
      <c r="A148" t="str">
        <f>T("   691090")</f>
        <v xml:space="preserve">   691090</v>
      </c>
      <c r="B148" t="str">
        <f>T("   AUTRES")</f>
        <v xml:space="preserve">   AUTRES</v>
      </c>
      <c r="C148" s="4">
        <v>164103</v>
      </c>
      <c r="D148" s="4">
        <v>57536543</v>
      </c>
    </row>
    <row r="149" spans="1:4" x14ac:dyDescent="0.25">
      <c r="A149" t="str">
        <f>T("   691110")</f>
        <v xml:space="preserve">   691110</v>
      </c>
      <c r="B149" t="str">
        <f>T("   ARTICLES POUR LE SERVICE DE LA TABLE OU DE LA CUISINE")</f>
        <v xml:space="preserve">   ARTICLES POUR LE SERVICE DE LA TABLE OU DE LA CUISINE</v>
      </c>
      <c r="C149" s="4">
        <v>3420</v>
      </c>
      <c r="D149" s="4">
        <v>436920</v>
      </c>
    </row>
    <row r="150" spans="1:4" x14ac:dyDescent="0.25">
      <c r="A150" t="str">
        <f>T("   691200")</f>
        <v xml:space="preserve">   691200</v>
      </c>
      <c r="B150" t="str">
        <f>T("   VAISSELLE, AUTRES ARTICLES DE MENAGE OU D'ECONOMIE DOMESTIQUE ET ARTICLES D'HYGIENE OU")</f>
        <v xml:space="preserve">   VAISSELLE, AUTRES ARTICLES DE MENAGE OU D'ECONOMIE DOMESTIQUE ET ARTICLES D'HYGIENE OU</v>
      </c>
      <c r="C150" s="4">
        <v>13102</v>
      </c>
      <c r="D150" s="4">
        <v>9830700</v>
      </c>
    </row>
    <row r="151" spans="1:4" x14ac:dyDescent="0.25">
      <c r="A151" t="str">
        <f>T("   691390")</f>
        <v xml:space="preserve">   691390</v>
      </c>
      <c r="B151" t="str">
        <f>T("   AUTRES")</f>
        <v xml:space="preserve">   AUTRES</v>
      </c>
      <c r="C151" s="4">
        <v>1000</v>
      </c>
      <c r="D151" s="4">
        <v>449650</v>
      </c>
    </row>
    <row r="152" spans="1:4" x14ac:dyDescent="0.25">
      <c r="A152" t="str">
        <f>T("   691490")</f>
        <v xml:space="preserve">   691490</v>
      </c>
      <c r="B152" t="str">
        <f>T("   AUTRES")</f>
        <v xml:space="preserve">   AUTRES</v>
      </c>
      <c r="C152" s="4">
        <v>24620</v>
      </c>
      <c r="D152" s="4">
        <v>5449970</v>
      </c>
    </row>
    <row r="153" spans="1:4" x14ac:dyDescent="0.25">
      <c r="A153" t="str">
        <f>T("   720430")</f>
        <v xml:space="preserve">   720430</v>
      </c>
      <c r="B153" t="str">
        <f>T("   Dechets et debris de fer ou d'acier etames")</f>
        <v xml:space="preserve">   Dechets et debris de fer ou d'acier etames</v>
      </c>
      <c r="C153" s="4">
        <v>20200</v>
      </c>
      <c r="D153" s="4">
        <v>1025000</v>
      </c>
    </row>
    <row r="154" spans="1:4" x14ac:dyDescent="0.25">
      <c r="A154" t="str">
        <f>T("   730830")</f>
        <v xml:space="preserve">   730830</v>
      </c>
      <c r="B154" t="str">
        <f>T("   PORTES, FENETRES ET LEURS CADRES ET CHAMBRANLES ET SEUILS")</f>
        <v xml:space="preserve">   PORTES, FENETRES ET LEURS CADRES ET CHAMBRANLES ET SEUILS</v>
      </c>
      <c r="C154" s="4">
        <v>5135</v>
      </c>
      <c r="D154" s="4">
        <v>167270</v>
      </c>
    </row>
    <row r="155" spans="1:4" x14ac:dyDescent="0.25">
      <c r="A155" t="str">
        <f>T("   730890")</f>
        <v xml:space="preserve">   730890</v>
      </c>
      <c r="B155" t="str">
        <f>T("   AUTRES")</f>
        <v xml:space="preserve">   AUTRES</v>
      </c>
      <c r="C155" s="4">
        <v>798043</v>
      </c>
      <c r="D155" s="4">
        <v>530250745</v>
      </c>
    </row>
    <row r="156" spans="1:4" x14ac:dyDescent="0.25">
      <c r="A156" t="str">
        <f>T("   732090")</f>
        <v xml:space="preserve">   732090</v>
      </c>
      <c r="B156" t="str">
        <f>T("   AUTRES")</f>
        <v xml:space="preserve">   AUTRES</v>
      </c>
      <c r="C156" s="4">
        <v>3705</v>
      </c>
      <c r="D156" s="4">
        <v>2384847</v>
      </c>
    </row>
    <row r="157" spans="1:4" x14ac:dyDescent="0.25">
      <c r="A157" t="str">
        <f>T("   732394")</f>
        <v xml:space="preserve">   732394</v>
      </c>
      <c r="B157" t="str">
        <f>T("   EN FER OU EN ACIER, EMAILLES")</f>
        <v xml:space="preserve">   EN FER OU EN ACIER, EMAILLES</v>
      </c>
      <c r="C157" s="4">
        <v>8429</v>
      </c>
      <c r="D157" s="4">
        <v>8746526</v>
      </c>
    </row>
    <row r="158" spans="1:4" x14ac:dyDescent="0.25">
      <c r="A158" t="str">
        <f>T("   732399")</f>
        <v xml:space="preserve">   732399</v>
      </c>
      <c r="B158" t="str">
        <f>T("   AUTRES")</f>
        <v xml:space="preserve">   AUTRES</v>
      </c>
      <c r="C158" s="4">
        <v>31678</v>
      </c>
      <c r="D158" s="4">
        <v>14044262</v>
      </c>
    </row>
    <row r="159" spans="1:4" x14ac:dyDescent="0.25">
      <c r="A159" t="str">
        <f>T("   732591")</f>
        <v xml:space="preserve">   732591</v>
      </c>
      <c r="B159" t="str">
        <f>T("   BOULETS ET ARTICLES SIMILAIRES POUR BROYEURS")</f>
        <v xml:space="preserve">   BOULETS ET ARTICLES SIMILAIRES POUR BROYEURS</v>
      </c>
      <c r="C159" s="4">
        <v>230</v>
      </c>
      <c r="D159" s="4">
        <v>3800092</v>
      </c>
    </row>
    <row r="160" spans="1:4" x14ac:dyDescent="0.25">
      <c r="A160" t="str">
        <f>T("   732690")</f>
        <v xml:space="preserve">   732690</v>
      </c>
      <c r="B160" t="str">
        <f>T("   AUTRES")</f>
        <v xml:space="preserve">   AUTRES</v>
      </c>
      <c r="C160" s="4">
        <v>3107.3</v>
      </c>
      <c r="D160" s="4">
        <v>4679053</v>
      </c>
    </row>
    <row r="161" spans="1:4" x14ac:dyDescent="0.25">
      <c r="A161" t="str">
        <f>T("   761519")</f>
        <v xml:space="preserve">   761519</v>
      </c>
      <c r="B161" t="str">
        <f>T("   AUTRES ARTICLES DE MENAGES OU D'ECONOMIE DOMESTIQUE EN ALUMINIUM")</f>
        <v xml:space="preserve">   AUTRES ARTICLES DE MENAGES OU D'ECONOMIE DOMESTIQUE EN ALUMINIUM</v>
      </c>
      <c r="C161" s="4">
        <v>500</v>
      </c>
      <c r="D161" s="4">
        <v>205000</v>
      </c>
    </row>
    <row r="162" spans="1:4" x14ac:dyDescent="0.25">
      <c r="A162" t="str">
        <f>T("   761699")</f>
        <v xml:space="preserve">   761699</v>
      </c>
      <c r="B162" t="str">
        <f>T("   AUTRES")</f>
        <v xml:space="preserve">   AUTRES</v>
      </c>
      <c r="C162" s="4">
        <v>5260.05</v>
      </c>
      <c r="D162" s="4">
        <v>546431</v>
      </c>
    </row>
    <row r="163" spans="1:4" x14ac:dyDescent="0.25">
      <c r="A163" t="str">
        <f>T("   820110")</f>
        <v xml:space="preserve">   820110</v>
      </c>
      <c r="B163" t="str">
        <f>T("   Beches et pelles")</f>
        <v xml:space="preserve">   Beches et pelles</v>
      </c>
      <c r="C163" s="4">
        <v>21500</v>
      </c>
      <c r="D163" s="4">
        <v>2621517</v>
      </c>
    </row>
    <row r="164" spans="1:4" x14ac:dyDescent="0.25">
      <c r="A164" t="str">
        <f>T("   820299")</f>
        <v xml:space="preserve">   820299</v>
      </c>
      <c r="B164" t="str">
        <f>T("   AUTRES")</f>
        <v xml:space="preserve">   AUTRES</v>
      </c>
      <c r="C164" s="4">
        <v>15644</v>
      </c>
      <c r="D164" s="4">
        <v>4012422</v>
      </c>
    </row>
    <row r="165" spans="1:4" x14ac:dyDescent="0.25">
      <c r="A165" t="str">
        <f>T("   820310")</f>
        <v xml:space="preserve">   820310</v>
      </c>
      <c r="B165" t="str">
        <f>T("   LIMES, RAPES ET OUTILS SIMILAIRES")</f>
        <v xml:space="preserve">   LIMES, RAPES ET OUTILS SIMILAIRES</v>
      </c>
      <c r="C165" s="4">
        <v>16000</v>
      </c>
      <c r="D165" s="4">
        <v>5461523</v>
      </c>
    </row>
    <row r="166" spans="1:4" x14ac:dyDescent="0.25">
      <c r="A166" t="str">
        <f>T("   820559")</f>
        <v xml:space="preserve">   820559</v>
      </c>
      <c r="B166" t="str">
        <f>T("   AUTRES")</f>
        <v xml:space="preserve">   AUTRES</v>
      </c>
      <c r="C166" s="4">
        <v>10320</v>
      </c>
      <c r="D166" s="4">
        <v>1747679</v>
      </c>
    </row>
    <row r="167" spans="1:4" x14ac:dyDescent="0.25">
      <c r="A167" t="str">
        <f>T("   821220")</f>
        <v xml:space="preserve">   821220</v>
      </c>
      <c r="B167" t="str">
        <f>T("   LAMES DE RASOIRS DE SURETE, Y COMPRIS LES EBAUCHES EN BANDES")</f>
        <v xml:space="preserve">   LAMES DE RASOIRS DE SURETE, Y COMPRIS LES EBAUCHES EN BANDES</v>
      </c>
      <c r="C167" s="4">
        <v>15665</v>
      </c>
      <c r="D167" s="4">
        <v>5875000</v>
      </c>
    </row>
    <row r="168" spans="1:4" x14ac:dyDescent="0.25">
      <c r="A168" t="str">
        <f>T("   830140")</f>
        <v xml:space="preserve">   830140</v>
      </c>
      <c r="B168" t="str">
        <f>T("   AUTRES SERRURES; VERROUS")</f>
        <v xml:space="preserve">   AUTRES SERRURES; VERROUS</v>
      </c>
      <c r="C168" s="4">
        <v>13000</v>
      </c>
      <c r="D168" s="4">
        <v>10923046</v>
      </c>
    </row>
    <row r="169" spans="1:4" x14ac:dyDescent="0.25">
      <c r="A169" t="str">
        <f>T("   840999")</f>
        <v xml:space="preserve">   840999</v>
      </c>
      <c r="B169" t="str">
        <f>T("   AUTRES")</f>
        <v xml:space="preserve">   AUTRES</v>
      </c>
      <c r="C169" s="4">
        <v>142</v>
      </c>
      <c r="D169" s="4">
        <v>7870917</v>
      </c>
    </row>
    <row r="170" spans="1:4" x14ac:dyDescent="0.25">
      <c r="A170" t="str">
        <f>T("   841090")</f>
        <v xml:space="preserve">   841090</v>
      </c>
      <c r="B170" t="str">
        <f>T("   PARTIES, Y COMPRIS LES REGULATEURS")</f>
        <v xml:space="preserve">   PARTIES, Y COMPRIS LES REGULATEURS</v>
      </c>
      <c r="C170" s="4">
        <v>2000</v>
      </c>
      <c r="D170" s="4">
        <v>1493688</v>
      </c>
    </row>
    <row r="171" spans="1:4" x14ac:dyDescent="0.25">
      <c r="A171" t="str">
        <f>T("   841451")</f>
        <v xml:space="preserve">   841451</v>
      </c>
      <c r="B171" t="str">
        <f>T("   VENTILATEURS DE TABLE, DE SOL, MURAUX, PLAFONNIERS, DE TOITURES OU DE FENETRES, A MO")</f>
        <v xml:space="preserve">   VENTILATEURS DE TABLE, DE SOL, MURAUX, PLAFONNIERS, DE TOITURES OU DE FENETRES, A MO</v>
      </c>
      <c r="C171" s="4">
        <v>940</v>
      </c>
      <c r="D171" s="4">
        <v>1426830</v>
      </c>
    </row>
    <row r="172" spans="1:4" x14ac:dyDescent="0.25">
      <c r="A172" t="str">
        <f>T("   841459")</f>
        <v xml:space="preserve">   841459</v>
      </c>
      <c r="B172" t="str">
        <f>T("   AUTRES")</f>
        <v xml:space="preserve">   AUTRES</v>
      </c>
      <c r="C172" s="4">
        <v>14017</v>
      </c>
      <c r="D172" s="4">
        <v>2184768</v>
      </c>
    </row>
    <row r="173" spans="1:4" x14ac:dyDescent="0.25">
      <c r="A173" t="str">
        <f>T("   841510")</f>
        <v xml:space="preserve">   841510</v>
      </c>
      <c r="B173" t="str">
        <f>T("   DU TYPE MURAL OU POUR FENETRES, FORMANT UN SEUL CORPS OU DU TYPE «SPLITSYSTEM» (SYST")</f>
        <v xml:space="preserve">   DU TYPE MURAL OU POUR FENETRES, FORMANT UN SEUL CORPS OU DU TYPE «SPLITSYSTEM» (SYST</v>
      </c>
      <c r="C173" s="4">
        <v>10252</v>
      </c>
      <c r="D173" s="4">
        <v>25225977</v>
      </c>
    </row>
    <row r="174" spans="1:4" x14ac:dyDescent="0.25">
      <c r="A174" t="str">
        <f>T("   841829")</f>
        <v xml:space="preserve">   841829</v>
      </c>
      <c r="B174" t="str">
        <f>T("   AUTRES")</f>
        <v xml:space="preserve">   AUTRES</v>
      </c>
      <c r="C174" s="4">
        <v>29510</v>
      </c>
      <c r="D174" s="4">
        <v>29969171</v>
      </c>
    </row>
    <row r="175" spans="1:4" x14ac:dyDescent="0.25">
      <c r="A175" t="str">
        <f>T("   842123")</f>
        <v xml:space="preserve">   842123</v>
      </c>
      <c r="B175" t="str">
        <f>T("   POUR LA FILTRATION DES HUILES MINERALES DANS LES MOTEURS A ALLUMAGE PAR ETINCELLES O")</f>
        <v xml:space="preserve">   POUR LA FILTRATION DES HUILES MINERALES DANS LES MOTEURS A ALLUMAGE PAR ETINCELLES O</v>
      </c>
      <c r="C175" s="4">
        <v>500</v>
      </c>
      <c r="D175" s="4">
        <v>550000</v>
      </c>
    </row>
    <row r="176" spans="1:4" x14ac:dyDescent="0.25">
      <c r="A176" t="str">
        <f>T("   842191")</f>
        <v xml:space="preserve">   842191</v>
      </c>
      <c r="B176" t="str">
        <f>T("   DE CENTRIFUGEUSES, Y COMPRIS D'ESSOREUSES CENTRIFUGES")</f>
        <v xml:space="preserve">   DE CENTRIFUGEUSES, Y COMPRIS D'ESSOREUSES CENTRIFUGES</v>
      </c>
      <c r="C176" s="4">
        <v>418</v>
      </c>
      <c r="D176" s="4">
        <v>1295998</v>
      </c>
    </row>
    <row r="177" spans="1:4" x14ac:dyDescent="0.25">
      <c r="A177" t="str">
        <f>T("   842790")</f>
        <v xml:space="preserve">   842790</v>
      </c>
      <c r="B177" t="str">
        <f>T("   AUTRES CHARIOTS")</f>
        <v xml:space="preserve">   AUTRES CHARIOTS</v>
      </c>
      <c r="C177" s="4">
        <v>9061</v>
      </c>
      <c r="D177" s="4">
        <v>64726480</v>
      </c>
    </row>
    <row r="178" spans="1:4" x14ac:dyDescent="0.25">
      <c r="A178" t="str">
        <f>T("   842919")</f>
        <v xml:space="preserve">   842919</v>
      </c>
      <c r="B178" t="str">
        <f>T("   AUTRES")</f>
        <v xml:space="preserve">   AUTRES</v>
      </c>
      <c r="C178" s="4">
        <v>21200</v>
      </c>
      <c r="D178" s="4">
        <v>101720153</v>
      </c>
    </row>
    <row r="179" spans="1:4" x14ac:dyDescent="0.25">
      <c r="A179" t="str">
        <f>T("   842920")</f>
        <v xml:space="preserve">   842920</v>
      </c>
      <c r="B179" t="str">
        <f>T("   NIVELEUSES")</f>
        <v xml:space="preserve">   NIVELEUSES</v>
      </c>
      <c r="C179" s="4">
        <v>33800</v>
      </c>
      <c r="D179" s="4">
        <v>170947513</v>
      </c>
    </row>
    <row r="180" spans="1:4" x14ac:dyDescent="0.25">
      <c r="A180" t="str">
        <f>T("   842951")</f>
        <v xml:space="preserve">   842951</v>
      </c>
      <c r="B180" t="str">
        <f>T("   CHARGEUSES ET CHARGEUSESPELLETEUSES A CHARGEMENT FRONTAL")</f>
        <v xml:space="preserve">   CHARGEUSES ET CHARGEUSESPELLETEUSES A CHARGEMENT FRONTAL</v>
      </c>
      <c r="C180" s="4">
        <v>87471</v>
      </c>
      <c r="D180" s="4">
        <v>276592323</v>
      </c>
    </row>
    <row r="181" spans="1:4" x14ac:dyDescent="0.25">
      <c r="A181" t="str">
        <f>T("   842959")</f>
        <v xml:space="preserve">   842959</v>
      </c>
      <c r="B181" t="str">
        <f>T("   AUTRES")</f>
        <v xml:space="preserve">   AUTRES</v>
      </c>
      <c r="C181" s="4">
        <v>304714</v>
      </c>
      <c r="D181" s="4">
        <v>852317875</v>
      </c>
    </row>
    <row r="182" spans="1:4" x14ac:dyDescent="0.25">
      <c r="A182" t="str">
        <f>T("   843780")</f>
        <v xml:space="preserve">   843780</v>
      </c>
      <c r="B182" t="str">
        <f>T("   AUTRES MACHINES ET APPAREILS")</f>
        <v xml:space="preserve">   AUTRES MACHINES ET APPAREILS</v>
      </c>
      <c r="C182" s="4">
        <v>39270</v>
      </c>
      <c r="D182" s="4">
        <v>983963983</v>
      </c>
    </row>
    <row r="183" spans="1:4" x14ac:dyDescent="0.25">
      <c r="A183" t="str">
        <f>T("   843860")</f>
        <v xml:space="preserve">   843860</v>
      </c>
      <c r="B183" t="str">
        <f>T("   MACHINES ET APPAREILS POUR LA PREPARATION DES FRUITS OU DES LEGUMES")</f>
        <v xml:space="preserve">   MACHINES ET APPAREILS POUR LA PREPARATION DES FRUITS OU DES LEGUMES</v>
      </c>
      <c r="C183" s="4">
        <v>63550</v>
      </c>
      <c r="D183" s="4">
        <v>425514120</v>
      </c>
    </row>
    <row r="184" spans="1:4" x14ac:dyDescent="0.25">
      <c r="A184" t="str">
        <f>T("   844317")</f>
        <v xml:space="preserve">   844317</v>
      </c>
      <c r="B184" t="str">
        <f>T("   MACHINES ET APPAREILS A IMPRIMER, HELIOGRAPHIQUES")</f>
        <v xml:space="preserve">   MACHINES ET APPAREILS A IMPRIMER, HELIOGRAPHIQUES</v>
      </c>
      <c r="C184" s="4">
        <v>1640</v>
      </c>
      <c r="D184" s="4">
        <v>4278171</v>
      </c>
    </row>
    <row r="185" spans="1:4" x14ac:dyDescent="0.25">
      <c r="A185" t="str">
        <f>T("   844331")</f>
        <v xml:space="preserve">   844331</v>
      </c>
      <c r="B185" t="str">
        <f>T("   MACHINES QUI ASSURENT AU MOINS DEUX DES FONCTIONS SUIVANTES : IMPRESSION, COPIE OU T")</f>
        <v xml:space="preserve">   MACHINES QUI ASSURENT AU MOINS DEUX DES FONCTIONS SUIVANTES : IMPRESSION, COPIE OU T</v>
      </c>
      <c r="C185" s="4">
        <v>2363</v>
      </c>
      <c r="D185" s="4">
        <v>6166680</v>
      </c>
    </row>
    <row r="186" spans="1:4" x14ac:dyDescent="0.25">
      <c r="A186" t="str">
        <f>T("   844339")</f>
        <v xml:space="preserve">   844339</v>
      </c>
      <c r="B186" t="str">
        <f>T("   AUTRES")</f>
        <v xml:space="preserve">   AUTRES</v>
      </c>
      <c r="C186" s="4">
        <v>3180</v>
      </c>
      <c r="D186" s="4">
        <v>9090431</v>
      </c>
    </row>
    <row r="187" spans="1:4" x14ac:dyDescent="0.25">
      <c r="A187" t="str">
        <f>T("   847010")</f>
        <v xml:space="preserve">   847010</v>
      </c>
      <c r="B187" t="str">
        <f>T("   CALCULATRICES ELECTRONIQUES POUVANT FONCTIONNER SANS SOURCE D'ENERGIE ELECTRIQUE EXTE")</f>
        <v xml:space="preserve">   CALCULATRICES ELECTRONIQUES POUVANT FONCTIONNER SANS SOURCE D'ENERGIE ELECTRIQUE EXTE</v>
      </c>
      <c r="C187" s="4">
        <v>213</v>
      </c>
      <c r="D187" s="4">
        <v>556255</v>
      </c>
    </row>
    <row r="188" spans="1:4" x14ac:dyDescent="0.25">
      <c r="A188" t="str">
        <f>T("   847030")</f>
        <v xml:space="preserve">   847030</v>
      </c>
      <c r="B188" t="str">
        <f>T("   AUTRES MACHINES A CALCULER")</f>
        <v xml:space="preserve">   AUTRES MACHINES A CALCULER</v>
      </c>
      <c r="C188" s="4">
        <v>472</v>
      </c>
      <c r="D188" s="4">
        <v>1347847</v>
      </c>
    </row>
    <row r="189" spans="1:4" x14ac:dyDescent="0.25">
      <c r="A189" t="str">
        <f>T("   847130")</f>
        <v xml:space="preserve">   847130</v>
      </c>
      <c r="B189" t="str">
        <f>T("   MACHINES AUTOMATIQUES DE TRAITEMENT DE L'INFORMATION PORTATIVES, D'UN POIDS N'EXCEDAN")</f>
        <v xml:space="preserve">   MACHINES AUTOMATIQUES DE TRAITEMENT DE L'INFORMATION PORTATIVES, D'UN POIDS N'EXCEDAN</v>
      </c>
      <c r="C189" s="4">
        <v>1284</v>
      </c>
      <c r="D189" s="4">
        <v>4895313</v>
      </c>
    </row>
    <row r="190" spans="1:4" x14ac:dyDescent="0.25">
      <c r="A190" t="str">
        <f>T("   847141")</f>
        <v xml:space="preserve">   847141</v>
      </c>
      <c r="B190" t="str">
        <f>T("   COMPORTANT, SOUS UNE MEME ENVELOPPE, AU MOINS UNE UNITE CENTRALE DE TRAITEMENT ET, Q")</f>
        <v xml:space="preserve">   COMPORTANT, SOUS UNE MEME ENVELOPPE, AU MOINS UNE UNITE CENTRALE DE TRAITEMENT ET, Q</v>
      </c>
      <c r="C190" s="4">
        <v>10000</v>
      </c>
      <c r="D190" s="4">
        <v>4300000</v>
      </c>
    </row>
    <row r="191" spans="1:4" x14ac:dyDescent="0.25">
      <c r="A191" t="str">
        <f>T("   847150")</f>
        <v xml:space="preserve">   847150</v>
      </c>
      <c r="B191" t="str">
        <f>T("   UNITES DE TRAITEMENT AUTRES QUE CELLES DES N°S 8471.41 OU 8471.49, POUVANT COMPORTER,")</f>
        <v xml:space="preserve">   UNITES DE TRAITEMENT AUTRES QUE CELLES DES N°S 8471.41 OU 8471.49, POUVANT COMPORTER,</v>
      </c>
      <c r="C191" s="4">
        <v>11</v>
      </c>
      <c r="D191" s="4">
        <v>1263162</v>
      </c>
    </row>
    <row r="192" spans="1:4" x14ac:dyDescent="0.25">
      <c r="A192" t="str">
        <f>T("   847180")</f>
        <v xml:space="preserve">   847180</v>
      </c>
      <c r="B192" t="str">
        <f>T("   AUTRES UNITES DE MACHINES AUTOMATIQUES DE TRAITEMENT DE L'INFORMATION")</f>
        <v xml:space="preserve">   AUTRES UNITES DE MACHINES AUTOMATIQUES DE TRAITEMENT DE L'INFORMATION</v>
      </c>
      <c r="C192" s="4">
        <v>24183</v>
      </c>
      <c r="D192" s="4">
        <v>24530682</v>
      </c>
    </row>
    <row r="193" spans="1:4" x14ac:dyDescent="0.25">
      <c r="A193" t="str">
        <f>T("   847190")</f>
        <v xml:space="preserve">   847190</v>
      </c>
      <c r="B193" t="str">
        <f>T("   AUTRES")</f>
        <v xml:space="preserve">   AUTRES</v>
      </c>
      <c r="C193" s="4">
        <v>19589</v>
      </c>
      <c r="D193" s="4">
        <v>53888971</v>
      </c>
    </row>
    <row r="194" spans="1:4" x14ac:dyDescent="0.25">
      <c r="A194" t="str">
        <f>T("   847330")</f>
        <v xml:space="preserve">   847330</v>
      </c>
      <c r="B194" t="str">
        <f>T("   PARTIES ET ACCESSOIRES DES MACHINES DU N° 84.71")</f>
        <v xml:space="preserve">   PARTIES ET ACCESSOIRES DES MACHINES DU N° 84.71</v>
      </c>
      <c r="C194" s="4">
        <v>312</v>
      </c>
      <c r="D194" s="4">
        <v>4725033</v>
      </c>
    </row>
    <row r="195" spans="1:4" x14ac:dyDescent="0.25">
      <c r="A195" t="str">
        <f>T("   847989")</f>
        <v xml:space="preserve">   847989</v>
      </c>
      <c r="B195" t="str">
        <f>T("   AUTRES")</f>
        <v xml:space="preserve">   AUTRES</v>
      </c>
      <c r="C195" s="4">
        <v>34346</v>
      </c>
      <c r="D195" s="4">
        <v>19915840</v>
      </c>
    </row>
    <row r="196" spans="1:4" x14ac:dyDescent="0.25">
      <c r="A196" t="str">
        <f>T("   848180")</f>
        <v xml:space="preserve">   848180</v>
      </c>
      <c r="B196" t="str">
        <f>T("   Autres articles de robinetterie et organes similaires")</f>
        <v xml:space="preserve">   Autres articles de robinetterie et organes similaires</v>
      </c>
      <c r="C196" s="4">
        <v>10000</v>
      </c>
      <c r="D196" s="4">
        <v>1476760</v>
      </c>
    </row>
    <row r="197" spans="1:4" x14ac:dyDescent="0.25">
      <c r="A197" t="str">
        <f>T("   850211")</f>
        <v xml:space="preserve">   850211</v>
      </c>
      <c r="B197" t="str">
        <f>T("   D'UNE PUISSANCE N'EXCEDANT PAS 75 KVA")</f>
        <v xml:space="preserve">   D'UNE PUISSANCE N'EXCEDANT PAS 75 KVA</v>
      </c>
      <c r="C197" s="4">
        <v>13351</v>
      </c>
      <c r="D197" s="4">
        <v>12522022</v>
      </c>
    </row>
    <row r="198" spans="1:4" x14ac:dyDescent="0.25">
      <c r="A198" t="str">
        <f>T("   850212")</f>
        <v xml:space="preserve">   850212</v>
      </c>
      <c r="B198" t="str">
        <f>T("   D'UNE PUISSANCE EXCEDANT 75 KVA MAIS N'EXCEDANT PAS 375 KVA")</f>
        <v xml:space="preserve">   D'UNE PUISSANCE EXCEDANT 75 KVA MAIS N'EXCEDANT PAS 375 KVA</v>
      </c>
      <c r="C198" s="4">
        <v>2515</v>
      </c>
      <c r="D198" s="4">
        <v>9588481</v>
      </c>
    </row>
    <row r="199" spans="1:4" x14ac:dyDescent="0.25">
      <c r="A199" t="str">
        <f>T("   850239")</f>
        <v xml:space="preserve">   850239</v>
      </c>
      <c r="B199" t="str">
        <f>T("   AUTRES")</f>
        <v xml:space="preserve">   AUTRES</v>
      </c>
      <c r="C199" s="4">
        <v>300</v>
      </c>
      <c r="D199" s="4">
        <v>405785</v>
      </c>
    </row>
    <row r="200" spans="1:4" x14ac:dyDescent="0.25">
      <c r="A200" t="str">
        <f>T("   850300")</f>
        <v xml:space="preserve">   850300</v>
      </c>
      <c r="B200" t="str">
        <f>T("   PARTIES RECONNAISSABLES COMME ETANT EXCLUSIVEMENT OU PRINCIPALEMENT DESTINEES AUX MACHI")</f>
        <v xml:space="preserve">   PARTIES RECONNAISSABLES COMME ETANT EXCLUSIVEMENT OU PRINCIPALEMENT DESTINEES AUX MACHI</v>
      </c>
      <c r="C200" s="4">
        <v>156</v>
      </c>
      <c r="D200" s="4">
        <v>205004</v>
      </c>
    </row>
    <row r="201" spans="1:4" x14ac:dyDescent="0.25">
      <c r="A201" t="str">
        <f>T("   850440")</f>
        <v xml:space="preserve">   850440</v>
      </c>
      <c r="B201" t="str">
        <f>T("   CONVERTISSEURS STATIQUES")</f>
        <v xml:space="preserve">   CONVERTISSEURS STATIQUES</v>
      </c>
      <c r="C201" s="4">
        <v>66</v>
      </c>
      <c r="D201" s="4">
        <v>607646</v>
      </c>
    </row>
    <row r="202" spans="1:4" x14ac:dyDescent="0.25">
      <c r="A202" t="str">
        <f>T("   850490")</f>
        <v xml:space="preserve">   850490</v>
      </c>
      <c r="B202" t="str">
        <f>T("   PARTIES")</f>
        <v xml:space="preserve">   PARTIES</v>
      </c>
      <c r="C202" s="4">
        <v>2.2999999999999998</v>
      </c>
      <c r="D202" s="4">
        <v>74032</v>
      </c>
    </row>
    <row r="203" spans="1:4" x14ac:dyDescent="0.25">
      <c r="A203" t="str">
        <f>T("   850680")</f>
        <v xml:space="preserve">   850680</v>
      </c>
      <c r="B203" t="str">
        <f>T("   AUTRES PILES ET BATTERIES DE PILES")</f>
        <v xml:space="preserve">   AUTRES PILES ET BATTERIES DE PILES</v>
      </c>
      <c r="C203" s="4">
        <v>11885</v>
      </c>
      <c r="D203" s="4">
        <v>12770433</v>
      </c>
    </row>
    <row r="204" spans="1:4" x14ac:dyDescent="0.25">
      <c r="A204" t="str">
        <f>T("   850780")</f>
        <v xml:space="preserve">   850780</v>
      </c>
      <c r="B204" t="str">
        <f>T("   AUTRES ACCUMULATEURS")</f>
        <v xml:space="preserve">   AUTRES ACCUMULATEURS</v>
      </c>
      <c r="C204" s="4">
        <v>53430</v>
      </c>
      <c r="D204" s="4">
        <v>21684865</v>
      </c>
    </row>
    <row r="205" spans="1:4" x14ac:dyDescent="0.25">
      <c r="A205" t="str">
        <f>T("   851310")</f>
        <v xml:space="preserve">   851310</v>
      </c>
      <c r="B205" t="str">
        <f>T("   LAMPES")</f>
        <v xml:space="preserve">   LAMPES</v>
      </c>
      <c r="C205" s="4">
        <v>191</v>
      </c>
      <c r="D205" s="4">
        <v>281311</v>
      </c>
    </row>
    <row r="206" spans="1:4" x14ac:dyDescent="0.25">
      <c r="A206" t="str">
        <f>T("   851610")</f>
        <v xml:space="preserve">   851610</v>
      </c>
      <c r="B206" t="str">
        <f>T("   CHAUFFEEAU ET THERMOPLONGEURS ELECTRIQUES")</f>
        <v xml:space="preserve">   CHAUFFEEAU ET THERMOPLONGEURS ELECTRIQUES</v>
      </c>
      <c r="C206" s="4">
        <v>3340</v>
      </c>
      <c r="D206" s="4">
        <v>5395261</v>
      </c>
    </row>
    <row r="207" spans="1:4" x14ac:dyDescent="0.25">
      <c r="A207" t="str">
        <f>T("   851640")</f>
        <v xml:space="preserve">   851640</v>
      </c>
      <c r="B207" t="str">
        <f>T("   Fers a repasser electriques")</f>
        <v xml:space="preserve">   Fers a repasser electriques</v>
      </c>
      <c r="C207" s="4">
        <v>320</v>
      </c>
      <c r="D207" s="4">
        <v>669079</v>
      </c>
    </row>
    <row r="208" spans="1:4" x14ac:dyDescent="0.25">
      <c r="A208" t="str">
        <f>T("   851679")</f>
        <v xml:space="preserve">   851679</v>
      </c>
      <c r="B208" t="str">
        <f>T("   AUTRES")</f>
        <v xml:space="preserve">   AUTRES</v>
      </c>
      <c r="C208" s="4">
        <v>43806</v>
      </c>
      <c r="D208" s="4">
        <v>11125000</v>
      </c>
    </row>
    <row r="209" spans="1:4" x14ac:dyDescent="0.25">
      <c r="A209" t="str">
        <f>T("   851712")</f>
        <v xml:space="preserve">   851712</v>
      </c>
      <c r="B209" t="str">
        <f>T("   TELEPHONES POUR RESEAUX CELLULAIRES ET POUR AUTRES RESEAUX SANS FIL")</f>
        <v xml:space="preserve">   TELEPHONES POUR RESEAUX CELLULAIRES ET POUR AUTRES RESEAUX SANS FIL</v>
      </c>
      <c r="C209" s="4">
        <v>710</v>
      </c>
      <c r="D209" s="4">
        <v>35434058</v>
      </c>
    </row>
    <row r="210" spans="1:4" x14ac:dyDescent="0.25">
      <c r="A210" t="str">
        <f>T("   851762")</f>
        <v xml:space="preserve">   851762</v>
      </c>
      <c r="B210" t="str">
        <f>T("   APPAREILS POUR LA RECEPTION, LA CONVERSION ET L'EMISSION, LA TRANSMISSION OU LA REGE")</f>
        <v xml:space="preserve">   APPAREILS POUR LA RECEPTION, LA CONVERSION ET L'EMISSION, LA TRANSMISSION OU LA REGE</v>
      </c>
      <c r="C210" s="4">
        <v>608</v>
      </c>
      <c r="D210" s="4">
        <v>21907424</v>
      </c>
    </row>
    <row r="211" spans="1:4" x14ac:dyDescent="0.25">
      <c r="A211" t="str">
        <f>T("   851769")</f>
        <v xml:space="preserve">   851769</v>
      </c>
      <c r="B211" t="str">
        <f>T("   AUTRES")</f>
        <v xml:space="preserve">   AUTRES</v>
      </c>
      <c r="C211" s="4">
        <v>27</v>
      </c>
      <c r="D211" s="4">
        <v>1251118</v>
      </c>
    </row>
    <row r="212" spans="1:4" x14ac:dyDescent="0.25">
      <c r="A212" t="str">
        <f>T("   851770")</f>
        <v xml:space="preserve">   851770</v>
      </c>
      <c r="B212" t="str">
        <f>T("   PARTIES")</f>
        <v xml:space="preserve">   PARTIES</v>
      </c>
      <c r="C212" s="4">
        <v>286.7</v>
      </c>
      <c r="D212" s="4">
        <v>3059529</v>
      </c>
    </row>
    <row r="213" spans="1:4" x14ac:dyDescent="0.25">
      <c r="A213" t="str">
        <f>T("   852352")</f>
        <v xml:space="preserve">   852352</v>
      </c>
      <c r="B213" t="str">
        <f>T("   «CARTES INTELLIGENTES»")</f>
        <v xml:space="preserve">   «CARTES INTELLIGENTES»</v>
      </c>
      <c r="C213" s="4">
        <v>5149</v>
      </c>
      <c r="D213" s="4">
        <v>190295851</v>
      </c>
    </row>
    <row r="214" spans="1:4" x14ac:dyDescent="0.25">
      <c r="A214" t="str">
        <f>T("   852550")</f>
        <v xml:space="preserve">   852550</v>
      </c>
      <c r="B214" t="str">
        <f>T("   APPAREILS D'EMISSION")</f>
        <v xml:space="preserve">   APPAREILS D'EMISSION</v>
      </c>
      <c r="C214" s="4">
        <v>17590</v>
      </c>
      <c r="D214" s="4">
        <v>34019694</v>
      </c>
    </row>
    <row r="215" spans="1:4" x14ac:dyDescent="0.25">
      <c r="A215" t="str">
        <f>T("   852810")</f>
        <v xml:space="preserve">   852810</v>
      </c>
      <c r="B215" t="str">
        <f>T("   RECEPTEURS TV COULEUR MEME AVEC ENREGISTREMENT,REPRODUCTION DES SON,IMAGES")</f>
        <v xml:space="preserve">   RECEPTEURS TV COULEUR MEME AVEC ENREGISTREMENT,REPRODUCTION DES SON,IMAGES</v>
      </c>
      <c r="C215" s="4">
        <v>100</v>
      </c>
      <c r="D215" s="4">
        <v>87000</v>
      </c>
    </row>
    <row r="216" spans="1:4" x14ac:dyDescent="0.25">
      <c r="A216" t="str">
        <f>T("   852849")</f>
        <v xml:space="preserve">   852849</v>
      </c>
      <c r="B216" t="str">
        <f>T("   AUTRES")</f>
        <v xml:space="preserve">   AUTRES</v>
      </c>
      <c r="C216" s="4">
        <v>9165</v>
      </c>
      <c r="D216" s="4">
        <v>5514092</v>
      </c>
    </row>
    <row r="217" spans="1:4" x14ac:dyDescent="0.25">
      <c r="A217" t="str">
        <f>T("   852859")</f>
        <v xml:space="preserve">   852859</v>
      </c>
      <c r="B217" t="str">
        <f>T("   AUTRES")</f>
        <v xml:space="preserve">   AUTRES</v>
      </c>
      <c r="C217" s="4">
        <v>500</v>
      </c>
      <c r="D217" s="4">
        <v>295423</v>
      </c>
    </row>
    <row r="218" spans="1:4" x14ac:dyDescent="0.25">
      <c r="A218" t="str">
        <f>T("   852871")</f>
        <v xml:space="preserve">   852871</v>
      </c>
      <c r="B218" t="str">
        <f>T("   NON CONCUS POUR INCORPORER UN DISPOSITIF D'AFFICHAGE OU UN ECRAN VIDEO")</f>
        <v xml:space="preserve">   NON CONCUS POUR INCORPORER UN DISPOSITIF D'AFFICHAGE OU UN ECRAN VIDEO</v>
      </c>
      <c r="C218" s="4">
        <v>640</v>
      </c>
      <c r="D218" s="4">
        <v>959446</v>
      </c>
    </row>
    <row r="219" spans="1:4" x14ac:dyDescent="0.25">
      <c r="A219" t="str">
        <f>T("   852873")</f>
        <v xml:space="preserve">   852873</v>
      </c>
      <c r="B219" t="str">
        <f>T("   AUTRES, EN MONOCHROMES")</f>
        <v xml:space="preserve">   AUTRES, EN MONOCHROMES</v>
      </c>
      <c r="C219" s="4">
        <v>26000</v>
      </c>
      <c r="D219" s="4">
        <v>2560679</v>
      </c>
    </row>
    <row r="220" spans="1:4" x14ac:dyDescent="0.25">
      <c r="A220" t="str">
        <f>T("   852990")</f>
        <v xml:space="preserve">   852990</v>
      </c>
      <c r="B220" t="str">
        <f>T("   AUTRES")</f>
        <v xml:space="preserve">   AUTRES</v>
      </c>
      <c r="C220" s="4">
        <v>5508</v>
      </c>
      <c r="D220" s="4">
        <v>17397557</v>
      </c>
    </row>
    <row r="221" spans="1:4" x14ac:dyDescent="0.25">
      <c r="A221" t="str">
        <f>T("   853180")</f>
        <v xml:space="preserve">   853180</v>
      </c>
      <c r="B221" t="str">
        <f>T("   AUTRES APPAREILS")</f>
        <v xml:space="preserve">   AUTRES APPAREILS</v>
      </c>
      <c r="C221" s="4">
        <v>4.3</v>
      </c>
      <c r="D221" s="4">
        <v>70000</v>
      </c>
    </row>
    <row r="222" spans="1:4" x14ac:dyDescent="0.25">
      <c r="A222" t="str">
        <f>T("   853339")</f>
        <v xml:space="preserve">   853339</v>
      </c>
      <c r="B222" t="str">
        <f>T("   AUTRES")</f>
        <v xml:space="preserve">   AUTRES</v>
      </c>
      <c r="C222" s="4">
        <v>37379</v>
      </c>
      <c r="D222" s="4">
        <v>13601722</v>
      </c>
    </row>
    <row r="223" spans="1:4" x14ac:dyDescent="0.25">
      <c r="A223" t="str">
        <f>T("   853650")</f>
        <v xml:space="preserve">   853650</v>
      </c>
      <c r="B223" t="str">
        <f>T("   AUTRES INTERRUPTEURS, SECTIONNEURS ET COMMUTATEURS")</f>
        <v xml:space="preserve">   AUTRES INTERRUPTEURS, SECTIONNEURS ET COMMUTATEURS</v>
      </c>
      <c r="C223" s="4">
        <v>3000</v>
      </c>
      <c r="D223" s="4">
        <v>4369350</v>
      </c>
    </row>
    <row r="224" spans="1:4" x14ac:dyDescent="0.25">
      <c r="A224" t="str">
        <f>T("   853690")</f>
        <v xml:space="preserve">   853690</v>
      </c>
      <c r="B224" t="str">
        <f>T("   AUTRES APPAREILS")</f>
        <v xml:space="preserve">   AUTRES APPAREILS</v>
      </c>
      <c r="C224" s="4">
        <v>4382.3</v>
      </c>
      <c r="D224" s="4">
        <v>10057333</v>
      </c>
    </row>
    <row r="225" spans="1:4" x14ac:dyDescent="0.25">
      <c r="A225" t="str">
        <f>T("   853939")</f>
        <v xml:space="preserve">   853939</v>
      </c>
      <c r="B225" t="str">
        <f>T("   AUTRES")</f>
        <v xml:space="preserve">   AUTRES</v>
      </c>
      <c r="C225" s="4">
        <v>1450</v>
      </c>
      <c r="D225" s="4">
        <v>202464</v>
      </c>
    </row>
    <row r="226" spans="1:4" x14ac:dyDescent="0.25">
      <c r="A226" t="str">
        <f>T("   854449")</f>
        <v xml:space="preserve">   854449</v>
      </c>
      <c r="B226" t="str">
        <f>T("   AUTRES")</f>
        <v xml:space="preserve">   AUTRES</v>
      </c>
      <c r="C226" s="4">
        <v>4500</v>
      </c>
      <c r="D226" s="4">
        <v>2103000</v>
      </c>
    </row>
    <row r="227" spans="1:4" x14ac:dyDescent="0.25">
      <c r="A227" t="str">
        <f>T("   854890")</f>
        <v xml:space="preserve">   854890</v>
      </c>
      <c r="B227" t="str">
        <f>T("   AUTRES")</f>
        <v xml:space="preserve">   AUTRES</v>
      </c>
      <c r="C227" s="4">
        <v>17</v>
      </c>
      <c r="D227" s="4">
        <v>450148</v>
      </c>
    </row>
    <row r="228" spans="1:4" x14ac:dyDescent="0.25">
      <c r="A228" t="str">
        <f>T("   870210")</f>
        <v xml:space="preserve">   870210</v>
      </c>
      <c r="B228" t="str">
        <f>T("   A MOTEUR A PISTON A ALLUMAGE PAR COMPRESSION (DIESEL OU SEMIDIESEL)")</f>
        <v xml:space="preserve">   A MOTEUR A PISTON A ALLUMAGE PAR COMPRESSION (DIESEL OU SEMIDIESEL)</v>
      </c>
      <c r="C228" s="4">
        <v>5690</v>
      </c>
      <c r="D228" s="4">
        <v>21205563</v>
      </c>
    </row>
    <row r="229" spans="1:4" x14ac:dyDescent="0.25">
      <c r="A229" t="str">
        <f>T("   870290")</f>
        <v xml:space="preserve">   870290</v>
      </c>
      <c r="B229" t="str">
        <f>T("   AUTRES")</f>
        <v xml:space="preserve">   AUTRES</v>
      </c>
      <c r="C229" s="4">
        <v>16450</v>
      </c>
      <c r="D229" s="4">
        <v>33889718</v>
      </c>
    </row>
    <row r="230" spans="1:4" x14ac:dyDescent="0.25">
      <c r="A230" t="str">
        <f>T("   870322")</f>
        <v xml:space="preserve">   870322</v>
      </c>
      <c r="B230" t="str">
        <f>T("   D’UNE CYLINDREE EXCEDANT 1.000 CM³ MAIS N’EXCEDANT PAS 1.500 CM³")</f>
        <v xml:space="preserve">   D’UNE CYLINDREE EXCEDANT 1.000 CM³ MAIS N’EXCEDANT PAS 1.500 CM³</v>
      </c>
      <c r="C230" s="4">
        <v>9770</v>
      </c>
      <c r="D230" s="4">
        <v>2588239</v>
      </c>
    </row>
    <row r="231" spans="1:4" x14ac:dyDescent="0.25">
      <c r="A231" t="str">
        <f>T("   870323")</f>
        <v xml:space="preserve">   870323</v>
      </c>
      <c r="B231" t="str">
        <f>T("   D’UNE CYLINDREE EXCEDANT 1.500 CM³ MAIS N’EXCEDANT PAS 3.000 CM³")</f>
        <v xml:space="preserve">   D’UNE CYLINDREE EXCEDANT 1.500 CM³ MAIS N’EXCEDANT PAS 3.000 CM³</v>
      </c>
      <c r="C231" s="4">
        <v>210930</v>
      </c>
      <c r="D231" s="4">
        <v>106476929</v>
      </c>
    </row>
    <row r="232" spans="1:4" x14ac:dyDescent="0.25">
      <c r="A232" t="str">
        <f>T("   870324")</f>
        <v xml:space="preserve">   870324</v>
      </c>
      <c r="B232" t="str">
        <f>T("   D’UNE CYLINDREE EXCEDANT 3.000 CM³")</f>
        <v xml:space="preserve">   D’UNE CYLINDREE EXCEDANT 3.000 CM³</v>
      </c>
      <c r="C232" s="4">
        <v>43404</v>
      </c>
      <c r="D232" s="4">
        <v>256516213</v>
      </c>
    </row>
    <row r="233" spans="1:4" x14ac:dyDescent="0.25">
      <c r="A233" t="str">
        <f>T("   870332")</f>
        <v xml:space="preserve">   870332</v>
      </c>
      <c r="B233" t="str">
        <f>T("   D'UNE CYLINDREE EXCEDANT 1.500 CM³ MAIS N'EXCEDANT PAS 2.500 CM³")</f>
        <v xml:space="preserve">   D'UNE CYLINDREE EXCEDANT 1.500 CM³ MAIS N'EXCEDANT PAS 2.500 CM³</v>
      </c>
      <c r="C233" s="4">
        <v>17956</v>
      </c>
      <c r="D233" s="4">
        <v>197984795</v>
      </c>
    </row>
    <row r="234" spans="1:4" x14ac:dyDescent="0.25">
      <c r="A234" t="str">
        <f>T("   870333")</f>
        <v xml:space="preserve">   870333</v>
      </c>
      <c r="B234" t="str">
        <f>T("   D'UNE CYLINDREE EXCEDANT 2.500 CM³")</f>
        <v xml:space="preserve">   D'UNE CYLINDREE EXCEDANT 2.500 CM³</v>
      </c>
      <c r="C234" s="4">
        <v>11300</v>
      </c>
      <c r="D234" s="4">
        <v>32530663</v>
      </c>
    </row>
    <row r="235" spans="1:4" x14ac:dyDescent="0.25">
      <c r="A235" t="str">
        <f>T("   870421")</f>
        <v xml:space="preserve">   870421</v>
      </c>
      <c r="B235" t="str">
        <f>T("   D'UN POIDS EN CHARGE MAXIMAL N'EXCEDANT PAS 5 TONNES")</f>
        <v xml:space="preserve">   D'UN POIDS EN CHARGE MAXIMAL N'EXCEDANT PAS 5 TONNES</v>
      </c>
      <c r="C235" s="4">
        <v>73289</v>
      </c>
      <c r="D235" s="4">
        <v>621015977</v>
      </c>
    </row>
    <row r="236" spans="1:4" x14ac:dyDescent="0.25">
      <c r="A236" t="str">
        <f>T("   870422")</f>
        <v xml:space="preserve">   870422</v>
      </c>
      <c r="B236" t="str">
        <f>T("   D'UN POIDS EN CHARGE MAXIMAL EXCEDANT 5 TONNES MAIS N'EXCEDANT PAS 20 TONNES")</f>
        <v xml:space="preserve">   D'UN POIDS EN CHARGE MAXIMAL EXCEDANT 5 TONNES MAIS N'EXCEDANT PAS 20 TONNES</v>
      </c>
      <c r="C236" s="4">
        <v>2670</v>
      </c>
      <c r="D236" s="4">
        <v>11675661</v>
      </c>
    </row>
    <row r="237" spans="1:4" x14ac:dyDescent="0.25">
      <c r="A237" t="str">
        <f>T("   870431")</f>
        <v xml:space="preserve">   870431</v>
      </c>
      <c r="B237" t="str">
        <f>T("   D'UN POIDS EN CHARGE MAXIMAL N'EXCEDANT PAS 5 TONNES")</f>
        <v xml:space="preserve">   D'UN POIDS EN CHARGE MAXIMAL N'EXCEDANT PAS 5 TONNES</v>
      </c>
      <c r="C237" s="4">
        <v>136425</v>
      </c>
      <c r="D237" s="4">
        <v>53163316</v>
      </c>
    </row>
    <row r="238" spans="1:4" x14ac:dyDescent="0.25">
      <c r="A238" t="str">
        <f>T("   870829")</f>
        <v xml:space="preserve">   870829</v>
      </c>
      <c r="B238" t="str">
        <f>T("   AUTRES")</f>
        <v xml:space="preserve">   AUTRES</v>
      </c>
      <c r="C238" s="4">
        <v>21</v>
      </c>
      <c r="D238" s="4">
        <v>20000</v>
      </c>
    </row>
    <row r="239" spans="1:4" x14ac:dyDescent="0.25">
      <c r="A239" t="str">
        <f>T("   870891")</f>
        <v xml:space="preserve">   870891</v>
      </c>
      <c r="B239" t="str">
        <f>T("   RADIATEURS ET LEURS PARTIES")</f>
        <v xml:space="preserve">   RADIATEURS ET LEURS PARTIES</v>
      </c>
      <c r="C239" s="4">
        <v>5000</v>
      </c>
      <c r="D239" s="4">
        <v>440000</v>
      </c>
    </row>
    <row r="240" spans="1:4" x14ac:dyDescent="0.25">
      <c r="A240" t="str">
        <f>T("   870899")</f>
        <v xml:space="preserve">   870899</v>
      </c>
      <c r="B240" t="str">
        <f>T("   AUTRES")</f>
        <v xml:space="preserve">   AUTRES</v>
      </c>
      <c r="C240" s="4">
        <v>2827</v>
      </c>
      <c r="D240" s="4">
        <v>4504171</v>
      </c>
    </row>
    <row r="241" spans="1:4" x14ac:dyDescent="0.25">
      <c r="A241" t="str">
        <f>T("   871120")</f>
        <v xml:space="preserve">   871120</v>
      </c>
      <c r="B241" t="str">
        <f>T("   A MOTEUR A PISTON ALTERNATIF, D'UNE CYLINDREE EXCEDANT 50 CM³ MAIS N'EXCEDANT PAS 250")</f>
        <v xml:space="preserve">   A MOTEUR A PISTON ALTERNATIF, D'UNE CYLINDREE EXCEDANT 50 CM³ MAIS N'EXCEDANT PAS 250</v>
      </c>
      <c r="C241" s="4">
        <v>70040</v>
      </c>
      <c r="D241" s="4">
        <v>111487486</v>
      </c>
    </row>
    <row r="242" spans="1:4" x14ac:dyDescent="0.25">
      <c r="A242" t="str">
        <f>T("   871200")</f>
        <v xml:space="preserve">   871200</v>
      </c>
      <c r="B242" t="str">
        <f>T("   BICYCLETTES ET AUTRES CYCLES (Y COMPRIS LES TRIPORTEURS), SANS MOTEUR.")</f>
        <v xml:space="preserve">   BICYCLETTES ET AUTRES CYCLES (Y COMPRIS LES TRIPORTEURS), SANS MOTEUR.</v>
      </c>
      <c r="C242" s="4">
        <v>200</v>
      </c>
      <c r="D242" s="4">
        <v>259104</v>
      </c>
    </row>
    <row r="243" spans="1:4" x14ac:dyDescent="0.25">
      <c r="A243" t="str">
        <f>T("   900490")</f>
        <v xml:space="preserve">   900490</v>
      </c>
      <c r="B243" t="str">
        <f>T("   AUTRES")</f>
        <v xml:space="preserve">   AUTRES</v>
      </c>
      <c r="C243" s="4">
        <v>23</v>
      </c>
      <c r="D243" s="4">
        <v>100819</v>
      </c>
    </row>
    <row r="244" spans="1:4" x14ac:dyDescent="0.25">
      <c r="A244" t="str">
        <f>T("   900820")</f>
        <v xml:space="preserve">   900820</v>
      </c>
      <c r="B244" t="str">
        <f>T("   LECTEURS DE MICROFILMS,MICROFICHES OU AUTRES MICROFORMATS,MEME AVEC TIRAGE")</f>
        <v xml:space="preserve">   LECTEURS DE MICROFILMS,MICROFICHES OU AUTRES MICROFORMATS,MEME AVEC TIRAGE</v>
      </c>
      <c r="C244" s="4">
        <v>42</v>
      </c>
      <c r="D244" s="4">
        <v>128568</v>
      </c>
    </row>
    <row r="245" spans="1:4" x14ac:dyDescent="0.25">
      <c r="A245" t="str">
        <f>T("   902000")</f>
        <v xml:space="preserve">   902000</v>
      </c>
      <c r="B245" t="str">
        <f>T("   AUTRES APPAREILS RESPIRATOIRES ET MASQUES A GAZ, A L'EXCLUSION DES MASQUES DE PROTECTIO")</f>
        <v xml:space="preserve">   AUTRES APPAREILS RESPIRATOIRES ET MASQUES A GAZ, A L'EXCLUSION DES MASQUES DE PROTECTIO</v>
      </c>
      <c r="C245" s="4">
        <v>147</v>
      </c>
      <c r="D245" s="4">
        <v>647369</v>
      </c>
    </row>
    <row r="246" spans="1:4" x14ac:dyDescent="0.25">
      <c r="A246" t="str">
        <f>T("   902300")</f>
        <v xml:space="preserve">   902300</v>
      </c>
      <c r="B246" t="str">
        <f>T("   INSTRUMENTS, APPAREILS ET MODELES CONCUS POUR LA DEMONSTRATION (DANS L'ENSEIGNEMENT OU")</f>
        <v xml:space="preserve">   INSTRUMENTS, APPAREILS ET MODELES CONCUS POUR LA DEMONSTRATION (DANS L'ENSEIGNEMENT OU</v>
      </c>
      <c r="C246" s="4">
        <v>0.2</v>
      </c>
      <c r="D246" s="4">
        <v>45112</v>
      </c>
    </row>
    <row r="247" spans="1:4" x14ac:dyDescent="0.25">
      <c r="A247" t="str">
        <f>T("   910390")</f>
        <v xml:space="preserve">   910390</v>
      </c>
      <c r="B247" t="str">
        <f>T("   AUTRES")</f>
        <v xml:space="preserve">   AUTRES</v>
      </c>
      <c r="C247" s="4">
        <v>3318</v>
      </c>
      <c r="D247" s="4">
        <v>540715</v>
      </c>
    </row>
    <row r="248" spans="1:4" x14ac:dyDescent="0.25">
      <c r="A248" t="str">
        <f>T("   910529")</f>
        <v xml:space="preserve">   910529</v>
      </c>
      <c r="B248" t="str">
        <f>T("   AUTRES")</f>
        <v xml:space="preserve">   AUTRES</v>
      </c>
      <c r="C248" s="4">
        <v>536</v>
      </c>
      <c r="D248" s="4">
        <v>1095218</v>
      </c>
    </row>
    <row r="249" spans="1:4" x14ac:dyDescent="0.25">
      <c r="A249" t="str">
        <f>T("   940290")</f>
        <v xml:space="preserve">   940290</v>
      </c>
      <c r="B249" t="str">
        <f>T("   AUTRES")</f>
        <v xml:space="preserve">   AUTRES</v>
      </c>
      <c r="C249" s="4">
        <v>8000</v>
      </c>
      <c r="D249" s="4">
        <v>4619439</v>
      </c>
    </row>
    <row r="250" spans="1:4" x14ac:dyDescent="0.25">
      <c r="A250" t="str">
        <f>T("   940310")</f>
        <v xml:space="preserve">   940310</v>
      </c>
      <c r="B250" t="str">
        <f>T("   MEUBLES EN METAL DES TYPES UTILISES DANS LES BUREAUX")</f>
        <v xml:space="preserve">   MEUBLES EN METAL DES TYPES UTILISES DANS LES BUREAUX</v>
      </c>
      <c r="C250" s="4">
        <v>5000</v>
      </c>
      <c r="D250" s="4">
        <v>2160995</v>
      </c>
    </row>
    <row r="251" spans="1:4" x14ac:dyDescent="0.25">
      <c r="A251" t="str">
        <f>T("   940330")</f>
        <v xml:space="preserve">   940330</v>
      </c>
      <c r="B251" t="str">
        <f>T("   MEUBLES EN BOIS DES TYPES UTILISES DANS LES BUREAUX")</f>
        <v xml:space="preserve">   MEUBLES EN BOIS DES TYPES UTILISES DANS LES BUREAUX</v>
      </c>
      <c r="C251" s="4">
        <v>150</v>
      </c>
      <c r="D251" s="4">
        <v>200000</v>
      </c>
    </row>
    <row r="252" spans="1:4" x14ac:dyDescent="0.25">
      <c r="A252" t="str">
        <f>T("   940350")</f>
        <v xml:space="preserve">   940350</v>
      </c>
      <c r="B252" t="str">
        <f>T("   MEUBLES EN BOIS DES TYPES UTILISES DANS LES CHAMBRES A COUCHER")</f>
        <v xml:space="preserve">   MEUBLES EN BOIS DES TYPES UTILISES DANS LES CHAMBRES A COUCHER</v>
      </c>
      <c r="C252" s="4">
        <v>7000</v>
      </c>
      <c r="D252" s="4">
        <v>5300000</v>
      </c>
    </row>
    <row r="253" spans="1:4" x14ac:dyDescent="0.25">
      <c r="A253" t="str">
        <f>T("   940360")</f>
        <v xml:space="preserve">   940360</v>
      </c>
      <c r="B253" t="str">
        <f>T("   Autres meubles en bois")</f>
        <v xml:space="preserve">   Autres meubles en bois</v>
      </c>
      <c r="C253" s="4">
        <v>47258</v>
      </c>
      <c r="D253" s="4">
        <v>27283200</v>
      </c>
    </row>
    <row r="254" spans="1:4" x14ac:dyDescent="0.25">
      <c r="A254" t="str">
        <f>T("   940389")</f>
        <v xml:space="preserve">   940389</v>
      </c>
      <c r="B254" t="str">
        <f>T("   AUTRES")</f>
        <v xml:space="preserve">   AUTRES</v>
      </c>
      <c r="C254" s="4">
        <v>36431</v>
      </c>
      <c r="D254" s="4">
        <v>26949973</v>
      </c>
    </row>
    <row r="255" spans="1:4" x14ac:dyDescent="0.25">
      <c r="A255" t="str">
        <f>T("   940429")</f>
        <v xml:space="preserve">   940429</v>
      </c>
      <c r="B255" t="str">
        <f>T("   EN AUTRES MATIERES")</f>
        <v xml:space="preserve">   EN AUTRES MATIERES</v>
      </c>
      <c r="C255" s="4">
        <v>4000</v>
      </c>
      <c r="D255" s="4">
        <v>3889843</v>
      </c>
    </row>
    <row r="256" spans="1:4" x14ac:dyDescent="0.25">
      <c r="A256" t="str">
        <f>T("   940490")</f>
        <v xml:space="preserve">   940490</v>
      </c>
      <c r="B256" t="str">
        <f>T("   AUTRES")</f>
        <v xml:space="preserve">   AUTRES</v>
      </c>
      <c r="C256" s="4">
        <v>140</v>
      </c>
      <c r="D256" s="4">
        <v>532749</v>
      </c>
    </row>
    <row r="257" spans="1:4" x14ac:dyDescent="0.25">
      <c r="A257" t="str">
        <f>T("   940540")</f>
        <v xml:space="preserve">   940540</v>
      </c>
      <c r="B257" t="str">
        <f>T("   AUTRES APPAREILS D'ECLAIRAGE ELECTRIQUES")</f>
        <v xml:space="preserve">   AUTRES APPAREILS D'ECLAIRAGE ELECTRIQUES</v>
      </c>
      <c r="C257" s="4">
        <v>2105</v>
      </c>
      <c r="D257" s="4">
        <v>2522016</v>
      </c>
    </row>
    <row r="258" spans="1:4" x14ac:dyDescent="0.25">
      <c r="A258" t="str">
        <f>T("   940550")</f>
        <v xml:space="preserve">   940550</v>
      </c>
      <c r="B258" t="str">
        <f>T("   APPAREILS D'ECLAIRAGE NON ELECTRIQUES")</f>
        <v xml:space="preserve">   APPAREILS D'ECLAIRAGE NON ELECTRIQUES</v>
      </c>
      <c r="C258" s="4">
        <v>320</v>
      </c>
      <c r="D258" s="4">
        <v>436213</v>
      </c>
    </row>
    <row r="259" spans="1:4" x14ac:dyDescent="0.25">
      <c r="A259" t="str">
        <f>T("   940600")</f>
        <v xml:space="preserve">   940600</v>
      </c>
      <c r="B259" t="str">
        <f>T("   CONSTRUCTIONS PREFABRIQUEES.")</f>
        <v xml:space="preserve">   CONSTRUCTIONS PREFABRIQUEES.</v>
      </c>
      <c r="C259" s="4">
        <v>468556</v>
      </c>
      <c r="D259" s="4">
        <v>262435504</v>
      </c>
    </row>
    <row r="260" spans="1:4" x14ac:dyDescent="0.25">
      <c r="A260" t="str">
        <f>T("   950699")</f>
        <v xml:space="preserve">   950699</v>
      </c>
      <c r="B260" t="str">
        <f>T("   AUTRES")</f>
        <v xml:space="preserve">   AUTRES</v>
      </c>
      <c r="C260" s="4">
        <v>984</v>
      </c>
      <c r="D260" s="4">
        <v>644000</v>
      </c>
    </row>
    <row r="261" spans="1:4" x14ac:dyDescent="0.25">
      <c r="A261" t="str">
        <f>T("   960310")</f>
        <v xml:space="preserve">   960310</v>
      </c>
      <c r="B261" t="str">
        <f>T("   BALAIS ET BALAYETTES CONSISTANT EN BRINDILLES OU AUTRES MATIERES VEGETALES EN BOTTES")</f>
        <v xml:space="preserve">   BALAIS ET BALAYETTES CONSISTANT EN BRINDILLES OU AUTRES MATIERES VEGETALES EN BOTTES</v>
      </c>
      <c r="C261" s="4">
        <v>790</v>
      </c>
      <c r="D261" s="4">
        <v>80659</v>
      </c>
    </row>
    <row r="262" spans="1:4" x14ac:dyDescent="0.25">
      <c r="A262" t="str">
        <f>T("   970300")</f>
        <v xml:space="preserve">   970300</v>
      </c>
      <c r="B262" t="str">
        <f>T("   PRODUCTIONS ORIGINALES DE L'ART STATUAIRE OU DE LA SCULPTURE, EN TOUTES MATIERES.")</f>
        <v xml:space="preserve">   PRODUCTIONS ORIGINALES DE L'ART STATUAIRE OU DE LA SCULPTURE, EN TOUTES MATIERES.</v>
      </c>
      <c r="C262" s="4">
        <v>3380</v>
      </c>
      <c r="D262" s="4">
        <v>1747680</v>
      </c>
    </row>
    <row r="263" spans="1:4" s="5" customFormat="1" x14ac:dyDescent="0.25">
      <c r="A263" s="5" t="str">
        <f>T("   ZZ_Total_Produit_SH6")</f>
        <v xml:space="preserve">   ZZ_Total_Produit_SH6</v>
      </c>
      <c r="B263" s="5" t="str">
        <f>T("   ZZ_Total_Produit_SH6")</f>
        <v xml:space="preserve">   ZZ_Total_Produit_SH6</v>
      </c>
      <c r="C263" s="1">
        <v>73226933.200000003</v>
      </c>
      <c r="D263" s="1">
        <v>30977968927.678001</v>
      </c>
    </row>
    <row r="264" spans="1:4" s="5" customFormat="1" x14ac:dyDescent="0.25">
      <c r="B264" s="5" t="str">
        <f>T("Afghanistan")</f>
        <v>Afghanistan</v>
      </c>
      <c r="C264" s="1"/>
      <c r="D264" s="1"/>
    </row>
    <row r="265" spans="1:4" x14ac:dyDescent="0.25">
      <c r="A265" t="str">
        <f>T("   220290")</f>
        <v xml:space="preserve">   220290</v>
      </c>
      <c r="B265" t="str">
        <f>T("   AUTRES")</f>
        <v xml:space="preserve">   AUTRES</v>
      </c>
      <c r="C265" s="4">
        <v>196130</v>
      </c>
      <c r="D265" s="4">
        <v>22127616</v>
      </c>
    </row>
    <row r="266" spans="1:4" x14ac:dyDescent="0.25">
      <c r="A266" t="str">
        <f>T("   220429")</f>
        <v xml:space="preserve">   220429</v>
      </c>
      <c r="B266" t="str">
        <f>T("   AUTRES")</f>
        <v xml:space="preserve">   AUTRES</v>
      </c>
      <c r="C266" s="4">
        <v>91</v>
      </c>
      <c r="D266" s="4">
        <v>288271</v>
      </c>
    </row>
    <row r="267" spans="1:4" x14ac:dyDescent="0.25">
      <c r="A267" t="str">
        <f>T("   284910")</f>
        <v xml:space="preserve">   284910</v>
      </c>
      <c r="B267" t="str">
        <f>T("   DE CALCIUM")</f>
        <v xml:space="preserve">   DE CALCIUM</v>
      </c>
      <c r="C267" s="4">
        <v>21300</v>
      </c>
      <c r="D267" s="4">
        <v>10671903</v>
      </c>
    </row>
    <row r="268" spans="1:4" x14ac:dyDescent="0.25">
      <c r="A268" t="str">
        <f>T("   300490")</f>
        <v xml:space="preserve">   300490</v>
      </c>
      <c r="B268" t="str">
        <f>T("   AUTRES")</f>
        <v xml:space="preserve">   AUTRES</v>
      </c>
      <c r="C268" s="4">
        <v>130</v>
      </c>
      <c r="D268" s="4">
        <v>105475</v>
      </c>
    </row>
    <row r="269" spans="1:4" x14ac:dyDescent="0.25">
      <c r="A269" t="str">
        <f>T("   300620")</f>
        <v xml:space="preserve">   300620</v>
      </c>
      <c r="B269" t="str">
        <f>T("   REACTIFS DESTINES A LA DETERMINATION DES GROUPES OU DES FACTEURS SANGUINS")</f>
        <v xml:space="preserve">   REACTIFS DESTINES A LA DETERMINATION DES GROUPES OU DES FACTEURS SANGUINS</v>
      </c>
      <c r="C269" s="4">
        <v>3</v>
      </c>
      <c r="D269" s="4">
        <v>354874</v>
      </c>
    </row>
    <row r="270" spans="1:4" x14ac:dyDescent="0.25">
      <c r="A270" t="str">
        <f>T("   481890")</f>
        <v xml:space="preserve">   481890</v>
      </c>
      <c r="B270" t="str">
        <f>T("   AUTRES")</f>
        <v xml:space="preserve">   AUTRES</v>
      </c>
      <c r="C270" s="4">
        <v>64</v>
      </c>
      <c r="D270" s="4">
        <v>821918</v>
      </c>
    </row>
    <row r="271" spans="1:4" x14ac:dyDescent="0.25">
      <c r="A271" t="str">
        <f>T("   491000")</f>
        <v xml:space="preserve">   491000</v>
      </c>
      <c r="B271" t="str">
        <f>T("   CALENDRIERS DE TOUS GENRES, IMPRIMES, Y COMPRIS LES BLOCS DE CALENDRIERS A EFFEUILLER.")</f>
        <v xml:space="preserve">   CALENDRIERS DE TOUS GENRES, IMPRIMES, Y COMPRIS LES BLOCS DE CALENDRIERS A EFFEUILLER.</v>
      </c>
      <c r="C271" s="4">
        <v>80</v>
      </c>
      <c r="D271" s="4">
        <v>25000</v>
      </c>
    </row>
    <row r="272" spans="1:4" x14ac:dyDescent="0.25">
      <c r="A272" t="str">
        <f>T("   841459")</f>
        <v xml:space="preserve">   841459</v>
      </c>
      <c r="B272" t="str">
        <f>T("   AUTRES")</f>
        <v xml:space="preserve">   AUTRES</v>
      </c>
      <c r="C272" s="4">
        <v>70</v>
      </c>
      <c r="D272" s="4">
        <v>73748</v>
      </c>
    </row>
    <row r="273" spans="1:4" x14ac:dyDescent="0.25">
      <c r="A273" t="str">
        <f>T("   847190")</f>
        <v xml:space="preserve">   847190</v>
      </c>
      <c r="B273" t="str">
        <f>T("   AUTRES")</f>
        <v xml:space="preserve">   AUTRES</v>
      </c>
      <c r="C273" s="4">
        <v>37</v>
      </c>
      <c r="D273" s="4">
        <v>4712034</v>
      </c>
    </row>
    <row r="274" spans="1:4" x14ac:dyDescent="0.25">
      <c r="A274" t="str">
        <f>T("   851769")</f>
        <v xml:space="preserve">   851769</v>
      </c>
      <c r="B274" t="str">
        <f>T("   AUTRES")</f>
        <v xml:space="preserve">   AUTRES</v>
      </c>
      <c r="C274" s="4">
        <v>258.5</v>
      </c>
      <c r="D274" s="4">
        <v>24537119</v>
      </c>
    </row>
    <row r="275" spans="1:4" x14ac:dyDescent="0.25">
      <c r="A275" t="str">
        <f>T("   854129")</f>
        <v xml:space="preserve">   854129</v>
      </c>
      <c r="B275" t="str">
        <f>T("   AUTRES")</f>
        <v xml:space="preserve">   AUTRES</v>
      </c>
      <c r="C275" s="4">
        <v>1</v>
      </c>
      <c r="D275" s="4">
        <v>88156</v>
      </c>
    </row>
    <row r="276" spans="1:4" x14ac:dyDescent="0.25">
      <c r="A276" t="str">
        <f>T("   870892")</f>
        <v xml:space="preserve">   870892</v>
      </c>
      <c r="B276" t="str">
        <f>T("   SILENCIEUX ET TUYAUX D'ECHAPPEMENT; LEURS PARTIES")</f>
        <v xml:space="preserve">   SILENCIEUX ET TUYAUX D'ECHAPPEMENT; LEURS PARTIES</v>
      </c>
      <c r="C276" s="4">
        <v>5</v>
      </c>
      <c r="D276" s="4">
        <v>41758</v>
      </c>
    </row>
    <row r="277" spans="1:4" x14ac:dyDescent="0.25">
      <c r="A277" t="str">
        <f>T("   902580")</f>
        <v xml:space="preserve">   902580</v>
      </c>
      <c r="B277" t="str">
        <f>T("   AUTRES INSTRUMENTS")</f>
        <v xml:space="preserve">   AUTRES INSTRUMENTS</v>
      </c>
      <c r="C277" s="4">
        <v>3</v>
      </c>
      <c r="D277" s="4">
        <v>192058</v>
      </c>
    </row>
    <row r="278" spans="1:4" x14ac:dyDescent="0.25">
      <c r="A278" t="str">
        <f>T("   903010")</f>
        <v xml:space="preserve">   903010</v>
      </c>
      <c r="B278" t="str">
        <f>T("   INSTRUMENTS ET APPAREILS POUR LA MESURE OU LA DETECTION DES RADIATIONS IONISANTES")</f>
        <v xml:space="preserve">   INSTRUMENTS ET APPAREILS POUR LA MESURE OU LA DETECTION DES RADIATIONS IONISANTES</v>
      </c>
      <c r="C278" s="4">
        <v>2</v>
      </c>
      <c r="D278" s="4">
        <v>851346</v>
      </c>
    </row>
    <row r="279" spans="1:4" s="5" customFormat="1" x14ac:dyDescent="0.25">
      <c r="A279" s="5" t="str">
        <f>T("   ZZ_Total_Produit_SH6")</f>
        <v xml:space="preserve">   ZZ_Total_Produit_SH6</v>
      </c>
      <c r="B279" s="5" t="str">
        <f>T("   ZZ_Total_Produit_SH6")</f>
        <v xml:space="preserve">   ZZ_Total_Produit_SH6</v>
      </c>
      <c r="C279" s="1">
        <v>218174.5</v>
      </c>
      <c r="D279" s="1">
        <v>64891276</v>
      </c>
    </row>
    <row r="280" spans="1:4" s="5" customFormat="1" x14ac:dyDescent="0.25">
      <c r="B280" s="5" t="str">
        <f>T("Antigua et Barbuda")</f>
        <v>Antigua et Barbuda</v>
      </c>
      <c r="C280" s="1"/>
      <c r="D280" s="1"/>
    </row>
    <row r="281" spans="1:4" x14ac:dyDescent="0.25">
      <c r="A281" t="str">
        <f>T("   020714")</f>
        <v xml:space="preserve">   020714</v>
      </c>
      <c r="B281" t="str">
        <f>T("   MORCEAUX ET ABATS, CONGELES")</f>
        <v xml:space="preserve">   MORCEAUX ET ABATS, CONGELES</v>
      </c>
      <c r="C281" s="4">
        <v>50000</v>
      </c>
      <c r="D281" s="4">
        <v>31100000</v>
      </c>
    </row>
    <row r="282" spans="1:4" s="5" customFormat="1" x14ac:dyDescent="0.25">
      <c r="A282" s="5" t="str">
        <f>T("   ZZ_Total_Produit_SH6")</f>
        <v xml:space="preserve">   ZZ_Total_Produit_SH6</v>
      </c>
      <c r="B282" s="5" t="str">
        <f>T("   ZZ_Total_Produit_SH6")</f>
        <v xml:space="preserve">   ZZ_Total_Produit_SH6</v>
      </c>
      <c r="C282" s="1">
        <v>50000</v>
      </c>
      <c r="D282" s="1">
        <v>31100000</v>
      </c>
    </row>
    <row r="283" spans="1:4" s="5" customFormat="1" x14ac:dyDescent="0.25">
      <c r="B283" s="5" t="str">
        <f>T("Albanie")</f>
        <v>Albanie</v>
      </c>
      <c r="C283" s="1"/>
      <c r="D283" s="1"/>
    </row>
    <row r="284" spans="1:4" x14ac:dyDescent="0.25">
      <c r="A284" t="str">
        <f>T("   294200")</f>
        <v xml:space="preserve">   294200</v>
      </c>
      <c r="B284" t="str">
        <f>T("   AUTRES COMPOSES ORGANIQUES.")</f>
        <v xml:space="preserve">   AUTRES COMPOSES ORGANIQUES.</v>
      </c>
      <c r="C284" s="4">
        <v>34</v>
      </c>
      <c r="D284" s="4">
        <v>150000</v>
      </c>
    </row>
    <row r="285" spans="1:4" x14ac:dyDescent="0.25">
      <c r="A285" t="str">
        <f>T("   330129")</f>
        <v xml:space="preserve">   330129</v>
      </c>
      <c r="B285" t="str">
        <f>T("   AUTRES")</f>
        <v xml:space="preserve">   AUTRES</v>
      </c>
      <c r="C285" s="4">
        <v>100</v>
      </c>
      <c r="D285" s="4">
        <v>300000</v>
      </c>
    </row>
    <row r="286" spans="1:4" x14ac:dyDescent="0.25">
      <c r="A286" t="str">
        <f>T("   382200")</f>
        <v xml:space="preserve">   382200</v>
      </c>
      <c r="B286" t="str">
        <f>T("   REACTIFS DE DIAGNOSTIC OU DE LABORATOIRE SUR TOUT SUPPORT ET REACTIFS DE DIAGNOSTIC OU")</f>
        <v xml:space="preserve">   REACTIFS DE DIAGNOSTIC OU DE LABORATOIRE SUR TOUT SUPPORT ET REACTIFS DE DIAGNOSTIC OU</v>
      </c>
      <c r="C286" s="4">
        <v>76</v>
      </c>
      <c r="D286" s="4">
        <v>4713139</v>
      </c>
    </row>
    <row r="287" spans="1:4" x14ac:dyDescent="0.25">
      <c r="A287" t="str">
        <f>T("   581099")</f>
        <v xml:space="preserve">   581099</v>
      </c>
      <c r="B287" t="str">
        <f>T("   D'AUTRES MATIERES TEXTILES")</f>
        <v xml:space="preserve">   D'AUTRES MATIERES TEXTILES</v>
      </c>
      <c r="C287" s="4">
        <v>17</v>
      </c>
      <c r="D287" s="4">
        <v>42500</v>
      </c>
    </row>
    <row r="288" spans="1:4" x14ac:dyDescent="0.25">
      <c r="A288" t="str">
        <f>T("   590390")</f>
        <v xml:space="preserve">   590390</v>
      </c>
      <c r="B288" t="str">
        <f>T("   AUTRES")</f>
        <v xml:space="preserve">   AUTRES</v>
      </c>
      <c r="C288" s="4">
        <v>98</v>
      </c>
      <c r="D288" s="4">
        <v>250000</v>
      </c>
    </row>
    <row r="289" spans="1:4" x14ac:dyDescent="0.25">
      <c r="A289" t="str">
        <f>T("   640590")</f>
        <v xml:space="preserve">   640590</v>
      </c>
      <c r="B289" t="str">
        <f>T("   AUTRES")</f>
        <v xml:space="preserve">   AUTRES</v>
      </c>
      <c r="C289" s="4">
        <v>128</v>
      </c>
      <c r="D289" s="4">
        <v>337608</v>
      </c>
    </row>
    <row r="290" spans="1:4" x14ac:dyDescent="0.25">
      <c r="A290" t="str">
        <f>T("   731815")</f>
        <v xml:space="preserve">   731815</v>
      </c>
      <c r="B290" t="str">
        <f>T("   AUTRES VIS ET BOULONS, MEME AVEC LEURS ECROUS OU RONDELLES")</f>
        <v xml:space="preserve">   AUTRES VIS ET BOULONS, MEME AVEC LEURS ECROUS OU RONDELLES</v>
      </c>
      <c r="C290" s="4">
        <v>394</v>
      </c>
      <c r="D290" s="4">
        <v>2464104</v>
      </c>
    </row>
    <row r="291" spans="1:4" x14ac:dyDescent="0.25">
      <c r="A291" t="str">
        <f>T("   841330")</f>
        <v xml:space="preserve">   841330</v>
      </c>
      <c r="B291" t="str">
        <f>T("   POMPES A CARBURANT, A HUILE OU A LIQUIDE DE REFROIDISSEMENT POUR MOTEURS A ALLUMAGE P")</f>
        <v xml:space="preserve">   POMPES A CARBURANT, A HUILE OU A LIQUIDE DE REFROIDISSEMENT POUR MOTEURS A ALLUMAGE P</v>
      </c>
      <c r="C291" s="4">
        <v>6</v>
      </c>
      <c r="D291" s="4">
        <v>69208</v>
      </c>
    </row>
    <row r="292" spans="1:4" x14ac:dyDescent="0.25">
      <c r="A292" t="str">
        <f>T("   843790")</f>
        <v xml:space="preserve">   843790</v>
      </c>
      <c r="B292" t="str">
        <f>T("   PARTIES")</f>
        <v xml:space="preserve">   PARTIES</v>
      </c>
      <c r="C292" s="4">
        <v>28.5</v>
      </c>
      <c r="D292" s="4">
        <v>120000</v>
      </c>
    </row>
    <row r="293" spans="1:4" x14ac:dyDescent="0.25">
      <c r="A293" t="str">
        <f>T("   847130")</f>
        <v xml:space="preserve">   847130</v>
      </c>
      <c r="B293" t="str">
        <f>T("   MACHINES AUTOMATIQUES DE TRAITEMENT DE L'INFORMATION PORTATIVES, D'UN POIDS N'EXCEDAN")</f>
        <v xml:space="preserve">   MACHINES AUTOMATIQUES DE TRAITEMENT DE L'INFORMATION PORTATIVES, D'UN POIDS N'EXCEDAN</v>
      </c>
      <c r="C293" s="4">
        <v>15</v>
      </c>
      <c r="D293" s="4">
        <v>716204</v>
      </c>
    </row>
    <row r="294" spans="1:4" x14ac:dyDescent="0.25">
      <c r="A294" t="str">
        <f>T("   847180")</f>
        <v xml:space="preserve">   847180</v>
      </c>
      <c r="B294" t="str">
        <f>T("   AUTRES UNITES DE MACHINES AUTOMATIQUES DE TRAITEMENT DE L'INFORMATION")</f>
        <v xml:space="preserve">   AUTRES UNITES DE MACHINES AUTOMATIQUES DE TRAITEMENT DE L'INFORMATION</v>
      </c>
      <c r="C294" s="4">
        <v>75</v>
      </c>
      <c r="D294" s="4">
        <v>573248</v>
      </c>
    </row>
    <row r="295" spans="1:4" x14ac:dyDescent="0.25">
      <c r="A295" t="str">
        <f>T("   850650")</f>
        <v xml:space="preserve">   850650</v>
      </c>
      <c r="B295" t="str">
        <f>T("   AU LITHIUM")</f>
        <v xml:space="preserve">   AU LITHIUM</v>
      </c>
      <c r="C295" s="4">
        <v>3</v>
      </c>
      <c r="D295" s="4">
        <v>40000</v>
      </c>
    </row>
    <row r="296" spans="1:4" x14ac:dyDescent="0.25">
      <c r="A296" t="str">
        <f>T("   853090")</f>
        <v xml:space="preserve">   853090</v>
      </c>
      <c r="B296" t="str">
        <f>T("   PARTIES")</f>
        <v xml:space="preserve">   PARTIES</v>
      </c>
      <c r="C296" s="4">
        <v>100</v>
      </c>
      <c r="D296" s="4">
        <v>159000</v>
      </c>
    </row>
    <row r="297" spans="1:4" x14ac:dyDescent="0.25">
      <c r="A297" t="str">
        <f>T("   870899")</f>
        <v xml:space="preserve">   870899</v>
      </c>
      <c r="B297" t="str">
        <f>T("   AUTRES")</f>
        <v xml:space="preserve">   AUTRES</v>
      </c>
      <c r="C297" s="4">
        <v>15</v>
      </c>
      <c r="D297" s="4">
        <v>255421</v>
      </c>
    </row>
    <row r="298" spans="1:4" x14ac:dyDescent="0.25">
      <c r="A298" t="str">
        <f>T("   900490")</f>
        <v xml:space="preserve">   900490</v>
      </c>
      <c r="B298" t="str">
        <f>T("   AUTRES")</f>
        <v xml:space="preserve">   AUTRES</v>
      </c>
      <c r="C298" s="4">
        <v>215</v>
      </c>
      <c r="D298" s="4">
        <v>499000</v>
      </c>
    </row>
    <row r="299" spans="1:4" x14ac:dyDescent="0.25">
      <c r="A299" t="str">
        <f>T("   901819")</f>
        <v xml:space="preserve">   901819</v>
      </c>
      <c r="B299" t="str">
        <f>T("   AUTRES")</f>
        <v xml:space="preserve">   AUTRES</v>
      </c>
      <c r="C299" s="4">
        <v>60</v>
      </c>
      <c r="D299" s="4">
        <v>400000</v>
      </c>
    </row>
    <row r="300" spans="1:4" x14ac:dyDescent="0.25">
      <c r="A300" t="str">
        <f>T("   940320")</f>
        <v xml:space="preserve">   940320</v>
      </c>
      <c r="B300" t="str">
        <f>T("   AUTRES MEUBLES EN METAL")</f>
        <v xml:space="preserve">   AUTRES MEUBLES EN METAL</v>
      </c>
      <c r="C300" s="4">
        <v>601</v>
      </c>
      <c r="D300" s="4">
        <v>555000</v>
      </c>
    </row>
    <row r="301" spans="1:4" x14ac:dyDescent="0.25">
      <c r="A301" t="str">
        <f>T("   960110")</f>
        <v xml:space="preserve">   960110</v>
      </c>
      <c r="B301" t="str">
        <f>T("   IVOIRE TRAVAILLE ET OUVRAGES EN IVOIRE")</f>
        <v xml:space="preserve">   IVOIRE TRAVAILLE ET OUVRAGES EN IVOIRE</v>
      </c>
      <c r="C301" s="4">
        <v>107</v>
      </c>
      <c r="D301" s="4">
        <v>300000</v>
      </c>
    </row>
    <row r="302" spans="1:4" x14ac:dyDescent="0.25">
      <c r="A302" t="str">
        <f>T("   960899")</f>
        <v xml:space="preserve">   960899</v>
      </c>
      <c r="B302" t="str">
        <f>T("   AUTRES")</f>
        <v xml:space="preserve">   AUTRES</v>
      </c>
      <c r="C302" s="4">
        <v>35</v>
      </c>
      <c r="D302" s="4">
        <v>48500</v>
      </c>
    </row>
    <row r="303" spans="1:4" s="5" customFormat="1" x14ac:dyDescent="0.25">
      <c r="A303" s="5" t="str">
        <f>T("   ZZ_Total_Produit_SH6")</f>
        <v xml:space="preserve">   ZZ_Total_Produit_SH6</v>
      </c>
      <c r="B303" s="5" t="str">
        <f>T("   ZZ_Total_Produit_SH6")</f>
        <v xml:space="preserve">   ZZ_Total_Produit_SH6</v>
      </c>
      <c r="C303" s="1">
        <v>2107.5</v>
      </c>
      <c r="D303" s="1">
        <v>11992932</v>
      </c>
    </row>
    <row r="304" spans="1:4" s="5" customFormat="1" x14ac:dyDescent="0.25">
      <c r="B304" s="5" t="str">
        <f>T("Arménie")</f>
        <v>Arménie</v>
      </c>
      <c r="C304" s="1"/>
      <c r="D304" s="1"/>
    </row>
    <row r="305" spans="1:4" x14ac:dyDescent="0.25">
      <c r="A305" t="str">
        <f>T("   300490")</f>
        <v xml:space="preserve">   300490</v>
      </c>
      <c r="B305" t="str">
        <f>T("   AUTRES")</f>
        <v xml:space="preserve">   AUTRES</v>
      </c>
      <c r="C305" s="4">
        <v>128.5</v>
      </c>
      <c r="D305" s="4">
        <v>2586116</v>
      </c>
    </row>
    <row r="306" spans="1:4" x14ac:dyDescent="0.25">
      <c r="A306" t="str">
        <f>T("   321590")</f>
        <v xml:space="preserve">   321590</v>
      </c>
      <c r="B306" t="str">
        <f>T("   AUTRES")</f>
        <v xml:space="preserve">   AUTRES</v>
      </c>
      <c r="C306" s="4">
        <v>95</v>
      </c>
      <c r="D306" s="4">
        <v>361950</v>
      </c>
    </row>
    <row r="307" spans="1:4" x14ac:dyDescent="0.25">
      <c r="A307" t="str">
        <f>T("   381400")</f>
        <v xml:space="preserve">   381400</v>
      </c>
      <c r="B307" t="str">
        <f>T("   SOLVANTS ET DILUANTS ORGANIQUES COMPOSITES, NON DENOMMES NI COMPRIS AILLEURS; PREPARATI")</f>
        <v xml:space="preserve">   SOLVANTS ET DILUANTS ORGANIQUES COMPOSITES, NON DENOMMES NI COMPRIS AILLEURS; PREPARATI</v>
      </c>
      <c r="C307" s="4">
        <v>15</v>
      </c>
      <c r="D307" s="4">
        <v>124500</v>
      </c>
    </row>
    <row r="308" spans="1:4" x14ac:dyDescent="0.25">
      <c r="A308" t="str">
        <f>T("   520852")</f>
        <v xml:space="preserve">   520852</v>
      </c>
      <c r="B308" t="str">
        <f>T("   A ARMURE TOILE, D'UN POIDS EXCEDANT 100 G/M²")</f>
        <v xml:space="preserve">   A ARMURE TOILE, D'UN POIDS EXCEDANT 100 G/M²</v>
      </c>
      <c r="C308" s="4">
        <v>621</v>
      </c>
      <c r="D308" s="4">
        <v>4206000</v>
      </c>
    </row>
    <row r="309" spans="1:4" x14ac:dyDescent="0.25">
      <c r="A309" t="str">
        <f>T("   844331")</f>
        <v xml:space="preserve">   844331</v>
      </c>
      <c r="B309" t="str">
        <f>T("   MACHINES QUI ASSURENT AU MOINS DEUX DES FONCTIONS SUIVANTES : IMPRESSION, COPIE OU T")</f>
        <v xml:space="preserve">   MACHINES QUI ASSURENT AU MOINS DEUX DES FONCTIONS SUIVANTES : IMPRESSION, COPIE OU T</v>
      </c>
      <c r="C309" s="4">
        <v>97</v>
      </c>
      <c r="D309" s="4">
        <v>414160</v>
      </c>
    </row>
    <row r="310" spans="1:4" x14ac:dyDescent="0.25">
      <c r="A310" t="str">
        <f>T("   844391")</f>
        <v xml:space="preserve">   844391</v>
      </c>
      <c r="B310" t="str">
        <f>T("   PARTIES ET ACCESSOIRES DE MACHINES ET D’APPAREILS SERVANT A L’IMPRESSION AU MOYEN DE")</f>
        <v xml:space="preserve">   PARTIES ET ACCESSOIRES DE MACHINES ET D’APPAREILS SERVANT A L’IMPRESSION AU MOYEN DE</v>
      </c>
      <c r="C310" s="4">
        <v>804</v>
      </c>
      <c r="D310" s="4">
        <v>2616350</v>
      </c>
    </row>
    <row r="311" spans="1:4" x14ac:dyDescent="0.25">
      <c r="A311" t="str">
        <f>T("   847190")</f>
        <v xml:space="preserve">   847190</v>
      </c>
      <c r="B311" t="str">
        <f>T("   AUTRES")</f>
        <v xml:space="preserve">   AUTRES</v>
      </c>
      <c r="C311" s="4">
        <v>575</v>
      </c>
      <c r="D311" s="4">
        <v>3448950</v>
      </c>
    </row>
    <row r="312" spans="1:4" x14ac:dyDescent="0.25">
      <c r="A312" t="str">
        <f>T("   852550")</f>
        <v xml:space="preserve">   852550</v>
      </c>
      <c r="B312" t="str">
        <f>T("   APPAREILS D'EMISSION")</f>
        <v xml:space="preserve">   APPAREILS D'EMISSION</v>
      </c>
      <c r="C312" s="4">
        <v>15</v>
      </c>
      <c r="D312" s="4">
        <v>1073932</v>
      </c>
    </row>
    <row r="313" spans="1:4" x14ac:dyDescent="0.25">
      <c r="A313" t="str">
        <f>T("   890200")</f>
        <v xml:space="preserve">   890200</v>
      </c>
      <c r="B313" t="str">
        <f>T("   BATEAUX DE PECHE; NAVIRESUSINES ET AUTRES BATEAUX POUR LE TRAITEMENT OU LA MISE EN CON")</f>
        <v xml:space="preserve">   BATEAUX DE PECHE; NAVIRESUSINES ET AUTRES BATEAUX POUR LE TRAITEMENT OU LA MISE EN CON</v>
      </c>
      <c r="C313" s="4">
        <v>192</v>
      </c>
      <c r="D313" s="4">
        <v>231947</v>
      </c>
    </row>
    <row r="314" spans="1:4" x14ac:dyDescent="0.25">
      <c r="A314" t="str">
        <f>T("   901510")</f>
        <v xml:space="preserve">   901510</v>
      </c>
      <c r="B314" t="str">
        <f>T("   TELEMETRES")</f>
        <v xml:space="preserve">   TELEMETRES</v>
      </c>
      <c r="C314" s="4">
        <v>52</v>
      </c>
      <c r="D314" s="4">
        <v>3542184</v>
      </c>
    </row>
    <row r="315" spans="1:4" x14ac:dyDescent="0.25">
      <c r="A315" t="str">
        <f>T("   901890")</f>
        <v xml:space="preserve">   901890</v>
      </c>
      <c r="B315" t="str">
        <f>T("   AUTRES INSTRUMENTS ET APPAREILS")</f>
        <v xml:space="preserve">   AUTRES INSTRUMENTS ET APPAREILS</v>
      </c>
      <c r="C315" s="4">
        <v>98</v>
      </c>
      <c r="D315" s="4">
        <v>274716</v>
      </c>
    </row>
    <row r="316" spans="1:4" s="5" customFormat="1" x14ac:dyDescent="0.25">
      <c r="A316" s="5" t="str">
        <f>T("   ZZ_Total_Produit_SH6")</f>
        <v xml:space="preserve">   ZZ_Total_Produit_SH6</v>
      </c>
      <c r="B316" s="5" t="str">
        <f>T("   ZZ_Total_Produit_SH6")</f>
        <v xml:space="preserve">   ZZ_Total_Produit_SH6</v>
      </c>
      <c r="C316" s="1">
        <v>2692.5</v>
      </c>
      <c r="D316" s="1">
        <v>18880805</v>
      </c>
    </row>
    <row r="317" spans="1:4" s="5" customFormat="1" x14ac:dyDescent="0.25">
      <c r="B317" s="5" t="str">
        <f>T("Antilles Néerlandaises")</f>
        <v>Antilles Néerlandaises</v>
      </c>
      <c r="C317" s="1"/>
      <c r="D317" s="1"/>
    </row>
    <row r="318" spans="1:4" x14ac:dyDescent="0.25">
      <c r="A318" t="str">
        <f>T("   460290")</f>
        <v xml:space="preserve">   460290</v>
      </c>
      <c r="B318" t="str">
        <f>T("   AUTRES")</f>
        <v xml:space="preserve">   AUTRES</v>
      </c>
      <c r="C318" s="4">
        <v>126</v>
      </c>
      <c r="D318" s="4">
        <v>364500</v>
      </c>
    </row>
    <row r="319" spans="1:4" x14ac:dyDescent="0.25">
      <c r="A319" t="str">
        <f>T("   790111")</f>
        <v xml:space="preserve">   790111</v>
      </c>
      <c r="B319" t="str">
        <f>T("   CONTENANT EN POIDS 99,99 % OU PLUS DE ZINC")</f>
        <v xml:space="preserve">   CONTENANT EN POIDS 99,99 % OU PLUS DE ZINC</v>
      </c>
      <c r="C319" s="4">
        <v>129</v>
      </c>
      <c r="D319" s="4">
        <v>2098938</v>
      </c>
    </row>
    <row r="320" spans="1:4" x14ac:dyDescent="0.25">
      <c r="A320" t="str">
        <f>T("   820140")</f>
        <v xml:space="preserve">   820140</v>
      </c>
      <c r="B320" t="str">
        <f>T("   HACHES, SERPES ET OUTILS SIMILAIRES A TAILLANTS")</f>
        <v xml:space="preserve">   HACHES, SERPES ET OUTILS SIMILAIRES A TAILLANTS</v>
      </c>
      <c r="C320" s="4">
        <v>129</v>
      </c>
      <c r="D320" s="4">
        <v>813164</v>
      </c>
    </row>
    <row r="321" spans="1:4" x14ac:dyDescent="0.25">
      <c r="A321" t="str">
        <f>T("   848190")</f>
        <v xml:space="preserve">   848190</v>
      </c>
      <c r="B321" t="str">
        <f>T("   PARTIES")</f>
        <v xml:space="preserve">   PARTIES</v>
      </c>
      <c r="C321" s="4">
        <v>129</v>
      </c>
      <c r="D321" s="4">
        <v>879561</v>
      </c>
    </row>
    <row r="322" spans="1:4" s="5" customFormat="1" x14ac:dyDescent="0.25">
      <c r="A322" s="5" t="str">
        <f>T("   ZZ_Total_Produit_SH6")</f>
        <v xml:space="preserve">   ZZ_Total_Produit_SH6</v>
      </c>
      <c r="B322" s="5" t="str">
        <f>T("   ZZ_Total_Produit_SH6")</f>
        <v xml:space="preserve">   ZZ_Total_Produit_SH6</v>
      </c>
      <c r="C322" s="1">
        <v>513</v>
      </c>
      <c r="D322" s="1">
        <v>4156163</v>
      </c>
    </row>
    <row r="323" spans="1:4" s="5" customFormat="1" x14ac:dyDescent="0.25">
      <c r="B323" s="5" t="str">
        <f>T("Angola")</f>
        <v>Angola</v>
      </c>
      <c r="C323" s="1"/>
      <c r="D323" s="1"/>
    </row>
    <row r="324" spans="1:4" x14ac:dyDescent="0.25">
      <c r="A324" t="str">
        <f>T("   030219")</f>
        <v xml:space="preserve">   030219</v>
      </c>
      <c r="B324" t="str">
        <f>T("   AUTRES")</f>
        <v xml:space="preserve">   AUTRES</v>
      </c>
      <c r="C324" s="4">
        <v>7762189</v>
      </c>
      <c r="D324" s="4">
        <v>3104875600</v>
      </c>
    </row>
    <row r="325" spans="1:4" x14ac:dyDescent="0.25">
      <c r="A325" t="str">
        <f>T("   392330")</f>
        <v xml:space="preserve">   392330</v>
      </c>
      <c r="B325" t="str">
        <f>T("   BONBONNES, BOUTEILLES, FLACONS ET ARTICLES SIMILAIRES")</f>
        <v xml:space="preserve">   BONBONNES, BOUTEILLES, FLACONS ET ARTICLES SIMILAIRES</v>
      </c>
      <c r="C325" s="4">
        <v>123840</v>
      </c>
      <c r="D325" s="4">
        <v>140768473</v>
      </c>
    </row>
    <row r="326" spans="1:4" x14ac:dyDescent="0.25">
      <c r="A326" t="str">
        <f>T("   841090")</f>
        <v xml:space="preserve">   841090</v>
      </c>
      <c r="B326" t="str">
        <f>T("   PARTIES, Y COMPRIS LES REGULATEURS")</f>
        <v xml:space="preserve">   PARTIES, Y COMPRIS LES REGULATEURS</v>
      </c>
      <c r="C326" s="4">
        <v>180</v>
      </c>
      <c r="D326" s="4">
        <v>99600</v>
      </c>
    </row>
    <row r="327" spans="1:4" s="5" customFormat="1" x14ac:dyDescent="0.25">
      <c r="A327" s="5" t="str">
        <f>T("   ZZ_Total_Produit_SH6")</f>
        <v xml:space="preserve">   ZZ_Total_Produit_SH6</v>
      </c>
      <c r="B327" s="5" t="str">
        <f>T("   ZZ_Total_Produit_SH6")</f>
        <v xml:space="preserve">   ZZ_Total_Produit_SH6</v>
      </c>
      <c r="C327" s="1">
        <v>7886209</v>
      </c>
      <c r="D327" s="1">
        <v>3245743673</v>
      </c>
    </row>
    <row r="328" spans="1:4" s="5" customFormat="1" x14ac:dyDescent="0.25">
      <c r="B328" s="5" t="str">
        <f>T("Antarctique")</f>
        <v>Antarctique</v>
      </c>
      <c r="C328" s="1"/>
      <c r="D328" s="1"/>
    </row>
    <row r="329" spans="1:4" x14ac:dyDescent="0.25">
      <c r="A329" t="str">
        <f>T("   847190")</f>
        <v xml:space="preserve">   847190</v>
      </c>
      <c r="B329" t="str">
        <f>T("   AUTRES")</f>
        <v xml:space="preserve">   AUTRES</v>
      </c>
      <c r="C329" s="4">
        <v>3</v>
      </c>
      <c r="D329" s="4">
        <v>105440</v>
      </c>
    </row>
    <row r="330" spans="1:4" s="5" customFormat="1" x14ac:dyDescent="0.25">
      <c r="A330" s="5" t="str">
        <f>T("   ZZ_Total_Produit_SH6")</f>
        <v xml:space="preserve">   ZZ_Total_Produit_SH6</v>
      </c>
      <c r="B330" s="5" t="str">
        <f>T("   ZZ_Total_Produit_SH6")</f>
        <v xml:space="preserve">   ZZ_Total_Produit_SH6</v>
      </c>
      <c r="C330" s="1">
        <v>3</v>
      </c>
      <c r="D330" s="1">
        <v>105440</v>
      </c>
    </row>
    <row r="331" spans="1:4" s="5" customFormat="1" x14ac:dyDescent="0.25">
      <c r="B331" s="5" t="str">
        <f>T("Argentine")</f>
        <v>Argentine</v>
      </c>
      <c r="C331" s="1"/>
      <c r="D331" s="1"/>
    </row>
    <row r="332" spans="1:4" x14ac:dyDescent="0.25">
      <c r="A332" t="str">
        <f>T("   020713")</f>
        <v xml:space="preserve">   020713</v>
      </c>
      <c r="B332" t="str">
        <f>T("   MORCEAUX ET ABATS, FRAIS OU REFRIGERES")</f>
        <v xml:space="preserve">   MORCEAUX ET ABATS, FRAIS OU REFRIGERES</v>
      </c>
      <c r="C332" s="4">
        <v>50000</v>
      </c>
      <c r="D332" s="4">
        <v>31100375</v>
      </c>
    </row>
    <row r="333" spans="1:4" x14ac:dyDescent="0.25">
      <c r="A333" t="str">
        <f>T("   020714")</f>
        <v xml:space="preserve">   020714</v>
      </c>
      <c r="B333" t="str">
        <f>T("   MORCEAUX ET ABATS, CONGELES")</f>
        <v xml:space="preserve">   MORCEAUX ET ABATS, CONGELES</v>
      </c>
      <c r="C333" s="4">
        <v>1365990</v>
      </c>
      <c r="D333" s="4">
        <v>826355983</v>
      </c>
    </row>
    <row r="334" spans="1:4" x14ac:dyDescent="0.25">
      <c r="A334" t="str">
        <f>T("   020727")</f>
        <v xml:space="preserve">   020727</v>
      </c>
      <c r="B334" t="str">
        <f>T("   MORCEAUX ET ABATS, CONGELES")</f>
        <v xml:space="preserve">   MORCEAUX ET ABATS, CONGELES</v>
      </c>
      <c r="C334" s="4">
        <v>75000</v>
      </c>
      <c r="D334" s="4">
        <v>46650021</v>
      </c>
    </row>
    <row r="335" spans="1:4" x14ac:dyDescent="0.25">
      <c r="A335" t="str">
        <f>T("   030219")</f>
        <v xml:space="preserve">   030219</v>
      </c>
      <c r="B335" t="str">
        <f>T("   AUTRES")</f>
        <v xml:space="preserve">   AUTRES</v>
      </c>
      <c r="C335" s="4">
        <v>1519420</v>
      </c>
      <c r="D335" s="4">
        <v>607768000</v>
      </c>
    </row>
    <row r="336" spans="1:4" x14ac:dyDescent="0.25">
      <c r="A336" t="str">
        <f>T("   030269")</f>
        <v xml:space="preserve">   030269</v>
      </c>
      <c r="B336" t="str">
        <f>T("   Autres poissons entiers,frais ou refrigeres.(foies,oeufs laitances exclus)")</f>
        <v xml:space="preserve">   Autres poissons entiers,frais ou refrigeres.(foies,oeufs laitances exclus)</v>
      </c>
      <c r="C336" s="4">
        <v>629000</v>
      </c>
      <c r="D336" s="4">
        <v>251600000</v>
      </c>
    </row>
    <row r="337" spans="1:4" x14ac:dyDescent="0.25">
      <c r="A337" t="str">
        <f>T("   030379")</f>
        <v xml:space="preserve">   030379</v>
      </c>
      <c r="B337" t="str">
        <f>T("   AUTRES POISSONS ENTIERS CONGELES.(FOIES,OEUFS,LAITANCES EXCLUS)")</f>
        <v xml:space="preserve">   AUTRES POISSONS ENTIERS CONGELES.(FOIES,OEUFS,LAITANCES EXCLUS)</v>
      </c>
      <c r="C337" s="4">
        <v>518520</v>
      </c>
      <c r="D337" s="4">
        <v>163216894</v>
      </c>
    </row>
    <row r="338" spans="1:4" x14ac:dyDescent="0.25">
      <c r="A338" t="str">
        <f>T("   100590")</f>
        <v xml:space="preserve">   100590</v>
      </c>
      <c r="B338" t="str">
        <f>T("   AUTRE")</f>
        <v xml:space="preserve">   AUTRE</v>
      </c>
      <c r="C338" s="4">
        <v>468974</v>
      </c>
      <c r="D338" s="4">
        <v>192438496</v>
      </c>
    </row>
    <row r="339" spans="1:4" x14ac:dyDescent="0.25">
      <c r="A339" t="str">
        <f>T("   170191")</f>
        <v xml:space="preserve">   170191</v>
      </c>
      <c r="B339" t="str">
        <f>T("   ADDITIONNES D'AROMATISANTS OU DE COLORANTS")</f>
        <v xml:space="preserve">   ADDITIONNES D'AROMATISANTS OU DE COLORANTS</v>
      </c>
      <c r="C339" s="4">
        <v>24192</v>
      </c>
      <c r="D339" s="4">
        <v>2903040</v>
      </c>
    </row>
    <row r="340" spans="1:4" x14ac:dyDescent="0.25">
      <c r="A340" t="str">
        <f>T("   170219")</f>
        <v xml:space="preserve">   170219</v>
      </c>
      <c r="B340" t="str">
        <f>T("   AUTRES")</f>
        <v xml:space="preserve">   AUTRES</v>
      </c>
      <c r="C340" s="4">
        <v>20000</v>
      </c>
      <c r="D340" s="4">
        <v>21016958</v>
      </c>
    </row>
    <row r="341" spans="1:4" x14ac:dyDescent="0.25">
      <c r="A341" t="str">
        <f>T("   401110")</f>
        <v xml:space="preserve">   401110</v>
      </c>
      <c r="B341" t="str">
        <f>T("   DES TYPES UTILISES POUR LES VOITURES DE TOURISME (Y COMPRIS LES VOITURES DU TYPE «BRE")</f>
        <v xml:space="preserve">   DES TYPES UTILISES POUR LES VOITURES DE TOURISME (Y COMPRIS LES VOITURES DU TYPE «BRE</v>
      </c>
      <c r="C341" s="4">
        <v>9654</v>
      </c>
      <c r="D341" s="4">
        <v>28208904</v>
      </c>
    </row>
    <row r="342" spans="1:4" x14ac:dyDescent="0.25">
      <c r="A342" t="str">
        <f>T("   852990")</f>
        <v xml:space="preserve">   852990</v>
      </c>
      <c r="B342" t="str">
        <f>T("   AUTRES")</f>
        <v xml:space="preserve">   AUTRES</v>
      </c>
      <c r="C342" s="4">
        <v>986</v>
      </c>
      <c r="D342" s="4">
        <v>3123958</v>
      </c>
    </row>
    <row r="343" spans="1:4" s="5" customFormat="1" x14ac:dyDescent="0.25">
      <c r="A343" s="5" t="str">
        <f>T("   ZZ_Total_Produit_SH6")</f>
        <v xml:space="preserve">   ZZ_Total_Produit_SH6</v>
      </c>
      <c r="B343" s="5" t="str">
        <f>T("   ZZ_Total_Produit_SH6")</f>
        <v xml:space="preserve">   ZZ_Total_Produit_SH6</v>
      </c>
      <c r="C343" s="1">
        <v>4681736</v>
      </c>
      <c r="D343" s="1">
        <v>2174382629</v>
      </c>
    </row>
    <row r="344" spans="1:4" s="5" customFormat="1" x14ac:dyDescent="0.25">
      <c r="B344" s="5" t="str">
        <f>T("Samoa Américaines")</f>
        <v>Samoa Américaines</v>
      </c>
      <c r="C344" s="1"/>
      <c r="D344" s="1"/>
    </row>
    <row r="345" spans="1:4" x14ac:dyDescent="0.25">
      <c r="A345" t="str">
        <f>T("   901819")</f>
        <v xml:space="preserve">   901819</v>
      </c>
      <c r="B345" t="str">
        <f>T("   AUTRES")</f>
        <v xml:space="preserve">   AUTRES</v>
      </c>
      <c r="C345" s="4">
        <v>18</v>
      </c>
      <c r="D345" s="4">
        <v>300000</v>
      </c>
    </row>
    <row r="346" spans="1:4" s="5" customFormat="1" x14ac:dyDescent="0.25">
      <c r="A346" s="5" t="str">
        <f>T("   ZZ_Total_Produit_SH6")</f>
        <v xml:space="preserve">   ZZ_Total_Produit_SH6</v>
      </c>
      <c r="B346" s="5" t="str">
        <f>T("   ZZ_Total_Produit_SH6")</f>
        <v xml:space="preserve">   ZZ_Total_Produit_SH6</v>
      </c>
      <c r="C346" s="1">
        <v>18</v>
      </c>
      <c r="D346" s="1">
        <v>300000</v>
      </c>
    </row>
    <row r="347" spans="1:4" s="5" customFormat="1" x14ac:dyDescent="0.25">
      <c r="B347" s="5" t="str">
        <f>T("Autriche")</f>
        <v>Autriche</v>
      </c>
      <c r="C347" s="1"/>
      <c r="D347" s="1"/>
    </row>
    <row r="348" spans="1:4" x14ac:dyDescent="0.25">
      <c r="A348" t="str">
        <f>T("   220290")</f>
        <v xml:space="preserve">   220290</v>
      </c>
      <c r="B348" t="str">
        <f>T("   AUTRES")</f>
        <v xml:space="preserve">   AUTRES</v>
      </c>
      <c r="C348" s="4">
        <v>41510</v>
      </c>
      <c r="D348" s="4">
        <v>4430000</v>
      </c>
    </row>
    <row r="349" spans="1:4" x14ac:dyDescent="0.25">
      <c r="A349" t="str">
        <f>T("   271019")</f>
        <v xml:space="preserve">   271019</v>
      </c>
      <c r="B349" t="str">
        <f>T("   AUTRES")</f>
        <v xml:space="preserve">   AUTRES</v>
      </c>
      <c r="C349" s="4">
        <v>374</v>
      </c>
      <c r="D349" s="4">
        <v>8527238</v>
      </c>
    </row>
    <row r="350" spans="1:4" x14ac:dyDescent="0.25">
      <c r="A350" t="str">
        <f>T("   300420")</f>
        <v xml:space="preserve">   300420</v>
      </c>
      <c r="B350" t="str">
        <f>T("   CONTENANT D'AUTRES ANTIBIOTIQUES")</f>
        <v xml:space="preserve">   CONTENANT D'AUTRES ANTIBIOTIQUES</v>
      </c>
      <c r="C350" s="4">
        <v>119</v>
      </c>
      <c r="D350" s="4">
        <v>410000</v>
      </c>
    </row>
    <row r="351" spans="1:4" x14ac:dyDescent="0.25">
      <c r="A351" t="str">
        <f>T("   320990")</f>
        <v xml:space="preserve">   320990</v>
      </c>
      <c r="B351" t="str">
        <f>T("   AUTRES")</f>
        <v xml:space="preserve">   AUTRES</v>
      </c>
      <c r="C351" s="4">
        <v>8</v>
      </c>
      <c r="D351" s="4">
        <v>354428</v>
      </c>
    </row>
    <row r="352" spans="1:4" x14ac:dyDescent="0.25">
      <c r="A352" t="str">
        <f>T("   321410")</f>
        <v xml:space="preserve">   321410</v>
      </c>
      <c r="B352" t="str">
        <f>T("   MASTIC DE VITRIER, CIMENTS DE RESINE ET AUTRES MASTICS; ENDUITS UTILISES EN PEINTURE")</f>
        <v xml:space="preserve">   MASTIC DE VITRIER, CIMENTS DE RESINE ET AUTRES MASTICS; ENDUITS UTILISES EN PEINTURE</v>
      </c>
      <c r="C352" s="4">
        <v>3</v>
      </c>
      <c r="D352" s="4">
        <v>504571</v>
      </c>
    </row>
    <row r="353" spans="1:4" x14ac:dyDescent="0.25">
      <c r="A353" t="str">
        <f>T("   382200")</f>
        <v xml:space="preserve">   382200</v>
      </c>
      <c r="B353" t="str">
        <f>T("   REACTIFS DE DIAGNOSTIC OU DE LABORATOIRE SUR TOUT SUPPORT ET REACTIFS DE DIAGNOSTIC OU")</f>
        <v xml:space="preserve">   REACTIFS DE DIAGNOSTIC OU DE LABORATOIRE SUR TOUT SUPPORT ET REACTIFS DE DIAGNOSTIC OU</v>
      </c>
      <c r="C353" s="4">
        <v>6</v>
      </c>
      <c r="D353" s="4">
        <v>274119</v>
      </c>
    </row>
    <row r="354" spans="1:4" x14ac:dyDescent="0.25">
      <c r="A354" t="str">
        <f>T("   392690")</f>
        <v xml:space="preserve">   392690</v>
      </c>
      <c r="B354" t="str">
        <f>T("   AUTRES")</f>
        <v xml:space="preserve">   AUTRES</v>
      </c>
      <c r="C354" s="4">
        <v>73</v>
      </c>
      <c r="D354" s="4">
        <v>2337356</v>
      </c>
    </row>
    <row r="355" spans="1:4" x14ac:dyDescent="0.25">
      <c r="A355" t="str">
        <f>T("   400911")</f>
        <v xml:space="preserve">   400911</v>
      </c>
      <c r="B355" t="str">
        <f>T("   SANS ACCESSOIRES")</f>
        <v xml:space="preserve">   SANS ACCESSOIRES</v>
      </c>
      <c r="C355" s="4">
        <v>736.68</v>
      </c>
      <c r="D355" s="4">
        <v>15867908</v>
      </c>
    </row>
    <row r="356" spans="1:4" x14ac:dyDescent="0.25">
      <c r="A356" t="str">
        <f>T("   401693")</f>
        <v xml:space="preserve">   401693</v>
      </c>
      <c r="B356" t="str">
        <f>T("   JOINTS")</f>
        <v xml:space="preserve">   JOINTS</v>
      </c>
      <c r="C356" s="4">
        <v>176.34</v>
      </c>
      <c r="D356" s="4">
        <v>1024340</v>
      </c>
    </row>
    <row r="357" spans="1:4" x14ac:dyDescent="0.25">
      <c r="A357" t="str">
        <f>T("   401699")</f>
        <v xml:space="preserve">   401699</v>
      </c>
      <c r="B357" t="str">
        <f>T("   AUTRES")</f>
        <v xml:space="preserve">   AUTRES</v>
      </c>
      <c r="C357" s="4">
        <v>21</v>
      </c>
      <c r="D357" s="4">
        <v>723084</v>
      </c>
    </row>
    <row r="358" spans="1:4" x14ac:dyDescent="0.25">
      <c r="A358" t="str">
        <f>T("   490199")</f>
        <v xml:space="preserve">   490199</v>
      </c>
      <c r="B358" t="str">
        <f>T("   AUTRES")</f>
        <v xml:space="preserve">   AUTRES</v>
      </c>
      <c r="C358" s="4">
        <v>123</v>
      </c>
      <c r="D358" s="4">
        <v>120000</v>
      </c>
    </row>
    <row r="359" spans="1:4" x14ac:dyDescent="0.25">
      <c r="A359" t="str">
        <f>T("   491000")</f>
        <v xml:space="preserve">   491000</v>
      </c>
      <c r="B359" t="str">
        <f>T("   CALENDRIERS DE TOUS GENRES, IMPRIMES, Y COMPRIS LES BLOCS DE CALENDRIERS A EFFEUILLER.")</f>
        <v xml:space="preserve">   CALENDRIERS DE TOUS GENRES, IMPRIMES, Y COMPRIS LES BLOCS DE CALENDRIERS A EFFEUILLER.</v>
      </c>
      <c r="C359" s="4">
        <v>170</v>
      </c>
      <c r="D359" s="4">
        <v>52650</v>
      </c>
    </row>
    <row r="360" spans="1:4" x14ac:dyDescent="0.25">
      <c r="A360" t="str">
        <f>T("   491110")</f>
        <v xml:space="preserve">   491110</v>
      </c>
      <c r="B360" t="str">
        <f>T("   IMPRIMES PUBLICITAIRES, CATALOGUES COMMERCIAUX ET SIMILAIRES")</f>
        <v xml:space="preserve">   IMPRIMES PUBLICITAIRES, CATALOGUES COMMERCIAUX ET SIMILAIRES</v>
      </c>
      <c r="C360" s="4">
        <v>67</v>
      </c>
      <c r="D360" s="4">
        <v>20000</v>
      </c>
    </row>
    <row r="361" spans="1:4" x14ac:dyDescent="0.25">
      <c r="A361" t="str">
        <f>T("   520852")</f>
        <v xml:space="preserve">   520852</v>
      </c>
      <c r="B361" t="str">
        <f>T("   A ARMURE TOILE, D'UN POIDS EXCEDANT 100 G/M²")</f>
        <v xml:space="preserve">   A ARMURE TOILE, D'UN POIDS EXCEDANT 100 G/M²</v>
      </c>
      <c r="C361" s="4">
        <v>12500</v>
      </c>
      <c r="D361" s="4">
        <v>14204973</v>
      </c>
    </row>
    <row r="362" spans="1:4" x14ac:dyDescent="0.25">
      <c r="A362" t="str">
        <f>T("   520859")</f>
        <v xml:space="preserve">   520859</v>
      </c>
      <c r="B362" t="str">
        <f>T("   AUTRES TISSUS")</f>
        <v xml:space="preserve">   AUTRES TISSUS</v>
      </c>
      <c r="C362" s="4">
        <v>8555</v>
      </c>
      <c r="D362" s="4">
        <v>11675163</v>
      </c>
    </row>
    <row r="363" spans="1:4" x14ac:dyDescent="0.25">
      <c r="A363" t="str">
        <f>T("   520929")</f>
        <v xml:space="preserve">   520929</v>
      </c>
      <c r="B363" t="str">
        <f>T("   AUTRES TISSUS")</f>
        <v xml:space="preserve">   AUTRES TISSUS</v>
      </c>
      <c r="C363" s="4">
        <v>23505</v>
      </c>
      <c r="D363" s="4">
        <v>15000000</v>
      </c>
    </row>
    <row r="364" spans="1:4" x14ac:dyDescent="0.25">
      <c r="A364" t="str">
        <f>T("   581091")</f>
        <v xml:space="preserve">   581091</v>
      </c>
      <c r="B364" t="str">
        <f>T("   DE COTON")</f>
        <v xml:space="preserve">   DE COTON</v>
      </c>
      <c r="C364" s="4">
        <v>251</v>
      </c>
      <c r="D364" s="4">
        <v>704400</v>
      </c>
    </row>
    <row r="365" spans="1:4" x14ac:dyDescent="0.25">
      <c r="A365" t="str">
        <f>T("   581099")</f>
        <v xml:space="preserve">   581099</v>
      </c>
      <c r="B365" t="str">
        <f>T("   D'AUTRES MATIERES TEXTILES")</f>
        <v xml:space="preserve">   D'AUTRES MATIERES TEXTILES</v>
      </c>
      <c r="C365" s="4">
        <v>2169.8000000000002</v>
      </c>
      <c r="D365" s="4">
        <v>5124750</v>
      </c>
    </row>
    <row r="366" spans="1:4" x14ac:dyDescent="0.25">
      <c r="A366" t="str">
        <f>T("   591110")</f>
        <v xml:space="preserve">   591110</v>
      </c>
      <c r="B366" t="str">
        <f>T("   TISSUS, FEUTRES ET TISSUS DOUBLES DE FEUTRE, COMBINES AVEC UNE OU PLUSIEURS COUCHES D")</f>
        <v xml:space="preserve">   TISSUS, FEUTRES ET TISSUS DOUBLES DE FEUTRE, COMBINES AVEC UNE OU PLUSIEURS COUCHES D</v>
      </c>
      <c r="C366" s="4">
        <v>147</v>
      </c>
      <c r="D366" s="4">
        <v>1936191</v>
      </c>
    </row>
    <row r="367" spans="1:4" x14ac:dyDescent="0.25">
      <c r="A367" t="str">
        <f>T("   610120")</f>
        <v xml:space="preserve">   610120</v>
      </c>
      <c r="B367" t="str">
        <f>T("   DE COTON")</f>
        <v xml:space="preserve">   DE COTON</v>
      </c>
      <c r="C367" s="4">
        <v>24</v>
      </c>
      <c r="D367" s="4">
        <v>317603</v>
      </c>
    </row>
    <row r="368" spans="1:4" x14ac:dyDescent="0.25">
      <c r="A368" t="str">
        <f>T("   621050")</f>
        <v xml:space="preserve">   621050</v>
      </c>
      <c r="B368" t="str">
        <f>T("   AUTRES VETEMENTS POUR FEMMES OU FILLETTES")</f>
        <v xml:space="preserve">   AUTRES VETEMENTS POUR FEMMES OU FILLETTES</v>
      </c>
      <c r="C368" s="4">
        <v>215</v>
      </c>
      <c r="D368" s="4">
        <v>85000</v>
      </c>
    </row>
    <row r="369" spans="1:4" x14ac:dyDescent="0.25">
      <c r="A369" t="str">
        <f>T("   621139")</f>
        <v xml:space="preserve">   621139</v>
      </c>
      <c r="B369" t="str">
        <f>T("   D'AUTRES MATIERES TEXTILES")</f>
        <v xml:space="preserve">   D'AUTRES MATIERES TEXTILES</v>
      </c>
      <c r="C369" s="4">
        <v>132</v>
      </c>
      <c r="D369" s="4">
        <v>59600</v>
      </c>
    </row>
    <row r="370" spans="1:4" x14ac:dyDescent="0.25">
      <c r="A370" t="str">
        <f>T("   621590")</f>
        <v xml:space="preserve">   621590</v>
      </c>
      <c r="B370" t="str">
        <f>T("   D'AUTRES MATIERES TEXTILES")</f>
        <v xml:space="preserve">   D'AUTRES MATIERES TEXTILES</v>
      </c>
      <c r="C370" s="4">
        <v>77</v>
      </c>
      <c r="D370" s="4">
        <v>33000</v>
      </c>
    </row>
    <row r="371" spans="1:4" x14ac:dyDescent="0.25">
      <c r="A371" t="str">
        <f>T("   640590")</f>
        <v xml:space="preserve">   640590</v>
      </c>
      <c r="B371" t="str">
        <f>T("   AUTRES")</f>
        <v xml:space="preserve">   AUTRES</v>
      </c>
      <c r="C371" s="4">
        <v>259</v>
      </c>
      <c r="D371" s="4">
        <v>144000</v>
      </c>
    </row>
    <row r="372" spans="1:4" x14ac:dyDescent="0.25">
      <c r="A372" t="str">
        <f>T("   722810")</f>
        <v xml:space="preserve">   722810</v>
      </c>
      <c r="B372" t="str">
        <f>T("   BARRES EN ACIERS A COUPE RAPIDE")</f>
        <v xml:space="preserve">   BARRES EN ACIERS A COUPE RAPIDE</v>
      </c>
      <c r="C372" s="4">
        <v>2820</v>
      </c>
      <c r="D372" s="4">
        <v>9671472</v>
      </c>
    </row>
    <row r="373" spans="1:4" x14ac:dyDescent="0.25">
      <c r="A373" t="str">
        <f>T("   730799")</f>
        <v xml:space="preserve">   730799</v>
      </c>
      <c r="B373" t="str">
        <f>T("   AUTRES")</f>
        <v xml:space="preserve">   AUTRES</v>
      </c>
      <c r="C373" s="4">
        <v>7.09</v>
      </c>
      <c r="D373" s="4">
        <v>450736</v>
      </c>
    </row>
    <row r="374" spans="1:4" x14ac:dyDescent="0.25">
      <c r="A374" t="str">
        <f>T("   730890")</f>
        <v xml:space="preserve">   730890</v>
      </c>
      <c r="B374" t="str">
        <f>T("   AUTRES")</f>
        <v xml:space="preserve">   AUTRES</v>
      </c>
      <c r="C374" s="4">
        <v>55</v>
      </c>
      <c r="D374" s="4">
        <v>1287787</v>
      </c>
    </row>
    <row r="375" spans="1:4" x14ac:dyDescent="0.25">
      <c r="A375" t="str">
        <f>T("   731290")</f>
        <v xml:space="preserve">   731290</v>
      </c>
      <c r="B375" t="str">
        <f>T("   AUTRES")</f>
        <v xml:space="preserve">   AUTRES</v>
      </c>
      <c r="C375" s="4">
        <v>15793</v>
      </c>
      <c r="D375" s="4">
        <v>58551048</v>
      </c>
    </row>
    <row r="376" spans="1:4" x14ac:dyDescent="0.25">
      <c r="A376" t="str">
        <f>T("   731815")</f>
        <v xml:space="preserve">   731815</v>
      </c>
      <c r="B376" t="str">
        <f>T("   AUTRES VIS ET BOULONS, MEME AVEC LEURS ECROUS OU RONDELLES")</f>
        <v xml:space="preserve">   AUTRES VIS ET BOULONS, MEME AVEC LEURS ECROUS OU RONDELLES</v>
      </c>
      <c r="C376" s="4">
        <v>611.99</v>
      </c>
      <c r="D376" s="4">
        <v>9589670</v>
      </c>
    </row>
    <row r="377" spans="1:4" x14ac:dyDescent="0.25">
      <c r="A377" t="str">
        <f>T("   731822")</f>
        <v xml:space="preserve">   731822</v>
      </c>
      <c r="B377" t="str">
        <f>T("   AUTRES RONDELLES")</f>
        <v xml:space="preserve">   AUTRES RONDELLES</v>
      </c>
      <c r="C377" s="4">
        <v>13.61</v>
      </c>
      <c r="D377" s="4">
        <v>631106</v>
      </c>
    </row>
    <row r="378" spans="1:4" x14ac:dyDescent="0.25">
      <c r="A378" t="str">
        <f>T("   731829")</f>
        <v xml:space="preserve">   731829</v>
      </c>
      <c r="B378" t="str">
        <f>T("   AUTRES")</f>
        <v xml:space="preserve">   AUTRES</v>
      </c>
      <c r="C378" s="4">
        <v>30.46</v>
      </c>
      <c r="D378" s="4">
        <v>2768492</v>
      </c>
    </row>
    <row r="379" spans="1:4" x14ac:dyDescent="0.25">
      <c r="A379" t="str">
        <f>T("   732090")</f>
        <v xml:space="preserve">   732090</v>
      </c>
      <c r="B379" t="str">
        <f>T("   AUTRES")</f>
        <v xml:space="preserve">   AUTRES</v>
      </c>
      <c r="C379" s="4">
        <v>2.86</v>
      </c>
      <c r="D379" s="4">
        <v>984950</v>
      </c>
    </row>
    <row r="380" spans="1:4" x14ac:dyDescent="0.25">
      <c r="A380" t="str">
        <f>T("   732690")</f>
        <v xml:space="preserve">   732690</v>
      </c>
      <c r="B380" t="str">
        <f>T("   AUTRES")</f>
        <v xml:space="preserve">   AUTRES</v>
      </c>
      <c r="C380" s="4">
        <v>1739.33</v>
      </c>
      <c r="D380" s="4">
        <v>25142868</v>
      </c>
    </row>
    <row r="381" spans="1:4" x14ac:dyDescent="0.25">
      <c r="A381" t="str">
        <f>T("   820420")</f>
        <v xml:space="preserve">   820420</v>
      </c>
      <c r="B381" t="str">
        <f>T("   DOUILLES DE SERRAGE INTERCHANGEABLES, MEME AVEC MANCHES")</f>
        <v xml:space="preserve">   DOUILLES DE SERRAGE INTERCHANGEABLES, MEME AVEC MANCHES</v>
      </c>
      <c r="C381" s="4">
        <v>4.82</v>
      </c>
      <c r="D381" s="4">
        <v>571964</v>
      </c>
    </row>
    <row r="382" spans="1:4" x14ac:dyDescent="0.25">
      <c r="A382" t="str">
        <f>T("   820510")</f>
        <v xml:space="preserve">   820510</v>
      </c>
      <c r="B382" t="str">
        <f>T("   OUTILS DE PERCAGE, DE FILETAGE OU DE TARAUDAGE")</f>
        <v xml:space="preserve">   OUTILS DE PERCAGE, DE FILETAGE OU DE TARAUDAGE</v>
      </c>
      <c r="C382" s="4">
        <v>0.4</v>
      </c>
      <c r="D382" s="4">
        <v>120080</v>
      </c>
    </row>
    <row r="383" spans="1:4" x14ac:dyDescent="0.25">
      <c r="A383" t="str">
        <f>T("   820559")</f>
        <v xml:space="preserve">   820559</v>
      </c>
      <c r="B383" t="str">
        <f>T("   AUTRES")</f>
        <v xml:space="preserve">   AUTRES</v>
      </c>
      <c r="C383" s="4">
        <v>520</v>
      </c>
      <c r="D383" s="4">
        <v>499390</v>
      </c>
    </row>
    <row r="384" spans="1:4" x14ac:dyDescent="0.25">
      <c r="A384" t="str">
        <f>T("   830210")</f>
        <v xml:space="preserve">   830210</v>
      </c>
      <c r="B384" t="str">
        <f>T("   CHARNIERES DE TOUS GENRES (Y COMPRIS LES PAUMELLES ET PENTURES)")</f>
        <v xml:space="preserve">   CHARNIERES DE TOUS GENRES (Y COMPRIS LES PAUMELLES ET PENTURES)</v>
      </c>
      <c r="C384" s="4">
        <v>3.1</v>
      </c>
      <c r="D384" s="4">
        <v>516903</v>
      </c>
    </row>
    <row r="385" spans="1:4" x14ac:dyDescent="0.25">
      <c r="A385" t="str">
        <f>T("   840890")</f>
        <v xml:space="preserve">   840890</v>
      </c>
      <c r="B385" t="str">
        <f>T("   AUTRES MOTEURS")</f>
        <v xml:space="preserve">   AUTRES MOTEURS</v>
      </c>
      <c r="C385" s="4">
        <v>1958</v>
      </c>
      <c r="D385" s="4">
        <v>67151478</v>
      </c>
    </row>
    <row r="386" spans="1:4" x14ac:dyDescent="0.25">
      <c r="A386" t="str">
        <f>T("   840999")</f>
        <v xml:space="preserve">   840999</v>
      </c>
      <c r="B386" t="str">
        <f>T("   AUTRES")</f>
        <v xml:space="preserve">   AUTRES</v>
      </c>
      <c r="C386" s="4">
        <v>1115.98</v>
      </c>
      <c r="D386" s="4">
        <v>25875713</v>
      </c>
    </row>
    <row r="387" spans="1:4" x14ac:dyDescent="0.25">
      <c r="A387" t="str">
        <f>T("   841221")</f>
        <v xml:space="preserve">   841221</v>
      </c>
      <c r="B387" t="str">
        <f>T("   A MOUVEMENT RECTILIGNE (CYLINDRES)")</f>
        <v xml:space="preserve">   A MOUVEMENT RECTILIGNE (CYLINDRES)</v>
      </c>
      <c r="C387" s="4">
        <v>2.94</v>
      </c>
      <c r="D387" s="4">
        <v>695862</v>
      </c>
    </row>
    <row r="388" spans="1:4" x14ac:dyDescent="0.25">
      <c r="A388" t="str">
        <f>T("   841231")</f>
        <v xml:space="preserve">   841231</v>
      </c>
      <c r="B388" t="str">
        <f>T("   A MOUVEMENT RECTILIGNE (CYLINDRES)")</f>
        <v xml:space="preserve">   A MOUVEMENT RECTILIGNE (CYLINDRES)</v>
      </c>
      <c r="C388" s="4">
        <v>265.39999999999998</v>
      </c>
      <c r="D388" s="4">
        <v>16885479</v>
      </c>
    </row>
    <row r="389" spans="1:4" x14ac:dyDescent="0.25">
      <c r="A389" t="str">
        <f>T("   841290")</f>
        <v xml:space="preserve">   841290</v>
      </c>
      <c r="B389" t="str">
        <f>T("   PARTIES")</f>
        <v xml:space="preserve">   PARTIES</v>
      </c>
      <c r="C389" s="4">
        <v>1117.8</v>
      </c>
      <c r="D389" s="4">
        <v>6166716</v>
      </c>
    </row>
    <row r="390" spans="1:4" x14ac:dyDescent="0.25">
      <c r="A390" t="str">
        <f>T("   841330")</f>
        <v xml:space="preserve">   841330</v>
      </c>
      <c r="B390" t="str">
        <f>T("   POMPES A CARBURANT, A HUILE OU A LIQUIDE DE REFROIDISSEMENT POUR MOTEURS A ALLUMAGE P")</f>
        <v xml:space="preserve">   POMPES A CARBURANT, A HUILE OU A LIQUIDE DE REFROIDISSEMENT POUR MOTEURS A ALLUMAGE P</v>
      </c>
      <c r="C390" s="4">
        <v>12</v>
      </c>
      <c r="D390" s="4">
        <v>842666</v>
      </c>
    </row>
    <row r="391" spans="1:4" x14ac:dyDescent="0.25">
      <c r="A391" t="str">
        <f>T("   841350")</f>
        <v xml:space="preserve">   841350</v>
      </c>
      <c r="B391" t="str">
        <f>T("   Autres pompes volumetriques alternatives")</f>
        <v xml:space="preserve">   Autres pompes volumetriques alternatives</v>
      </c>
      <c r="C391" s="4">
        <v>357.35</v>
      </c>
      <c r="D391" s="4">
        <v>23055675</v>
      </c>
    </row>
    <row r="392" spans="1:4" x14ac:dyDescent="0.25">
      <c r="A392" t="str">
        <f>T("   841392")</f>
        <v xml:space="preserve">   841392</v>
      </c>
      <c r="B392" t="str">
        <f>T("   D'ELEVATEURS A LIQUIDES")</f>
        <v xml:space="preserve">   D'ELEVATEURS A LIQUIDES</v>
      </c>
      <c r="C392" s="4">
        <v>4.26</v>
      </c>
      <c r="D392" s="4">
        <v>326688</v>
      </c>
    </row>
    <row r="393" spans="1:4" x14ac:dyDescent="0.25">
      <c r="A393" t="str">
        <f>T("   841582")</f>
        <v xml:space="preserve">   841582</v>
      </c>
      <c r="B393" t="str">
        <f>T("   AUTRES, AVEC DISPOSITIF DE REFRIGERATION")</f>
        <v xml:space="preserve">   AUTRES, AVEC DISPOSITIF DE REFRIGERATION</v>
      </c>
      <c r="C393" s="4">
        <v>195</v>
      </c>
      <c r="D393" s="4">
        <v>5847805</v>
      </c>
    </row>
    <row r="394" spans="1:4" x14ac:dyDescent="0.25">
      <c r="A394" t="str">
        <f>T("   842129")</f>
        <v xml:space="preserve">   842129</v>
      </c>
      <c r="B394" t="str">
        <f>T("   AUTRES")</f>
        <v xml:space="preserve">   AUTRES</v>
      </c>
      <c r="C394" s="4">
        <v>306</v>
      </c>
      <c r="D394" s="4">
        <v>13622728</v>
      </c>
    </row>
    <row r="395" spans="1:4" x14ac:dyDescent="0.25">
      <c r="A395" t="str">
        <f>T("   842290")</f>
        <v xml:space="preserve">   842290</v>
      </c>
      <c r="B395" t="str">
        <f>T("   PARTIES")</f>
        <v xml:space="preserve">   PARTIES</v>
      </c>
      <c r="C395" s="4">
        <v>7</v>
      </c>
      <c r="D395" s="4">
        <v>3170505</v>
      </c>
    </row>
    <row r="396" spans="1:4" x14ac:dyDescent="0.25">
      <c r="A396" t="str">
        <f>T("   842641")</f>
        <v xml:space="preserve">   842641</v>
      </c>
      <c r="B396" t="str">
        <f>T("   SUR PNEUMATIQUES")</f>
        <v xml:space="preserve">   SUR PNEUMATIQUES</v>
      </c>
      <c r="C396" s="4">
        <v>497543</v>
      </c>
      <c r="D396" s="4">
        <v>2259006855</v>
      </c>
    </row>
    <row r="397" spans="1:4" x14ac:dyDescent="0.25">
      <c r="A397" t="str">
        <f>T("   843110")</f>
        <v xml:space="preserve">   843110</v>
      </c>
      <c r="B397" t="str">
        <f>T("   DE MACHINES OU APPAREILS DU N° 84.25")</f>
        <v xml:space="preserve">   DE MACHINES OU APPAREILS DU N° 84.25</v>
      </c>
      <c r="C397" s="4">
        <v>36.69</v>
      </c>
      <c r="D397" s="4">
        <v>4150042</v>
      </c>
    </row>
    <row r="398" spans="1:4" x14ac:dyDescent="0.25">
      <c r="A398" t="str">
        <f>T("   843120")</f>
        <v xml:space="preserve">   843120</v>
      </c>
      <c r="B398" t="str">
        <f>T("   DE MACHINES OU APPAREILS DU N° 84.27")</f>
        <v xml:space="preserve">   DE MACHINES OU APPAREILS DU N° 84.27</v>
      </c>
      <c r="C398" s="4">
        <v>1266</v>
      </c>
      <c r="D398" s="4">
        <v>29382863</v>
      </c>
    </row>
    <row r="399" spans="1:4" x14ac:dyDescent="0.25">
      <c r="A399" t="str">
        <f>T("   843139")</f>
        <v xml:space="preserve">   843139</v>
      </c>
      <c r="B399" t="str">
        <f>T("   AUTRES")</f>
        <v xml:space="preserve">   AUTRES</v>
      </c>
      <c r="C399" s="4">
        <v>9345</v>
      </c>
      <c r="D399" s="4">
        <v>123279214</v>
      </c>
    </row>
    <row r="400" spans="1:4" x14ac:dyDescent="0.25">
      <c r="A400" t="str">
        <f>T("   843149")</f>
        <v xml:space="preserve">   843149</v>
      </c>
      <c r="B400" t="str">
        <f>T("   AUTRES")</f>
        <v xml:space="preserve">   AUTRES</v>
      </c>
      <c r="C400" s="4">
        <v>33326.68</v>
      </c>
      <c r="D400" s="4">
        <v>169138190</v>
      </c>
    </row>
    <row r="401" spans="1:4" x14ac:dyDescent="0.25">
      <c r="A401" t="str">
        <f>T("   847330")</f>
        <v xml:space="preserve">   847330</v>
      </c>
      <c r="B401" t="str">
        <f>T("   PARTIES ET ACCESSOIRES DES MACHINES DU N° 84.71")</f>
        <v xml:space="preserve">   PARTIES ET ACCESSOIRES DES MACHINES DU N° 84.71</v>
      </c>
      <c r="C401" s="4">
        <v>0.97</v>
      </c>
      <c r="D401" s="4">
        <v>295720</v>
      </c>
    </row>
    <row r="402" spans="1:4" x14ac:dyDescent="0.25">
      <c r="A402" t="str">
        <f>T("   848110")</f>
        <v xml:space="preserve">   848110</v>
      </c>
      <c r="B402" t="str">
        <f>T("   DETENDEURS")</f>
        <v xml:space="preserve">   DETENDEURS</v>
      </c>
      <c r="C402" s="4">
        <v>0.55000000000000004</v>
      </c>
      <c r="D402" s="4">
        <v>562197</v>
      </c>
    </row>
    <row r="403" spans="1:4" x14ac:dyDescent="0.25">
      <c r="A403" t="str">
        <f>T("   848120")</f>
        <v xml:space="preserve">   848120</v>
      </c>
      <c r="B403" t="str">
        <f>T("   VALVES POUR TRANSMISSIONS OLEOHYDRAULIQUES OU PNEUMATIQUES")</f>
        <v xml:space="preserve">   VALVES POUR TRANSMISSIONS OLEOHYDRAULIQUES OU PNEUMATIQUES</v>
      </c>
      <c r="C403" s="4">
        <v>15</v>
      </c>
      <c r="D403" s="4">
        <v>567484</v>
      </c>
    </row>
    <row r="404" spans="1:4" x14ac:dyDescent="0.25">
      <c r="A404" t="str">
        <f>T("   848130")</f>
        <v xml:space="preserve">   848130</v>
      </c>
      <c r="B404" t="str">
        <f>T("   Clapets et soupapes de retenue")</f>
        <v xml:space="preserve">   Clapets et soupapes de retenue</v>
      </c>
      <c r="C404" s="4">
        <v>1.69</v>
      </c>
      <c r="D404" s="4">
        <v>377295</v>
      </c>
    </row>
    <row r="405" spans="1:4" x14ac:dyDescent="0.25">
      <c r="A405" t="str">
        <f>T("   848180")</f>
        <v xml:space="preserve">   848180</v>
      </c>
      <c r="B405" t="str">
        <f>T("   Autres articles de robinetterie et organes similaires")</f>
        <v xml:space="preserve">   Autres articles de robinetterie et organes similaires</v>
      </c>
      <c r="C405" s="4">
        <v>304.77</v>
      </c>
      <c r="D405" s="4">
        <v>37968165</v>
      </c>
    </row>
    <row r="406" spans="1:4" x14ac:dyDescent="0.25">
      <c r="A406" t="str">
        <f>T("   848190")</f>
        <v xml:space="preserve">   848190</v>
      </c>
      <c r="B406" t="str">
        <f>T("   PARTIES")</f>
        <v xml:space="preserve">   PARTIES</v>
      </c>
      <c r="C406" s="4">
        <v>60</v>
      </c>
      <c r="D406" s="4">
        <v>3485699</v>
      </c>
    </row>
    <row r="407" spans="1:4" x14ac:dyDescent="0.25">
      <c r="A407" t="str">
        <f>T("   848210")</f>
        <v xml:space="preserve">   848210</v>
      </c>
      <c r="B407" t="str">
        <f>T("   ROULEMENTS A BILLES")</f>
        <v xml:space="preserve">   ROULEMENTS A BILLES</v>
      </c>
      <c r="C407" s="4">
        <v>195</v>
      </c>
      <c r="D407" s="4">
        <v>2567145</v>
      </c>
    </row>
    <row r="408" spans="1:4" x14ac:dyDescent="0.25">
      <c r="A408" t="str">
        <f>T("   848330")</f>
        <v xml:space="preserve">   848330</v>
      </c>
      <c r="B408" t="str">
        <f>T("   PALIERS, AUTRES QU'A ROULEMENTS INCORPORES; COUSSINETS")</f>
        <v xml:space="preserve">   PALIERS, AUTRES QU'A ROULEMENTS INCORPORES; COUSSINETS</v>
      </c>
      <c r="C408" s="4">
        <v>232.7</v>
      </c>
      <c r="D408" s="4">
        <v>9769534</v>
      </c>
    </row>
    <row r="409" spans="1:4" x14ac:dyDescent="0.25">
      <c r="A409" t="str">
        <f>T("   848340")</f>
        <v xml:space="preserve">   848340</v>
      </c>
      <c r="B409" t="str">
        <f>T("   ENGRENAGES ET ROUES DE FRICTION, AUTRES QUE LES ROUES DENTEES ET AUTRES ORGANES ELEME")</f>
        <v xml:space="preserve">   ENGRENAGES ET ROUES DE FRICTION, AUTRES QUE LES ROUES DENTEES ET AUTRES ORGANES ELEME</v>
      </c>
      <c r="C409" s="4">
        <v>660</v>
      </c>
      <c r="D409" s="4">
        <v>13734523</v>
      </c>
    </row>
    <row r="410" spans="1:4" x14ac:dyDescent="0.25">
      <c r="A410" t="str">
        <f>T("   848360")</f>
        <v xml:space="preserve">   848360</v>
      </c>
      <c r="B410" t="str">
        <f>T("   EMBRAYAGES ET ORGANES D'ACCOUPLEMENT, Y COMPRIS LES JOINTS D'ARTICULATION")</f>
        <v xml:space="preserve">   EMBRAYAGES ET ORGANES D'ACCOUPLEMENT, Y COMPRIS LES JOINTS D'ARTICULATION</v>
      </c>
      <c r="C410" s="4">
        <v>197</v>
      </c>
      <c r="D410" s="4">
        <v>6954002</v>
      </c>
    </row>
    <row r="411" spans="1:4" x14ac:dyDescent="0.25">
      <c r="A411" t="str">
        <f>T("   848390")</f>
        <v xml:space="preserve">   848390</v>
      </c>
      <c r="B411" t="str">
        <f>T("   ROUES DENTEES ET AUTRES ORGANES ELEMENTAIRES DE TRANSMISSION PRESENTES SEPAREMENT; PA")</f>
        <v xml:space="preserve">   ROUES DENTEES ET AUTRES ORGANES ELEMENTAIRES DE TRANSMISSION PRESENTES SEPAREMENT; PA</v>
      </c>
      <c r="C411" s="4">
        <v>40.5</v>
      </c>
      <c r="D411" s="4">
        <v>3534483</v>
      </c>
    </row>
    <row r="412" spans="1:4" x14ac:dyDescent="0.25">
      <c r="A412" t="str">
        <f>T("   848410")</f>
        <v xml:space="preserve">   848410</v>
      </c>
      <c r="B412" t="str">
        <f>T("   JOINTS METALLOPLASTIQUES")</f>
        <v xml:space="preserve">   JOINTS METALLOPLASTIQUES</v>
      </c>
      <c r="C412" s="4">
        <v>93.86</v>
      </c>
      <c r="D412" s="4">
        <v>13412781</v>
      </c>
    </row>
    <row r="413" spans="1:4" x14ac:dyDescent="0.25">
      <c r="A413" t="str">
        <f>T("   848490")</f>
        <v xml:space="preserve">   848490</v>
      </c>
      <c r="B413" t="str">
        <f>T("   AUTRES")</f>
        <v xml:space="preserve">   AUTRES</v>
      </c>
      <c r="C413" s="4">
        <v>547.08000000000004</v>
      </c>
      <c r="D413" s="4">
        <v>31922750</v>
      </c>
    </row>
    <row r="414" spans="1:4" x14ac:dyDescent="0.25">
      <c r="A414" t="str">
        <f>T("   850152")</f>
        <v xml:space="preserve">   850152</v>
      </c>
      <c r="B414" t="str">
        <f>T("   D'UNE PUISSANCE EXCEDANT 750 W MAIS N'EXCEDANT PAS 75 KW")</f>
        <v xml:space="preserve">   D'UNE PUISSANCE EXCEDANT 750 W MAIS N'EXCEDANT PAS 75 KW</v>
      </c>
      <c r="C414" s="4">
        <v>14</v>
      </c>
      <c r="D414" s="4">
        <v>810675</v>
      </c>
    </row>
    <row r="415" spans="1:4" x14ac:dyDescent="0.25">
      <c r="A415" t="str">
        <f>T("   850162")</f>
        <v xml:space="preserve">   850162</v>
      </c>
      <c r="B415" t="str">
        <f>T("   D'UNE PUISSANCE EXCEDANT 75 KVA MAIS N'EXCEDANT PAS 375 KVA")</f>
        <v xml:space="preserve">   D'UNE PUISSANCE EXCEDANT 75 KVA MAIS N'EXCEDANT PAS 375 KVA</v>
      </c>
      <c r="C415" s="4">
        <v>446.6</v>
      </c>
      <c r="D415" s="4">
        <v>18337165</v>
      </c>
    </row>
    <row r="416" spans="1:4" x14ac:dyDescent="0.25">
      <c r="A416" t="str">
        <f>T("   850300")</f>
        <v xml:space="preserve">   850300</v>
      </c>
      <c r="B416" t="str">
        <f>T("   PARTIES RECONNAISSABLES COMME ETANT EXCLUSIVEMENT OU PRINCIPALEMENT DESTINEES AUX MACHI")</f>
        <v xml:space="preserve">   PARTIES RECONNAISSABLES COMME ETANT EXCLUSIVEMENT OU PRINCIPALEMENT DESTINEES AUX MACHI</v>
      </c>
      <c r="C416" s="4">
        <v>5.35</v>
      </c>
      <c r="D416" s="4">
        <v>5798798</v>
      </c>
    </row>
    <row r="417" spans="1:4" x14ac:dyDescent="0.25">
      <c r="A417" t="str">
        <f>T("   850440")</f>
        <v xml:space="preserve">   850440</v>
      </c>
      <c r="B417" t="str">
        <f>T("   CONVERTISSEURS STATIQUES")</f>
        <v xml:space="preserve">   CONVERTISSEURS STATIQUES</v>
      </c>
      <c r="C417" s="4">
        <v>8.5</v>
      </c>
      <c r="D417" s="4">
        <v>2336222</v>
      </c>
    </row>
    <row r="418" spans="1:4" x14ac:dyDescent="0.25">
      <c r="A418" t="str">
        <f>T("   850519")</f>
        <v xml:space="preserve">   850519</v>
      </c>
      <c r="B418" t="str">
        <f>T("   AUTRES")</f>
        <v xml:space="preserve">   AUTRES</v>
      </c>
      <c r="C418" s="4">
        <v>4</v>
      </c>
      <c r="D418" s="4">
        <v>512364</v>
      </c>
    </row>
    <row r="419" spans="1:4" x14ac:dyDescent="0.25">
      <c r="A419" t="str">
        <f>T("   850780")</f>
        <v xml:space="preserve">   850780</v>
      </c>
      <c r="B419" t="str">
        <f>T("   AUTRES ACCUMULATEURS")</f>
        <v xml:space="preserve">   AUTRES ACCUMULATEURS</v>
      </c>
      <c r="C419" s="4">
        <v>10.6</v>
      </c>
      <c r="D419" s="4">
        <v>339925</v>
      </c>
    </row>
    <row r="420" spans="1:4" x14ac:dyDescent="0.25">
      <c r="A420" t="str">
        <f>T("   851140")</f>
        <v xml:space="preserve">   851140</v>
      </c>
      <c r="B420" t="str">
        <f>T("   Demarreurs, meme fonctionnant comme generatrices")</f>
        <v xml:space="preserve">   Demarreurs, meme fonctionnant comme generatrices</v>
      </c>
      <c r="C420" s="4">
        <v>29.93</v>
      </c>
      <c r="D420" s="4">
        <v>3017304</v>
      </c>
    </row>
    <row r="421" spans="1:4" x14ac:dyDescent="0.25">
      <c r="A421" t="str">
        <f>T("   851762")</f>
        <v xml:space="preserve">   851762</v>
      </c>
      <c r="B421" t="str">
        <f>T("   APPAREILS POUR LA RECEPTION, LA CONVERSION ET L'EMISSION, LA TRANSMISSION OU LA REGE")</f>
        <v xml:space="preserve">   APPAREILS POUR LA RECEPTION, LA CONVERSION ET L'EMISSION, LA TRANSMISSION OU LA REGE</v>
      </c>
      <c r="C421" s="4">
        <v>5.8</v>
      </c>
      <c r="D421" s="4">
        <v>2757000</v>
      </c>
    </row>
    <row r="422" spans="1:4" x14ac:dyDescent="0.25">
      <c r="A422" t="str">
        <f>T("   851829")</f>
        <v xml:space="preserve">   851829</v>
      </c>
      <c r="B422" t="str">
        <f>T("   AUTRES")</f>
        <v xml:space="preserve">   AUTRES</v>
      </c>
      <c r="C422" s="4">
        <v>7.65</v>
      </c>
      <c r="D422" s="4">
        <v>759752</v>
      </c>
    </row>
    <row r="423" spans="1:4" x14ac:dyDescent="0.25">
      <c r="A423" t="str">
        <f>T("   852719")</f>
        <v xml:space="preserve">   852719</v>
      </c>
      <c r="B423" t="str">
        <f>T("   AUTRES")</f>
        <v xml:space="preserve">   AUTRES</v>
      </c>
      <c r="C423" s="4">
        <v>5</v>
      </c>
      <c r="D423" s="4">
        <v>15579</v>
      </c>
    </row>
    <row r="424" spans="1:4" x14ac:dyDescent="0.25">
      <c r="A424" t="str">
        <f>T("   853529")</f>
        <v xml:space="preserve">   853529</v>
      </c>
      <c r="B424" t="str">
        <f>T("   AUTRES")</f>
        <v xml:space="preserve">   AUTRES</v>
      </c>
      <c r="C424" s="4">
        <v>2.09</v>
      </c>
      <c r="D424" s="4">
        <v>97148</v>
      </c>
    </row>
    <row r="425" spans="1:4" x14ac:dyDescent="0.25">
      <c r="A425" t="str">
        <f>T("   853620")</f>
        <v xml:space="preserve">   853620</v>
      </c>
      <c r="B425" t="str">
        <f>T("   DISJONCTEURS")</f>
        <v xml:space="preserve">   DISJONCTEURS</v>
      </c>
      <c r="C425" s="4">
        <v>2</v>
      </c>
      <c r="D425" s="4">
        <v>196565</v>
      </c>
    </row>
    <row r="426" spans="1:4" x14ac:dyDescent="0.25">
      <c r="A426" t="str">
        <f>T("   853649")</f>
        <v xml:space="preserve">   853649</v>
      </c>
      <c r="B426" t="str">
        <f>T("   AUTRES")</f>
        <v xml:space="preserve">   AUTRES</v>
      </c>
      <c r="C426" s="4">
        <v>180</v>
      </c>
      <c r="D426" s="4">
        <v>4703961</v>
      </c>
    </row>
    <row r="427" spans="1:4" x14ac:dyDescent="0.25">
      <c r="A427" t="str">
        <f>T("   853650")</f>
        <v xml:space="preserve">   853650</v>
      </c>
      <c r="B427" t="str">
        <f>T("   AUTRES INTERRUPTEURS, SECTIONNEURS ET COMMUTATEURS")</f>
        <v xml:space="preserve">   AUTRES INTERRUPTEURS, SECTIONNEURS ET COMMUTATEURS</v>
      </c>
      <c r="C427" s="4">
        <v>10.53</v>
      </c>
      <c r="D427" s="4">
        <v>7174923</v>
      </c>
    </row>
    <row r="428" spans="1:4" x14ac:dyDescent="0.25">
      <c r="A428" t="str">
        <f>T("   853669")</f>
        <v xml:space="preserve">   853669</v>
      </c>
      <c r="B428" t="str">
        <f>T("   AUTRES")</f>
        <v xml:space="preserve">   AUTRES</v>
      </c>
      <c r="C428" s="4">
        <v>128.26</v>
      </c>
      <c r="D428" s="4">
        <v>3391983</v>
      </c>
    </row>
    <row r="429" spans="1:4" x14ac:dyDescent="0.25">
      <c r="A429" t="str">
        <f>T("   853690")</f>
        <v xml:space="preserve">   853690</v>
      </c>
      <c r="B429" t="str">
        <f>T("   AUTRES APPAREILS")</f>
        <v xml:space="preserve">   AUTRES APPAREILS</v>
      </c>
      <c r="C429" s="4">
        <v>207.92</v>
      </c>
      <c r="D429" s="4">
        <v>9005911</v>
      </c>
    </row>
    <row r="430" spans="1:4" x14ac:dyDescent="0.25">
      <c r="A430" t="str">
        <f>T("   853810")</f>
        <v xml:space="preserve">   853810</v>
      </c>
      <c r="B430" t="str">
        <f>T("   TABLEAUX, PANNEAUX, CONSOLES, PUPITRES, ARMOIRES ET AUTRES SUPPORTS DU N° 85.37, DEPO")</f>
        <v xml:space="preserve">   TABLEAUX, PANNEAUX, CONSOLES, PUPITRES, ARMOIRES ET AUTRES SUPPORTS DU N° 85.37, DEPO</v>
      </c>
      <c r="C430" s="4">
        <v>33.979999999999997</v>
      </c>
      <c r="D430" s="4">
        <v>16948761</v>
      </c>
    </row>
    <row r="431" spans="1:4" x14ac:dyDescent="0.25">
      <c r="A431" t="str">
        <f>T("   853929")</f>
        <v xml:space="preserve">   853929</v>
      </c>
      <c r="B431" t="str">
        <f>T("   AUTRES")</f>
        <v xml:space="preserve">   AUTRES</v>
      </c>
      <c r="C431" s="4">
        <v>0.6</v>
      </c>
      <c r="D431" s="4">
        <v>38374</v>
      </c>
    </row>
    <row r="432" spans="1:4" x14ac:dyDescent="0.25">
      <c r="A432" t="str">
        <f>T("   854430")</f>
        <v xml:space="preserve">   854430</v>
      </c>
      <c r="B432" t="str">
        <f>T("   JEUX DE FILS POUR BOUGIES D'ALLUMAGE ET AUTRES JEUX DE FILS DES TYPES UTILISES DANS L")</f>
        <v xml:space="preserve">   JEUX DE FILS POUR BOUGIES D'ALLUMAGE ET AUTRES JEUX DE FILS DES TYPES UTILISES DANS L</v>
      </c>
      <c r="C432" s="4">
        <v>157</v>
      </c>
      <c r="D432" s="4">
        <v>14068466</v>
      </c>
    </row>
    <row r="433" spans="1:4" x14ac:dyDescent="0.25">
      <c r="A433" t="str">
        <f>T("   854460")</f>
        <v xml:space="preserve">   854460</v>
      </c>
      <c r="B433" t="str">
        <f>T("   AUTRES CONDUCTEURS ELECTRIQUES, POUR TENSIONS EXCEDANT 1.000 V")</f>
        <v xml:space="preserve">   AUTRES CONDUCTEURS ELECTRIQUES, POUR TENSIONS EXCEDANT 1.000 V</v>
      </c>
      <c r="C433" s="4">
        <v>299.27999999999997</v>
      </c>
      <c r="D433" s="4">
        <v>26495779</v>
      </c>
    </row>
    <row r="434" spans="1:4" x14ac:dyDescent="0.25">
      <c r="A434" t="str">
        <f>T("   870323")</f>
        <v xml:space="preserve">   870323</v>
      </c>
      <c r="B434" t="str">
        <f>T("   D’UNE CYLINDREE EXCEDANT 1.500 CM³ MAIS N’EXCEDANT PAS 3.000 CM³")</f>
        <v xml:space="preserve">   D’UNE CYLINDREE EXCEDANT 1.500 CM³ MAIS N’EXCEDANT PAS 3.000 CM³</v>
      </c>
      <c r="C434" s="4">
        <v>2015</v>
      </c>
      <c r="D434" s="4">
        <v>2400000</v>
      </c>
    </row>
    <row r="435" spans="1:4" x14ac:dyDescent="0.25">
      <c r="A435" t="str">
        <f>T("   870892")</f>
        <v xml:space="preserve">   870892</v>
      </c>
      <c r="B435" t="str">
        <f>T("   SILENCIEUX ET TUYAUX D'ECHAPPEMENT; LEURS PARTIES")</f>
        <v xml:space="preserve">   SILENCIEUX ET TUYAUX D'ECHAPPEMENT; LEURS PARTIES</v>
      </c>
      <c r="C435" s="4">
        <v>870</v>
      </c>
      <c r="D435" s="4">
        <v>52487204</v>
      </c>
    </row>
    <row r="436" spans="1:4" x14ac:dyDescent="0.25">
      <c r="A436" t="str">
        <f>T("   870899")</f>
        <v xml:space="preserve">   870899</v>
      </c>
      <c r="B436" t="str">
        <f>T("   AUTRES")</f>
        <v xml:space="preserve">   AUTRES</v>
      </c>
      <c r="C436" s="4">
        <v>31.71</v>
      </c>
      <c r="D436" s="4">
        <v>1471574</v>
      </c>
    </row>
    <row r="437" spans="1:4" x14ac:dyDescent="0.25">
      <c r="A437" t="str">
        <f>T("   870990")</f>
        <v xml:space="preserve">   870990</v>
      </c>
      <c r="B437" t="str">
        <f>T("   PARTIES")</f>
        <v xml:space="preserve">   PARTIES</v>
      </c>
      <c r="C437" s="4">
        <v>50</v>
      </c>
      <c r="D437" s="4">
        <v>200000</v>
      </c>
    </row>
    <row r="438" spans="1:4" x14ac:dyDescent="0.25">
      <c r="A438" t="str">
        <f>T("   902610")</f>
        <v xml:space="preserve">   902610</v>
      </c>
      <c r="B438" t="str">
        <f>T("   POUR LA MESURE OU LE CONTROLE DU DEBIT OU DU NIVEAU DES LIQUIDES")</f>
        <v xml:space="preserve">   POUR LA MESURE OU LE CONTROLE DU DEBIT OU DU NIVEAU DES LIQUIDES</v>
      </c>
      <c r="C438" s="4">
        <v>0.3</v>
      </c>
      <c r="D438" s="4">
        <v>118867</v>
      </c>
    </row>
    <row r="439" spans="1:4" x14ac:dyDescent="0.25">
      <c r="A439" t="str">
        <f>T("   902990")</f>
        <v xml:space="preserve">   902990</v>
      </c>
      <c r="B439" t="str">
        <f>T("   PARTIES ET ACCESSOIRES")</f>
        <v xml:space="preserve">   PARTIES ET ACCESSOIRES</v>
      </c>
      <c r="C439" s="4">
        <v>0.4</v>
      </c>
      <c r="D439" s="4">
        <v>147073</v>
      </c>
    </row>
    <row r="440" spans="1:4" x14ac:dyDescent="0.25">
      <c r="A440" t="str">
        <f>T("   903190")</f>
        <v xml:space="preserve">   903190</v>
      </c>
      <c r="B440" t="str">
        <f>T("   PARTIES ET ACCESSOIRES")</f>
        <v xml:space="preserve">   PARTIES ET ACCESSOIRES</v>
      </c>
      <c r="C440" s="4">
        <v>5.9</v>
      </c>
      <c r="D440" s="4">
        <v>619508</v>
      </c>
    </row>
    <row r="441" spans="1:4" x14ac:dyDescent="0.25">
      <c r="A441" t="str">
        <f>T("   903290")</f>
        <v xml:space="preserve">   903290</v>
      </c>
      <c r="B441" t="str">
        <f>T("   PARTIES ET ACCESSOIRES")</f>
        <v xml:space="preserve">   PARTIES ET ACCESSOIRES</v>
      </c>
      <c r="C441" s="4">
        <v>1.48</v>
      </c>
      <c r="D441" s="4">
        <v>2156403</v>
      </c>
    </row>
    <row r="442" spans="1:4" x14ac:dyDescent="0.25">
      <c r="A442" t="str">
        <f>T("   940120")</f>
        <v xml:space="preserve">   940120</v>
      </c>
      <c r="B442" t="str">
        <f>T("   SIEGES DES TYPES UTILISES POUR VEHICULES AUTOMOBILES")</f>
        <v xml:space="preserve">   SIEGES DES TYPES UTILISES POUR VEHICULES AUTOMOBILES</v>
      </c>
      <c r="C442" s="4">
        <v>136</v>
      </c>
      <c r="D442" s="4">
        <v>3180173</v>
      </c>
    </row>
    <row r="443" spans="1:4" x14ac:dyDescent="0.25">
      <c r="A443" t="str">
        <f>T("   940540")</f>
        <v xml:space="preserve">   940540</v>
      </c>
      <c r="B443" t="str">
        <f>T("   AUTRES APPAREILS D'ECLAIRAGE ELECTRIQUES")</f>
        <v xml:space="preserve">   AUTRES APPAREILS D'ECLAIRAGE ELECTRIQUES</v>
      </c>
      <c r="C443" s="4">
        <v>74</v>
      </c>
      <c r="D443" s="4">
        <v>1440626</v>
      </c>
    </row>
    <row r="444" spans="1:4" s="5" customFormat="1" x14ac:dyDescent="0.25">
      <c r="A444" s="5" t="str">
        <f>T("   ZZ_Total_Produit_SH6")</f>
        <v xml:space="preserve">   ZZ_Total_Produit_SH6</v>
      </c>
      <c r="B444" s="5" t="str">
        <f>T("   ZZ_Total_Produit_SH6")</f>
        <v xml:space="preserve">   ZZ_Total_Produit_SH6</v>
      </c>
      <c r="C444" s="1">
        <v>666775.57999999996</v>
      </c>
      <c r="D444" s="1">
        <v>3249495180</v>
      </c>
    </row>
    <row r="445" spans="1:4" s="5" customFormat="1" x14ac:dyDescent="0.25">
      <c r="B445" s="5" t="str">
        <f>T("Australie")</f>
        <v>Australie</v>
      </c>
      <c r="C445" s="1"/>
      <c r="D445" s="1"/>
    </row>
    <row r="446" spans="1:4" x14ac:dyDescent="0.25">
      <c r="A446" t="str">
        <f>T("   020714")</f>
        <v xml:space="preserve">   020714</v>
      </c>
      <c r="B446" t="str">
        <f>T("   MORCEAUX ET ABATS, CONGELES")</f>
        <v xml:space="preserve">   MORCEAUX ET ABATS, CONGELES</v>
      </c>
      <c r="C446" s="4">
        <v>398674</v>
      </c>
      <c r="D446" s="4">
        <v>248800938</v>
      </c>
    </row>
    <row r="447" spans="1:4" x14ac:dyDescent="0.25">
      <c r="A447" t="str">
        <f>T("   020727")</f>
        <v xml:space="preserve">   020727</v>
      </c>
      <c r="B447" t="str">
        <f>T("   MORCEAUX ET ABATS, CONGELES")</f>
        <v xml:space="preserve">   MORCEAUX ET ABATS, CONGELES</v>
      </c>
      <c r="C447" s="4">
        <v>245278</v>
      </c>
      <c r="D447" s="4">
        <v>160165000</v>
      </c>
    </row>
    <row r="448" spans="1:4" x14ac:dyDescent="0.25">
      <c r="A448" t="str">
        <f>T("   040210")</f>
        <v xml:space="preserve">   040210</v>
      </c>
      <c r="B448" t="str">
        <f>T("   EN POUDRE, EN GRANULES OU SOUS D’AUTRES FORMES SOLIDES, D’UNE TENEUR EN POIDS DE MATI")</f>
        <v xml:space="preserve">   EN POUDRE, EN GRANULES OU SOUS D’AUTRES FORMES SOLIDES, D’UNE TENEUR EN POIDS DE MATI</v>
      </c>
      <c r="C448" s="4">
        <v>32320</v>
      </c>
      <c r="D448" s="4">
        <v>69971000</v>
      </c>
    </row>
    <row r="449" spans="1:4" x14ac:dyDescent="0.25">
      <c r="A449" t="str">
        <f>T("   040221")</f>
        <v xml:space="preserve">   040221</v>
      </c>
      <c r="B449" t="str">
        <f>T("   SANS ADDITION DE SUCRE OU D'AUTRES EDULCORANTS")</f>
        <v xml:space="preserve">   SANS ADDITION DE SUCRE OU D'AUTRES EDULCORANTS</v>
      </c>
      <c r="C449" s="4">
        <v>16160</v>
      </c>
      <c r="D449" s="4">
        <v>34985626</v>
      </c>
    </row>
    <row r="450" spans="1:4" x14ac:dyDescent="0.25">
      <c r="A450" t="str">
        <f>T("   200990")</f>
        <v xml:space="preserve">   200990</v>
      </c>
      <c r="B450" t="str">
        <f>T("   MELANGES DE JUS")</f>
        <v xml:space="preserve">   MELANGES DE JUS</v>
      </c>
      <c r="C450" s="4">
        <v>18820</v>
      </c>
      <c r="D450" s="4">
        <v>4935443</v>
      </c>
    </row>
    <row r="451" spans="1:4" x14ac:dyDescent="0.25">
      <c r="A451" t="str">
        <f>T("   210690")</f>
        <v xml:space="preserve">   210690</v>
      </c>
      <c r="B451" t="str">
        <f>T("   AUTRES")</f>
        <v xml:space="preserve">   AUTRES</v>
      </c>
      <c r="C451" s="4">
        <v>385</v>
      </c>
      <c r="D451" s="4">
        <v>100575</v>
      </c>
    </row>
    <row r="452" spans="1:4" x14ac:dyDescent="0.25">
      <c r="A452" t="str">
        <f>T("   220290")</f>
        <v xml:space="preserve">   220290</v>
      </c>
      <c r="B452" t="str">
        <f>T("   AUTRES")</f>
        <v xml:space="preserve">   AUTRES</v>
      </c>
      <c r="C452" s="4">
        <v>770298</v>
      </c>
      <c r="D452" s="4">
        <v>140084520</v>
      </c>
    </row>
    <row r="453" spans="1:4" x14ac:dyDescent="0.25">
      <c r="A453" t="str">
        <f>T("   401220")</f>
        <v xml:space="preserve">   401220</v>
      </c>
      <c r="B453" t="str">
        <f>T("   PNEUMATIQUES USAGES")</f>
        <v xml:space="preserve">   PNEUMATIQUES USAGES</v>
      </c>
      <c r="C453" s="4">
        <v>17000</v>
      </c>
      <c r="D453" s="4">
        <v>1800000</v>
      </c>
    </row>
    <row r="454" spans="1:4" x14ac:dyDescent="0.25">
      <c r="A454" t="str">
        <f>T("   401310")</f>
        <v xml:space="preserve">   401310</v>
      </c>
      <c r="B454" t="str">
        <f>T("   DES TYPES UTILISES POUR LES VOITURES DE TOURISME (Y COMPRIS LES VOITURES DU TYPE «BRE")</f>
        <v xml:space="preserve">   DES TYPES UTILISES POUR LES VOITURES DE TOURISME (Y COMPRIS LES VOITURES DU TYPE «BRE</v>
      </c>
      <c r="C454" s="4">
        <v>3850</v>
      </c>
      <c r="D454" s="4">
        <v>382000</v>
      </c>
    </row>
    <row r="455" spans="1:4" x14ac:dyDescent="0.25">
      <c r="A455" t="str">
        <f>T("   480419")</f>
        <v xml:space="preserve">   480419</v>
      </c>
      <c r="B455" t="str">
        <f>T("   AUTRES")</f>
        <v xml:space="preserve">   AUTRES</v>
      </c>
      <c r="C455" s="4">
        <v>12743</v>
      </c>
      <c r="D455" s="4">
        <v>16114969</v>
      </c>
    </row>
    <row r="456" spans="1:4" x14ac:dyDescent="0.25">
      <c r="A456" t="str">
        <f>T("   480519")</f>
        <v xml:space="preserve">   480519</v>
      </c>
      <c r="B456" t="str">
        <f>T("   AUTRES")</f>
        <v xml:space="preserve">   AUTRES</v>
      </c>
      <c r="C456" s="4">
        <v>12228</v>
      </c>
      <c r="D456" s="4">
        <v>12891674</v>
      </c>
    </row>
    <row r="457" spans="1:4" x14ac:dyDescent="0.25">
      <c r="A457" t="str">
        <f>T("   482090")</f>
        <v xml:space="preserve">   482090</v>
      </c>
      <c r="B457" t="str">
        <f>T("   AUTRES")</f>
        <v xml:space="preserve">   AUTRES</v>
      </c>
      <c r="C457" s="4">
        <v>227</v>
      </c>
      <c r="D457" s="4">
        <v>367325</v>
      </c>
    </row>
    <row r="458" spans="1:4" x14ac:dyDescent="0.25">
      <c r="A458" t="str">
        <f>T("   490199")</f>
        <v xml:space="preserve">   490199</v>
      </c>
      <c r="B458" t="str">
        <f>T("   AUTRES")</f>
        <v xml:space="preserve">   AUTRES</v>
      </c>
      <c r="C458" s="4">
        <v>438</v>
      </c>
      <c r="D458" s="4">
        <v>486066</v>
      </c>
    </row>
    <row r="459" spans="1:4" x14ac:dyDescent="0.25">
      <c r="A459" t="str">
        <f>T("   520829")</f>
        <v xml:space="preserve">   520829</v>
      </c>
      <c r="B459" t="str">
        <f>T("   AUTRES TISSUS")</f>
        <v xml:space="preserve">   AUTRES TISSUS</v>
      </c>
      <c r="C459" s="4">
        <v>1220</v>
      </c>
      <c r="D459" s="4">
        <v>2439000</v>
      </c>
    </row>
    <row r="460" spans="1:4" x14ac:dyDescent="0.25">
      <c r="A460" t="str">
        <f>T("   520839")</f>
        <v xml:space="preserve">   520839</v>
      </c>
      <c r="B460" t="str">
        <f>T("   AUTRES TISSUS")</f>
        <v xml:space="preserve">   AUTRES TISSUS</v>
      </c>
      <c r="C460" s="4">
        <v>410</v>
      </c>
      <c r="D460" s="4">
        <v>819000</v>
      </c>
    </row>
    <row r="461" spans="1:4" x14ac:dyDescent="0.25">
      <c r="A461" t="str">
        <f>T("   520859")</f>
        <v xml:space="preserve">   520859</v>
      </c>
      <c r="B461" t="str">
        <f>T("   AUTRES TISSUS")</f>
        <v xml:space="preserve">   AUTRES TISSUS</v>
      </c>
      <c r="C461" s="4">
        <v>12302</v>
      </c>
      <c r="D461" s="4">
        <v>20415029</v>
      </c>
    </row>
    <row r="462" spans="1:4" x14ac:dyDescent="0.25">
      <c r="A462" t="str">
        <f>T("   551429")</f>
        <v xml:space="preserve">   551429</v>
      </c>
      <c r="B462" t="str">
        <f>T("   AUTRES TISSUS")</f>
        <v xml:space="preserve">   AUTRES TISSUS</v>
      </c>
      <c r="C462" s="4">
        <v>6290</v>
      </c>
      <c r="D462" s="4">
        <v>6761926</v>
      </c>
    </row>
    <row r="463" spans="1:4" x14ac:dyDescent="0.25">
      <c r="A463" t="str">
        <f>T("   580890")</f>
        <v xml:space="preserve">   580890</v>
      </c>
      <c r="B463" t="str">
        <f>T("   AUTRES")</f>
        <v xml:space="preserve">   AUTRES</v>
      </c>
      <c r="C463" s="4">
        <v>252</v>
      </c>
      <c r="D463" s="4">
        <v>503280</v>
      </c>
    </row>
    <row r="464" spans="1:4" x14ac:dyDescent="0.25">
      <c r="A464" t="str">
        <f>T("   581091")</f>
        <v xml:space="preserve">   581091</v>
      </c>
      <c r="B464" t="str">
        <f>T("   DE COTON")</f>
        <v xml:space="preserve">   DE COTON</v>
      </c>
      <c r="C464" s="4">
        <v>330</v>
      </c>
      <c r="D464" s="4">
        <v>856000</v>
      </c>
    </row>
    <row r="465" spans="1:4" x14ac:dyDescent="0.25">
      <c r="A465" t="str">
        <f>T("   581099")</f>
        <v xml:space="preserve">   581099</v>
      </c>
      <c r="B465" t="str">
        <f>T("   D'AUTRES MATIERES TEXTILES")</f>
        <v xml:space="preserve">   D'AUTRES MATIERES TEXTILES</v>
      </c>
      <c r="C465" s="4">
        <v>727</v>
      </c>
      <c r="D465" s="4">
        <v>2237250</v>
      </c>
    </row>
    <row r="466" spans="1:4" x14ac:dyDescent="0.25">
      <c r="A466" t="str">
        <f>T("   620829")</f>
        <v xml:space="preserve">   620829</v>
      </c>
      <c r="B466" t="str">
        <f>T("   D'AUTRES MATIERES TEXTILES")</f>
        <v xml:space="preserve">   D'AUTRES MATIERES TEXTILES</v>
      </c>
      <c r="C466" s="4">
        <v>10800</v>
      </c>
      <c r="D466" s="4">
        <v>2302769</v>
      </c>
    </row>
    <row r="467" spans="1:4" x14ac:dyDescent="0.25">
      <c r="A467" t="str">
        <f>T("   640590")</f>
        <v xml:space="preserve">   640590</v>
      </c>
      <c r="B467" t="str">
        <f>T("   AUTRES")</f>
        <v xml:space="preserve">   AUTRES</v>
      </c>
      <c r="C467" s="4">
        <v>115</v>
      </c>
      <c r="D467" s="4">
        <v>400806</v>
      </c>
    </row>
    <row r="468" spans="1:4" x14ac:dyDescent="0.25">
      <c r="A468" t="str">
        <f>T("   721399")</f>
        <v xml:space="preserve">   721399</v>
      </c>
      <c r="B468" t="str">
        <f>T("   AUTRES")</f>
        <v xml:space="preserve">   AUTRES</v>
      </c>
      <c r="C468" s="4">
        <v>3027260</v>
      </c>
      <c r="D468" s="4">
        <v>852625580</v>
      </c>
    </row>
    <row r="469" spans="1:4" x14ac:dyDescent="0.25">
      <c r="A469" t="str">
        <f>T("   841290")</f>
        <v xml:space="preserve">   841290</v>
      </c>
      <c r="B469" t="str">
        <f>T("   PARTIES")</f>
        <v xml:space="preserve">   PARTIES</v>
      </c>
      <c r="C469" s="4">
        <v>1.1000000000000001</v>
      </c>
      <c r="D469" s="4">
        <v>661864</v>
      </c>
    </row>
    <row r="470" spans="1:4" x14ac:dyDescent="0.25">
      <c r="A470" t="str">
        <f>T("   841490")</f>
        <v xml:space="preserve">   841490</v>
      </c>
      <c r="B470" t="str">
        <f>T("   PARTIES")</f>
        <v xml:space="preserve">   PARTIES</v>
      </c>
      <c r="C470" s="4">
        <v>18250</v>
      </c>
      <c r="D470" s="4">
        <v>22123563</v>
      </c>
    </row>
    <row r="471" spans="1:4" x14ac:dyDescent="0.25">
      <c r="A471" t="str">
        <f>T("   841829")</f>
        <v xml:space="preserve">   841829</v>
      </c>
      <c r="B471" t="str">
        <f>T("   AUTRES")</f>
        <v xml:space="preserve">   AUTRES</v>
      </c>
      <c r="C471" s="4">
        <v>11500</v>
      </c>
      <c r="D471" s="4">
        <v>2987376</v>
      </c>
    </row>
    <row r="472" spans="1:4" x14ac:dyDescent="0.25">
      <c r="A472" t="str">
        <f>T("   842129")</f>
        <v xml:space="preserve">   842129</v>
      </c>
      <c r="B472" t="str">
        <f>T("   AUTRES")</f>
        <v xml:space="preserve">   AUTRES</v>
      </c>
      <c r="C472" s="4">
        <v>4.3</v>
      </c>
      <c r="D472" s="4">
        <v>333217</v>
      </c>
    </row>
    <row r="473" spans="1:4" x14ac:dyDescent="0.25">
      <c r="A473" t="str">
        <f>T("   843149")</f>
        <v xml:space="preserve">   843149</v>
      </c>
      <c r="B473" t="str">
        <f>T("   AUTRES")</f>
        <v xml:space="preserve">   AUTRES</v>
      </c>
      <c r="C473" s="4">
        <v>10.7</v>
      </c>
      <c r="D473" s="4">
        <v>15895245</v>
      </c>
    </row>
    <row r="474" spans="1:4" x14ac:dyDescent="0.25">
      <c r="A474" t="str">
        <f>T("   846729")</f>
        <v xml:space="preserve">   846729</v>
      </c>
      <c r="B474" t="str">
        <f>T("   AUTRES")</f>
        <v xml:space="preserve">   AUTRES</v>
      </c>
      <c r="C474" s="4">
        <v>331</v>
      </c>
      <c r="D474" s="4">
        <v>886056</v>
      </c>
    </row>
    <row r="475" spans="1:4" x14ac:dyDescent="0.25">
      <c r="A475" t="str">
        <f>T("   847130")</f>
        <v xml:space="preserve">   847130</v>
      </c>
      <c r="B475" t="str">
        <f>T("   MACHINES AUTOMATIQUES DE TRAITEMENT DE L'INFORMATION PORTATIVES, D'UN POIDS N'EXCEDAN")</f>
        <v xml:space="preserve">   MACHINES AUTOMATIQUES DE TRAITEMENT DE L'INFORMATION PORTATIVES, D'UN POIDS N'EXCEDAN</v>
      </c>
      <c r="C475" s="4">
        <v>6</v>
      </c>
      <c r="D475" s="4">
        <v>248948</v>
      </c>
    </row>
    <row r="476" spans="1:4" x14ac:dyDescent="0.25">
      <c r="A476" t="str">
        <f>T("   847330")</f>
        <v xml:space="preserve">   847330</v>
      </c>
      <c r="B476" t="str">
        <f>T("   PARTIES ET ACCESSOIRES DES MACHINES DU N° 84.71")</f>
        <v xml:space="preserve">   PARTIES ET ACCESSOIRES DES MACHINES DU N° 84.71</v>
      </c>
      <c r="C476" s="4">
        <v>0.3</v>
      </c>
      <c r="D476" s="4">
        <v>97082</v>
      </c>
    </row>
    <row r="477" spans="1:4" x14ac:dyDescent="0.25">
      <c r="A477" t="str">
        <f>T("   847982")</f>
        <v xml:space="preserve">   847982</v>
      </c>
      <c r="B477" t="str">
        <f>T("   A MELANGER, MALAXER, CONCASSER, BROYER, CRIBLER, TAMISER, HOMOGENEISER, EMULSIONNER")</f>
        <v xml:space="preserve">   A MELANGER, MALAXER, CONCASSER, BROYER, CRIBLER, TAMISER, HOMOGENEISER, EMULSIONNER</v>
      </c>
      <c r="C477" s="4">
        <v>135</v>
      </c>
      <c r="D477" s="4">
        <v>8361522</v>
      </c>
    </row>
    <row r="478" spans="1:4" x14ac:dyDescent="0.25">
      <c r="A478" t="str">
        <f>T("   852871")</f>
        <v xml:space="preserve">   852871</v>
      </c>
      <c r="B478" t="str">
        <f>T("   NON CONCUS POUR INCORPORER UN DISPOSITIF D'AFFICHAGE OU UN ECRAN VIDEO")</f>
        <v xml:space="preserve">   NON CONCUS POUR INCORPORER UN DISPOSITIF D'AFFICHAGE OU UN ECRAN VIDEO</v>
      </c>
      <c r="C478" s="4">
        <v>55</v>
      </c>
      <c r="D478" s="4">
        <v>497896</v>
      </c>
    </row>
    <row r="479" spans="1:4" x14ac:dyDescent="0.25">
      <c r="A479" t="str">
        <f>T("   853929")</f>
        <v xml:space="preserve">   853929</v>
      </c>
      <c r="B479" t="str">
        <f>T("   AUTRES")</f>
        <v xml:space="preserve">   AUTRES</v>
      </c>
      <c r="C479" s="4">
        <v>8</v>
      </c>
      <c r="D479" s="4">
        <v>506631</v>
      </c>
    </row>
    <row r="480" spans="1:4" x14ac:dyDescent="0.25">
      <c r="A480" t="str">
        <f>T("   854470")</f>
        <v xml:space="preserve">   854470</v>
      </c>
      <c r="B480" t="str">
        <f>T("   Cables de fibres optiques")</f>
        <v xml:space="preserve">   Cables de fibres optiques</v>
      </c>
      <c r="C480" s="4">
        <v>1.1499999999999999</v>
      </c>
      <c r="D480" s="4">
        <v>152511</v>
      </c>
    </row>
    <row r="481" spans="1:4" x14ac:dyDescent="0.25">
      <c r="A481" t="str">
        <f>T("   871200")</f>
        <v xml:space="preserve">   871200</v>
      </c>
      <c r="B481" t="str">
        <f>T("   BICYCLETTES ET AUTRES CYCLES (Y COMPRIS LES TRIPORTEURS), SANS MOTEUR.")</f>
        <v xml:space="preserve">   BICYCLETTES ET AUTRES CYCLES (Y COMPRIS LES TRIPORTEURS), SANS MOTEUR.</v>
      </c>
      <c r="C481" s="4">
        <v>500</v>
      </c>
      <c r="D481" s="4">
        <v>276332</v>
      </c>
    </row>
    <row r="482" spans="1:4" s="5" customFormat="1" x14ac:dyDescent="0.25">
      <c r="A482" s="5" t="str">
        <f>T("   ZZ_Total_Produit_SH6")</f>
        <v xml:space="preserve">   ZZ_Total_Produit_SH6</v>
      </c>
      <c r="B482" s="5" t="str">
        <f>T("   ZZ_Total_Produit_SH6")</f>
        <v xml:space="preserve">   ZZ_Total_Produit_SH6</v>
      </c>
      <c r="C482" s="1">
        <v>4618929.55</v>
      </c>
      <c r="D482" s="1">
        <v>1633474019</v>
      </c>
    </row>
    <row r="483" spans="1:4" s="5" customFormat="1" x14ac:dyDescent="0.25">
      <c r="B483" s="5" t="str">
        <f>T("Barbade")</f>
        <v>Barbade</v>
      </c>
      <c r="C483" s="1"/>
      <c r="D483" s="1"/>
    </row>
    <row r="484" spans="1:4" x14ac:dyDescent="0.25">
      <c r="A484" t="str">
        <f>T("   630900")</f>
        <v xml:space="preserve">   630900</v>
      </c>
      <c r="B484" t="str">
        <f>T("   ARTICLES DE FRIPERIE.")</f>
        <v xml:space="preserve">   ARTICLES DE FRIPERIE.</v>
      </c>
      <c r="C484" s="4">
        <v>5500</v>
      </c>
      <c r="D484" s="4">
        <v>4369198</v>
      </c>
    </row>
    <row r="485" spans="1:4" s="5" customFormat="1" x14ac:dyDescent="0.25">
      <c r="A485" s="5" t="str">
        <f>T("   ZZ_Total_Produit_SH6")</f>
        <v xml:space="preserve">   ZZ_Total_Produit_SH6</v>
      </c>
      <c r="B485" s="5" t="str">
        <f>T("   ZZ_Total_Produit_SH6")</f>
        <v xml:space="preserve">   ZZ_Total_Produit_SH6</v>
      </c>
      <c r="C485" s="1">
        <v>5500</v>
      </c>
      <c r="D485" s="1">
        <v>4369198</v>
      </c>
    </row>
    <row r="486" spans="1:4" s="5" customFormat="1" x14ac:dyDescent="0.25">
      <c r="B486" s="5" t="str">
        <f>T("Bangladesh")</f>
        <v>Bangladesh</v>
      </c>
      <c r="C486" s="1"/>
      <c r="D486" s="1"/>
    </row>
    <row r="487" spans="1:4" x14ac:dyDescent="0.25">
      <c r="A487" t="str">
        <f>T("   200980")</f>
        <v xml:space="preserve">   200980</v>
      </c>
      <c r="B487" t="str">
        <f>T("   AUTRES JUS DE FRUITS OU DE LEGUMES,SANS ALCOOL,SUCRES OU NON")</f>
        <v xml:space="preserve">   AUTRES JUS DE FRUITS OU DE LEGUMES,SANS ALCOOL,SUCRES OU NON</v>
      </c>
      <c r="C487" s="4">
        <v>58120</v>
      </c>
      <c r="D487" s="4">
        <v>10285080</v>
      </c>
    </row>
    <row r="488" spans="1:4" x14ac:dyDescent="0.25">
      <c r="A488" t="str">
        <f>T("   200990")</f>
        <v xml:space="preserve">   200990</v>
      </c>
      <c r="B488" t="str">
        <f>T("   MELANGES DE JUS")</f>
        <v xml:space="preserve">   MELANGES DE JUS</v>
      </c>
      <c r="C488" s="4">
        <v>1950</v>
      </c>
      <c r="D488" s="4">
        <v>4205000</v>
      </c>
    </row>
    <row r="489" spans="1:4" x14ac:dyDescent="0.25">
      <c r="A489" t="str">
        <f>T("   300420")</f>
        <v xml:space="preserve">   300420</v>
      </c>
      <c r="B489" t="str">
        <f>T("   CONTENANT D'AUTRES ANTIBIOTIQUES")</f>
        <v xml:space="preserve">   CONTENANT D'AUTRES ANTIBIOTIQUES</v>
      </c>
      <c r="C489" s="4">
        <v>257</v>
      </c>
      <c r="D489" s="4">
        <v>4433764</v>
      </c>
    </row>
    <row r="490" spans="1:4" x14ac:dyDescent="0.25">
      <c r="A490" t="str">
        <f>T("   300490")</f>
        <v xml:space="preserve">   300490</v>
      </c>
      <c r="B490" t="str">
        <f>T("   AUTRES")</f>
        <v xml:space="preserve">   AUTRES</v>
      </c>
      <c r="C490" s="4">
        <v>457</v>
      </c>
      <c r="D490" s="4">
        <v>764850</v>
      </c>
    </row>
    <row r="491" spans="1:4" x14ac:dyDescent="0.25">
      <c r="A491" t="str">
        <f>T("   491000")</f>
        <v xml:space="preserve">   491000</v>
      </c>
      <c r="B491" t="str">
        <f>T("   CALENDRIERS DE TOUS GENRES, IMPRIMES, Y COMPRIS LES BLOCS DE CALENDRIERS A EFFEUILLER.")</f>
        <v xml:space="preserve">   CALENDRIERS DE TOUS GENRES, IMPRIMES, Y COMPRIS LES BLOCS DE CALENDRIERS A EFFEUILLER.</v>
      </c>
      <c r="C491" s="4">
        <v>10</v>
      </c>
      <c r="D491" s="4">
        <v>5000</v>
      </c>
    </row>
    <row r="492" spans="1:4" x14ac:dyDescent="0.25">
      <c r="A492" t="str">
        <f>T("   491199")</f>
        <v xml:space="preserve">   491199</v>
      </c>
      <c r="B492" t="str">
        <f>T("   AUTRES")</f>
        <v xml:space="preserve">   AUTRES</v>
      </c>
      <c r="C492" s="4">
        <v>9</v>
      </c>
      <c r="D492" s="4">
        <v>6392</v>
      </c>
    </row>
    <row r="493" spans="1:4" x14ac:dyDescent="0.25">
      <c r="A493" t="str">
        <f>T("   610910")</f>
        <v xml:space="preserve">   610910</v>
      </c>
      <c r="B493" t="str">
        <f>T("   DE COTON")</f>
        <v xml:space="preserve">   DE COTON</v>
      </c>
      <c r="C493" s="4">
        <v>10941</v>
      </c>
      <c r="D493" s="4">
        <v>6550000</v>
      </c>
    </row>
    <row r="494" spans="1:4" x14ac:dyDescent="0.25">
      <c r="A494" t="str">
        <f>T("   630510")</f>
        <v xml:space="preserve">   630510</v>
      </c>
      <c r="B494" t="str">
        <f>T("   DE JUTE OU D'AUTRES FIBRES TEXTILES LIBERIENNES DU N° 53.03")</f>
        <v xml:space="preserve">   DE JUTE OU D'AUTRES FIBRES TEXTILES LIBERIENNES DU N° 53.03</v>
      </c>
      <c r="C494" s="4">
        <v>147136</v>
      </c>
      <c r="D494" s="4">
        <v>26639428</v>
      </c>
    </row>
    <row r="495" spans="1:4" s="5" customFormat="1" x14ac:dyDescent="0.25">
      <c r="A495" s="5" t="str">
        <f>T("   ZZ_Total_Produit_SH6")</f>
        <v xml:space="preserve">   ZZ_Total_Produit_SH6</v>
      </c>
      <c r="B495" s="5" t="str">
        <f>T("   ZZ_Total_Produit_SH6")</f>
        <v xml:space="preserve">   ZZ_Total_Produit_SH6</v>
      </c>
      <c r="C495" s="1">
        <v>218880</v>
      </c>
      <c r="D495" s="1">
        <v>52889514</v>
      </c>
    </row>
    <row r="496" spans="1:4" s="5" customFormat="1" x14ac:dyDescent="0.25">
      <c r="B496" s="5" t="str">
        <f>T("Belgique")</f>
        <v>Belgique</v>
      </c>
      <c r="C496" s="1"/>
      <c r="D496" s="1"/>
    </row>
    <row r="497" spans="1:4" x14ac:dyDescent="0.25">
      <c r="A497" t="str">
        <f>T("   010511")</f>
        <v xml:space="preserve">   010511</v>
      </c>
      <c r="B497" t="str">
        <f>T("   COQS ET POULES")</f>
        <v xml:space="preserve">   COQS ET POULES</v>
      </c>
      <c r="C497" s="4">
        <v>11097.4</v>
      </c>
      <c r="D497" s="4">
        <v>57019889</v>
      </c>
    </row>
    <row r="498" spans="1:4" x14ac:dyDescent="0.25">
      <c r="A498" t="str">
        <f>T("   020230")</f>
        <v xml:space="preserve">   020230</v>
      </c>
      <c r="B498" t="str">
        <f>T("   DESOSSEES")</f>
        <v xml:space="preserve">   DESOSSEES</v>
      </c>
      <c r="C498" s="4">
        <v>706</v>
      </c>
      <c r="D498" s="4">
        <v>1622189</v>
      </c>
    </row>
    <row r="499" spans="1:4" x14ac:dyDescent="0.25">
      <c r="A499" t="str">
        <f>T("   020629")</f>
        <v xml:space="preserve">   020629</v>
      </c>
      <c r="B499" t="str">
        <f>T("   AUTRES")</f>
        <v xml:space="preserve">   AUTRES</v>
      </c>
      <c r="C499" s="4">
        <v>75000</v>
      </c>
      <c r="D499" s="4">
        <v>46650033</v>
      </c>
    </row>
    <row r="500" spans="1:4" x14ac:dyDescent="0.25">
      <c r="A500" t="str">
        <f>T("   020712")</f>
        <v xml:space="preserve">   020712</v>
      </c>
      <c r="B500" t="str">
        <f>T("   NON DECOUPES EN MORCEAUX, CONGELES")</f>
        <v xml:space="preserve">   NON DECOUPES EN MORCEAUX, CONGELES</v>
      </c>
      <c r="C500" s="4">
        <v>1217974</v>
      </c>
      <c r="D500" s="4">
        <v>736650336</v>
      </c>
    </row>
    <row r="501" spans="1:4" x14ac:dyDescent="0.25">
      <c r="A501" t="str">
        <f>T("   020714")</f>
        <v xml:space="preserve">   020714</v>
      </c>
      <c r="B501" t="str">
        <f>T("   MORCEAUX ET ABATS, CONGELES")</f>
        <v xml:space="preserve">   MORCEAUX ET ABATS, CONGELES</v>
      </c>
      <c r="C501" s="4">
        <v>2133790</v>
      </c>
      <c r="D501" s="4">
        <v>1267984264</v>
      </c>
    </row>
    <row r="502" spans="1:4" x14ac:dyDescent="0.25">
      <c r="A502" t="str">
        <f>T("   020727")</f>
        <v xml:space="preserve">   020727</v>
      </c>
      <c r="B502" t="str">
        <f>T("   MORCEAUX ET ABATS, CONGELES")</f>
        <v xml:space="preserve">   MORCEAUX ET ABATS, CONGELES</v>
      </c>
      <c r="C502" s="4">
        <v>883452</v>
      </c>
      <c r="D502" s="4">
        <v>537293967</v>
      </c>
    </row>
    <row r="503" spans="1:4" x14ac:dyDescent="0.25">
      <c r="A503" t="str">
        <f>T("   020733")</f>
        <v xml:space="preserve">   020733</v>
      </c>
      <c r="B503" t="str">
        <f>T("   CANARDS, OIES OU PINTADES NON DECOUPES EN MORCEAUX, CONGELES")</f>
        <v xml:space="preserve">   CANARDS, OIES OU PINTADES NON DECOUPES EN MORCEAUX, CONGELES</v>
      </c>
      <c r="C503" s="4">
        <v>5048</v>
      </c>
      <c r="D503" s="4">
        <v>2511885</v>
      </c>
    </row>
    <row r="504" spans="1:4" x14ac:dyDescent="0.25">
      <c r="A504" t="str">
        <f>T("   020810")</f>
        <v xml:space="preserve">   020810</v>
      </c>
      <c r="B504" t="str">
        <f>T("   DE LAPINS OU DE LIEVRES")</f>
        <v xml:space="preserve">   DE LAPINS OU DE LIEVRES</v>
      </c>
      <c r="C504" s="4">
        <v>2058</v>
      </c>
      <c r="D504" s="4">
        <v>1024061</v>
      </c>
    </row>
    <row r="505" spans="1:4" x14ac:dyDescent="0.25">
      <c r="A505" t="str">
        <f>T("   021011")</f>
        <v xml:space="preserve">   021011</v>
      </c>
      <c r="B505" t="str">
        <f>T("   JAMBONS, EPAULES ET LEURS MORCEAUX, NON DESOSSES")</f>
        <v xml:space="preserve">   JAMBONS, EPAULES ET LEURS MORCEAUX, NON DESOSSES</v>
      </c>
      <c r="C505" s="4">
        <v>12408</v>
      </c>
      <c r="D505" s="4">
        <v>7442523</v>
      </c>
    </row>
    <row r="506" spans="1:4" x14ac:dyDescent="0.25">
      <c r="A506" t="str">
        <f>T("   021019")</f>
        <v xml:space="preserve">   021019</v>
      </c>
      <c r="B506" t="str">
        <f>T("   AUTRES")</f>
        <v xml:space="preserve">   AUTRES</v>
      </c>
      <c r="C506" s="4">
        <v>2464</v>
      </c>
      <c r="D506" s="4">
        <v>4805563</v>
      </c>
    </row>
    <row r="507" spans="1:4" x14ac:dyDescent="0.25">
      <c r="A507" t="str">
        <f>T("   021020")</f>
        <v xml:space="preserve">   021020</v>
      </c>
      <c r="B507" t="str">
        <f>T("   VIANDES DE L'ESPECE BOVINE")</f>
        <v xml:space="preserve">   VIANDES DE L'ESPECE BOVINE</v>
      </c>
      <c r="C507" s="4">
        <v>75000</v>
      </c>
      <c r="D507" s="4">
        <v>46650210</v>
      </c>
    </row>
    <row r="508" spans="1:4" x14ac:dyDescent="0.25">
      <c r="A508" t="str">
        <f>T("   030219")</f>
        <v xml:space="preserve">   030219</v>
      </c>
      <c r="B508" t="str">
        <f>T("   AUTRES")</f>
        <v xml:space="preserve">   AUTRES</v>
      </c>
      <c r="C508" s="4">
        <v>492344</v>
      </c>
      <c r="D508" s="4">
        <v>196112717</v>
      </c>
    </row>
    <row r="509" spans="1:4" x14ac:dyDescent="0.25">
      <c r="A509" t="str">
        <f>T("   030229")</f>
        <v xml:space="preserve">   030229</v>
      </c>
      <c r="B509" t="str">
        <f>T("   AUTRES")</f>
        <v xml:space="preserve">   AUTRES</v>
      </c>
      <c r="C509" s="4">
        <v>871240</v>
      </c>
      <c r="D509" s="4">
        <v>348496000</v>
      </c>
    </row>
    <row r="510" spans="1:4" x14ac:dyDescent="0.25">
      <c r="A510" t="str">
        <f>T("   030379")</f>
        <v xml:space="preserve">   030379</v>
      </c>
      <c r="B510" t="str">
        <f>T("   AUTRES POISSONS ENTIERS CONGELES.(FOIES,OEUFS,LAITANCES EXCLUS)")</f>
        <v xml:space="preserve">   AUTRES POISSONS ENTIERS CONGELES.(FOIES,OEUFS,LAITANCES EXCLUS)</v>
      </c>
      <c r="C510" s="4">
        <v>3153880</v>
      </c>
      <c r="D510" s="4">
        <v>1213666411</v>
      </c>
    </row>
    <row r="511" spans="1:4" x14ac:dyDescent="0.25">
      <c r="A511" t="str">
        <f>T("   030541")</f>
        <v xml:space="preserve">   030541</v>
      </c>
      <c r="B511" t="str">
        <f>T("   SAUMONS DU PACIFIQUE (ONCORHYNCHUS NERKA, ONCORHYNCHUS GORBUSCHA, ONCORHYNCHUS KETA,")</f>
        <v xml:space="preserve">   SAUMONS DU PACIFIQUE (ONCORHYNCHUS NERKA, ONCORHYNCHUS GORBUSCHA, ONCORHYNCHUS KETA,</v>
      </c>
      <c r="C511" s="4">
        <v>298</v>
      </c>
      <c r="D511" s="4">
        <v>578557</v>
      </c>
    </row>
    <row r="512" spans="1:4" x14ac:dyDescent="0.25">
      <c r="A512" t="str">
        <f>T("   030549")</f>
        <v xml:space="preserve">   030549</v>
      </c>
      <c r="B512" t="str">
        <f>T("   AUTRES")</f>
        <v xml:space="preserve">   AUTRES</v>
      </c>
      <c r="C512" s="4">
        <v>1284</v>
      </c>
      <c r="D512" s="4">
        <v>513600</v>
      </c>
    </row>
    <row r="513" spans="1:4" x14ac:dyDescent="0.25">
      <c r="A513" t="str">
        <f>T("   040110")</f>
        <v xml:space="preserve">   040110</v>
      </c>
      <c r="B513" t="str">
        <f>T("   D’UNE TENEUR EN POIDS DE MATIERES GRASSES N’EXCEDANT PAS 1 %")</f>
        <v xml:space="preserve">   D’UNE TENEUR EN POIDS DE MATIERES GRASSES N’EXCEDANT PAS 1 %</v>
      </c>
      <c r="C513" s="4">
        <v>4166</v>
      </c>
      <c r="D513" s="4">
        <v>1710744</v>
      </c>
    </row>
    <row r="514" spans="1:4" x14ac:dyDescent="0.25">
      <c r="A514" t="str">
        <f>T("   040120")</f>
        <v xml:space="preserve">   040120</v>
      </c>
      <c r="B514" t="str">
        <f>T("   D’UNE TENEUR EN POIDS DE MATIERES GRASSES EXCEDANT 1 % MAIS N’EXCEDANT PAS 6 %")</f>
        <v xml:space="preserve">   D’UNE TENEUR EN POIDS DE MATIERES GRASSES EXCEDANT 1 % MAIS N’EXCEDANT PAS 6 %</v>
      </c>
      <c r="C514" s="4">
        <v>36156</v>
      </c>
      <c r="D514" s="4">
        <v>23591601</v>
      </c>
    </row>
    <row r="515" spans="1:4" x14ac:dyDescent="0.25">
      <c r="A515" t="str">
        <f>T("   040210")</f>
        <v xml:space="preserve">   040210</v>
      </c>
      <c r="B515" t="str">
        <f>T("   EN POUDRE, EN GRANULES OU SOUS D’AUTRES FORMES SOLIDES, D’UNE TENEUR EN POIDS DE MATI")</f>
        <v xml:space="preserve">   EN POUDRE, EN GRANULES OU SOUS D’AUTRES FORMES SOLIDES, D’UNE TENEUR EN POIDS DE MATI</v>
      </c>
      <c r="C515" s="4">
        <v>26213</v>
      </c>
      <c r="D515" s="4">
        <v>52420000</v>
      </c>
    </row>
    <row r="516" spans="1:4" x14ac:dyDescent="0.25">
      <c r="A516" t="str">
        <f>T("   040221")</f>
        <v xml:space="preserve">   040221</v>
      </c>
      <c r="B516" t="str">
        <f>T("   SANS ADDITION DE SUCRE OU D'AUTRES EDULCORANTS")</f>
        <v xml:space="preserve">   SANS ADDITION DE SUCRE OU D'AUTRES EDULCORANTS</v>
      </c>
      <c r="C516" s="4">
        <v>213135</v>
      </c>
      <c r="D516" s="4">
        <v>483557269</v>
      </c>
    </row>
    <row r="517" spans="1:4" x14ac:dyDescent="0.25">
      <c r="A517" t="str">
        <f>T("   040229")</f>
        <v xml:space="preserve">   040229</v>
      </c>
      <c r="B517" t="str">
        <f>T("   AUTRES")</f>
        <v xml:space="preserve">   AUTRES</v>
      </c>
      <c r="C517" s="4">
        <v>26010</v>
      </c>
      <c r="D517" s="4">
        <v>23323616</v>
      </c>
    </row>
    <row r="518" spans="1:4" x14ac:dyDescent="0.25">
      <c r="A518" t="str">
        <f>T("   040299")</f>
        <v xml:space="preserve">   040299</v>
      </c>
      <c r="B518" t="str">
        <f>T("   AUTRES")</f>
        <v xml:space="preserve">   AUTRES</v>
      </c>
      <c r="C518" s="4">
        <v>106808</v>
      </c>
      <c r="D518" s="4">
        <v>82167335</v>
      </c>
    </row>
    <row r="519" spans="1:4" x14ac:dyDescent="0.25">
      <c r="A519" t="str">
        <f>T("   040310")</f>
        <v xml:space="preserve">   040310</v>
      </c>
      <c r="B519" t="str">
        <f>T("   YOGHOURT")</f>
        <v xml:space="preserve">   YOGHOURT</v>
      </c>
      <c r="C519" s="4">
        <v>9761</v>
      </c>
      <c r="D519" s="4">
        <v>20168148</v>
      </c>
    </row>
    <row r="520" spans="1:4" x14ac:dyDescent="0.25">
      <c r="A520" t="str">
        <f>T("   040390")</f>
        <v xml:space="preserve">   040390</v>
      </c>
      <c r="B520" t="str">
        <f>T("   AUTRES")</f>
        <v xml:space="preserve">   AUTRES</v>
      </c>
      <c r="C520" s="4">
        <v>18071</v>
      </c>
      <c r="D520" s="4">
        <v>10055867</v>
      </c>
    </row>
    <row r="521" spans="1:4" x14ac:dyDescent="0.25">
      <c r="A521" t="str">
        <f>T("   040510")</f>
        <v xml:space="preserve">   040510</v>
      </c>
      <c r="B521" t="str">
        <f>T("   BEURRE")</f>
        <v xml:space="preserve">   BEURRE</v>
      </c>
      <c r="C521" s="4">
        <v>2146</v>
      </c>
      <c r="D521" s="4">
        <v>4232254</v>
      </c>
    </row>
    <row r="522" spans="1:4" x14ac:dyDescent="0.25">
      <c r="A522" t="str">
        <f>T("   040690")</f>
        <v xml:space="preserve">   040690</v>
      </c>
      <c r="B522" t="str">
        <f>T("   AUTRES FROMAGES")</f>
        <v xml:space="preserve">   AUTRES FROMAGES</v>
      </c>
      <c r="C522" s="4">
        <v>34671</v>
      </c>
      <c r="D522" s="4">
        <v>68999778</v>
      </c>
    </row>
    <row r="523" spans="1:4" x14ac:dyDescent="0.25">
      <c r="A523" t="str">
        <f>T("   050400")</f>
        <v xml:space="preserve">   050400</v>
      </c>
      <c r="B523" t="str">
        <f>T("   BOYAUX, VESSIES ET ESTOMACS D'ANIMAUX, ENTIERS OU EN MORCEAUX, AUTRES QUE CEUX DE POISS")</f>
        <v xml:space="preserve">   BOYAUX, VESSIES ET ESTOMACS D'ANIMAUX, ENTIERS OU EN MORCEAUX, AUTRES QUE CEUX DE POISS</v>
      </c>
      <c r="C523" s="4">
        <v>89638</v>
      </c>
      <c r="D523" s="4">
        <v>107568636</v>
      </c>
    </row>
    <row r="524" spans="1:4" x14ac:dyDescent="0.25">
      <c r="A524" t="str">
        <f>T("   070190")</f>
        <v xml:space="preserve">   070190</v>
      </c>
      <c r="B524" t="str">
        <f>T("   AUTRES")</f>
        <v xml:space="preserve">   AUTRES</v>
      </c>
      <c r="C524" s="4">
        <v>206360</v>
      </c>
      <c r="D524" s="4">
        <v>40193163</v>
      </c>
    </row>
    <row r="525" spans="1:4" x14ac:dyDescent="0.25">
      <c r="A525" t="str">
        <f>T("   070310")</f>
        <v xml:space="preserve">   070310</v>
      </c>
      <c r="B525" t="str">
        <f>T("   OIGNONS ET ECHALOTES")</f>
        <v xml:space="preserve">   OIGNONS ET ECHALOTES</v>
      </c>
      <c r="C525" s="4">
        <v>52480</v>
      </c>
      <c r="D525" s="4">
        <v>8923680</v>
      </c>
    </row>
    <row r="526" spans="1:4" x14ac:dyDescent="0.25">
      <c r="A526" t="str">
        <f>T("   070390")</f>
        <v xml:space="preserve">   070390</v>
      </c>
      <c r="B526" t="str">
        <f>T("   POIREAUX ET AUTRES LEGUMES ALLIACES")</f>
        <v xml:space="preserve">   POIREAUX ET AUTRES LEGUMES ALLIACES</v>
      </c>
      <c r="C526" s="4">
        <v>1578</v>
      </c>
      <c r="D526" s="4">
        <v>3369012</v>
      </c>
    </row>
    <row r="527" spans="1:4" x14ac:dyDescent="0.25">
      <c r="A527" t="str">
        <f>T("   070610")</f>
        <v xml:space="preserve">   070610</v>
      </c>
      <c r="B527" t="str">
        <f>T("   CAROTTES ET NAVETS")</f>
        <v xml:space="preserve">   CAROTTES ET NAVETS</v>
      </c>
      <c r="C527" s="4">
        <v>1671</v>
      </c>
      <c r="D527" s="4">
        <v>3422799</v>
      </c>
    </row>
    <row r="528" spans="1:4" x14ac:dyDescent="0.25">
      <c r="A528" t="str">
        <f>T("   070990")</f>
        <v xml:space="preserve">   070990</v>
      </c>
      <c r="B528" t="str">
        <f>T("   AUTRES LEGUMES FRAIS OU REFRIGERES")</f>
        <v xml:space="preserve">   AUTRES LEGUMES FRAIS OU REFRIGERES</v>
      </c>
      <c r="C528" s="4">
        <v>1482</v>
      </c>
      <c r="D528" s="4">
        <v>2907214</v>
      </c>
    </row>
    <row r="529" spans="1:4" x14ac:dyDescent="0.25">
      <c r="A529" t="str">
        <f>T("   071010")</f>
        <v xml:space="preserve">   071010</v>
      </c>
      <c r="B529" t="str">
        <f>T("   POMMES DE TERRE")</f>
        <v xml:space="preserve">   POMMES DE TERRE</v>
      </c>
      <c r="C529" s="4">
        <v>881884</v>
      </c>
      <c r="D529" s="4">
        <v>166725305</v>
      </c>
    </row>
    <row r="530" spans="1:4" x14ac:dyDescent="0.25">
      <c r="A530" t="str">
        <f>T("   071080")</f>
        <v xml:space="preserve">   071080</v>
      </c>
      <c r="B530" t="str">
        <f>T("   AUTRES LEGUMES")</f>
        <v xml:space="preserve">   AUTRES LEGUMES</v>
      </c>
      <c r="C530" s="4">
        <v>1205</v>
      </c>
      <c r="D530" s="4">
        <v>2112191</v>
      </c>
    </row>
    <row r="531" spans="1:4" x14ac:dyDescent="0.25">
      <c r="A531" t="str">
        <f>T("   071090")</f>
        <v xml:space="preserve">   071090</v>
      </c>
      <c r="B531" t="str">
        <f>T("   MELANGES DE LEGUMES")</f>
        <v xml:space="preserve">   MELANGES DE LEGUMES</v>
      </c>
      <c r="C531" s="4">
        <v>3435</v>
      </c>
      <c r="D531" s="4">
        <v>7033859</v>
      </c>
    </row>
    <row r="532" spans="1:4" x14ac:dyDescent="0.25">
      <c r="A532" t="str">
        <f>T("   071490")</f>
        <v xml:space="preserve">   071490</v>
      </c>
      <c r="B532" t="str">
        <f>T("   AUTRES")</f>
        <v xml:space="preserve">   AUTRES</v>
      </c>
      <c r="C532" s="4">
        <v>137500</v>
      </c>
      <c r="D532" s="4">
        <v>20872500</v>
      </c>
    </row>
    <row r="533" spans="1:4" x14ac:dyDescent="0.25">
      <c r="A533" t="str">
        <f>T("   080590")</f>
        <v xml:space="preserve">   080590</v>
      </c>
      <c r="B533" t="str">
        <f>T("   AUTRES")</f>
        <v xml:space="preserve">   AUTRES</v>
      </c>
      <c r="C533" s="4">
        <v>349</v>
      </c>
      <c r="D533" s="4">
        <v>718276</v>
      </c>
    </row>
    <row r="534" spans="1:4" x14ac:dyDescent="0.25">
      <c r="A534" t="str">
        <f>T("   080810")</f>
        <v xml:space="preserve">   080810</v>
      </c>
      <c r="B534" t="str">
        <f>T("   POMMES")</f>
        <v xml:space="preserve">   POMMES</v>
      </c>
      <c r="C534" s="4">
        <v>21775</v>
      </c>
      <c r="D534" s="4">
        <v>11839423</v>
      </c>
    </row>
    <row r="535" spans="1:4" x14ac:dyDescent="0.25">
      <c r="A535" t="str">
        <f>T("   080820")</f>
        <v xml:space="preserve">   080820</v>
      </c>
      <c r="B535" t="str">
        <f>T("   Poires et coings,frais")</f>
        <v xml:space="preserve">   Poires et coings,frais</v>
      </c>
      <c r="C535" s="4">
        <v>3888</v>
      </c>
      <c r="D535" s="4">
        <v>655960</v>
      </c>
    </row>
    <row r="536" spans="1:4" x14ac:dyDescent="0.25">
      <c r="A536" t="str">
        <f>T("   081090")</f>
        <v xml:space="preserve">   081090</v>
      </c>
      <c r="B536" t="str">
        <f>T("   AUTRES")</f>
        <v xml:space="preserve">   AUTRES</v>
      </c>
      <c r="C536" s="4">
        <v>1783</v>
      </c>
      <c r="D536" s="4">
        <v>3760618</v>
      </c>
    </row>
    <row r="537" spans="1:4" x14ac:dyDescent="0.25">
      <c r="A537" t="str">
        <f>T("   090210")</f>
        <v xml:space="preserve">   090210</v>
      </c>
      <c r="B537" t="str">
        <f>T("   THE VERT (NON FERMENTE) PRESENTE EN EMBALLAGES IMMEDIATS D'UN CONTENU N'EXCEDANT PAS")</f>
        <v xml:space="preserve">   THE VERT (NON FERMENTE) PRESENTE EN EMBALLAGES IMMEDIATS D'UN CONTENU N'EXCEDANT PAS</v>
      </c>
      <c r="C537" s="4">
        <v>2976</v>
      </c>
      <c r="D537" s="4">
        <v>1165641</v>
      </c>
    </row>
    <row r="538" spans="1:4" x14ac:dyDescent="0.25">
      <c r="A538" t="str">
        <f>T("   110100")</f>
        <v xml:space="preserve">   110100</v>
      </c>
      <c r="B538" t="str">
        <f>T("   FARINES DE FROMENT (BLE) OU DE METEIL.")</f>
        <v xml:space="preserve">   FARINES DE FROMENT (BLE) OU DE METEIL.</v>
      </c>
      <c r="C538" s="4">
        <v>99810</v>
      </c>
      <c r="D538" s="4">
        <v>26627741.502</v>
      </c>
    </row>
    <row r="539" spans="1:4" x14ac:dyDescent="0.25">
      <c r="A539" t="str">
        <f>T("   110710")</f>
        <v xml:space="preserve">   110710</v>
      </c>
      <c r="B539" t="str">
        <f>T("   NON TORREFIE")</f>
        <v xml:space="preserve">   NON TORREFIE</v>
      </c>
      <c r="C539" s="4">
        <v>8820409</v>
      </c>
      <c r="D539" s="4">
        <v>3474986476</v>
      </c>
    </row>
    <row r="540" spans="1:4" x14ac:dyDescent="0.25">
      <c r="A540" t="str">
        <f>T("   121490")</f>
        <v xml:space="preserve">   121490</v>
      </c>
      <c r="B540" t="str">
        <f>T("   AUTRES")</f>
        <v xml:space="preserve">   AUTRES</v>
      </c>
      <c r="C540" s="4">
        <v>49</v>
      </c>
      <c r="D540" s="4">
        <v>956390</v>
      </c>
    </row>
    <row r="541" spans="1:4" x14ac:dyDescent="0.25">
      <c r="A541" t="str">
        <f>T("   150990")</f>
        <v xml:space="preserve">   150990</v>
      </c>
      <c r="B541" t="str">
        <f>T("   AUTRES")</f>
        <v xml:space="preserve">   AUTRES</v>
      </c>
      <c r="C541" s="4">
        <v>1506</v>
      </c>
      <c r="D541" s="4">
        <v>651554</v>
      </c>
    </row>
    <row r="542" spans="1:4" x14ac:dyDescent="0.25">
      <c r="A542" t="str">
        <f>T("   151710")</f>
        <v xml:space="preserve">   151710</v>
      </c>
      <c r="B542" t="str">
        <f>T("   Margarine, a l'exclusion de la margarine liquide")</f>
        <v xml:space="preserve">   Margarine, a l'exclusion de la margarine liquide</v>
      </c>
      <c r="C542" s="4">
        <v>305</v>
      </c>
      <c r="D542" s="4">
        <v>588397</v>
      </c>
    </row>
    <row r="543" spans="1:4" x14ac:dyDescent="0.25">
      <c r="A543" t="str">
        <f>T("   160100")</f>
        <v xml:space="preserve">   160100</v>
      </c>
      <c r="B543" t="str">
        <f>T("   SAUCISSES, SAUCISSONS ET PRODUITS SIMILAIRES, DE VIANDE, D'ABATS OU DE SANG; PREPARATIO")</f>
        <v xml:space="preserve">   SAUCISSES, SAUCISSONS ET PRODUITS SIMILAIRES, DE VIANDE, D'ABATS OU DE SANG; PREPARATIO</v>
      </c>
      <c r="C543" s="4">
        <v>20935</v>
      </c>
      <c r="D543" s="4">
        <v>25344331</v>
      </c>
    </row>
    <row r="544" spans="1:4" x14ac:dyDescent="0.25">
      <c r="A544" t="str">
        <f>T("   160239")</f>
        <v xml:space="preserve">   160239</v>
      </c>
      <c r="B544" t="str">
        <f>T("   AUTRES")</f>
        <v xml:space="preserve">   AUTRES</v>
      </c>
      <c r="C544" s="4">
        <v>11670</v>
      </c>
      <c r="D544" s="4">
        <v>5277856</v>
      </c>
    </row>
    <row r="545" spans="1:4" x14ac:dyDescent="0.25">
      <c r="A545" t="str">
        <f>T("   160241")</f>
        <v xml:space="preserve">   160241</v>
      </c>
      <c r="B545" t="str">
        <f>T("   JAMBONS ET LEURS MORCEAUX")</f>
        <v xml:space="preserve">   JAMBONS ET LEURS MORCEAUX</v>
      </c>
      <c r="C545" s="4">
        <v>325</v>
      </c>
      <c r="D545" s="4">
        <v>647432</v>
      </c>
    </row>
    <row r="546" spans="1:4" x14ac:dyDescent="0.25">
      <c r="A546" t="str">
        <f>T("   160250")</f>
        <v xml:space="preserve">   160250</v>
      </c>
      <c r="B546" t="str">
        <f>T("   DE L'ESPECE BOVINE")</f>
        <v xml:space="preserve">   DE L'ESPECE BOVINE</v>
      </c>
      <c r="C546" s="4">
        <v>45936</v>
      </c>
      <c r="D546" s="4">
        <v>15280000</v>
      </c>
    </row>
    <row r="547" spans="1:4" x14ac:dyDescent="0.25">
      <c r="A547" t="str">
        <f>T("   160420")</f>
        <v xml:space="preserve">   160420</v>
      </c>
      <c r="B547" t="str">
        <f>T("   Autres preparations et conserves de poissons")</f>
        <v xml:space="preserve">   Autres preparations et conserves de poissons</v>
      </c>
      <c r="C547" s="4">
        <v>9022</v>
      </c>
      <c r="D547" s="4">
        <v>14608229</v>
      </c>
    </row>
    <row r="548" spans="1:4" x14ac:dyDescent="0.25">
      <c r="A548" t="str">
        <f>T("   170219")</f>
        <v xml:space="preserve">   170219</v>
      </c>
      <c r="B548" t="str">
        <f>T("   AUTRES")</f>
        <v xml:space="preserve">   AUTRES</v>
      </c>
      <c r="C548" s="4">
        <v>216738</v>
      </c>
      <c r="D548" s="4">
        <v>26008560</v>
      </c>
    </row>
    <row r="549" spans="1:4" x14ac:dyDescent="0.25">
      <c r="A549" t="str">
        <f>T("   170290")</f>
        <v xml:space="preserve">   170290</v>
      </c>
      <c r="B549" t="str">
        <f>T("   AUTRES, Y COMPRIS LE SUCRE INVERTI (OU INTERVERTI) ET LES AUTRES SUCRES ET SIROPS DE")</f>
        <v xml:space="preserve">   AUTRES, Y COMPRIS LE SUCRE INVERTI (OU INTERVERTI) ET LES AUTRES SUCRES ET SIROPS DE</v>
      </c>
      <c r="C549" s="4">
        <v>2275</v>
      </c>
      <c r="D549" s="4">
        <v>5080640</v>
      </c>
    </row>
    <row r="550" spans="1:4" x14ac:dyDescent="0.25">
      <c r="A550" t="str">
        <f>T("   170410")</f>
        <v xml:space="preserve">   170410</v>
      </c>
      <c r="B550" t="str">
        <f>T("   GOMMES A MACHER (CHEWINGGUM), MEME ENROBEES DE SUCRE")</f>
        <v xml:space="preserve">   GOMMES A MACHER (CHEWINGGUM), MEME ENROBEES DE SUCRE</v>
      </c>
      <c r="C550" s="4">
        <v>20700</v>
      </c>
      <c r="D550" s="4">
        <v>3265000</v>
      </c>
    </row>
    <row r="551" spans="1:4" x14ac:dyDescent="0.25">
      <c r="A551" t="str">
        <f>T("   170490")</f>
        <v xml:space="preserve">   170490</v>
      </c>
      <c r="B551" t="str">
        <f>T("   AUTRES")</f>
        <v xml:space="preserve">   AUTRES</v>
      </c>
      <c r="C551" s="4">
        <v>88398</v>
      </c>
      <c r="D551" s="4">
        <v>20170271</v>
      </c>
    </row>
    <row r="552" spans="1:4" x14ac:dyDescent="0.25">
      <c r="A552" t="str">
        <f>T("   180631")</f>
        <v xml:space="preserve">   180631</v>
      </c>
      <c r="B552" t="str">
        <f>T("   FOURRES")</f>
        <v xml:space="preserve">   FOURRES</v>
      </c>
      <c r="C552" s="4">
        <v>1852</v>
      </c>
      <c r="D552" s="4">
        <v>3350645</v>
      </c>
    </row>
    <row r="553" spans="1:4" x14ac:dyDescent="0.25">
      <c r="A553" t="str">
        <f>T("   180632")</f>
        <v xml:space="preserve">   180632</v>
      </c>
      <c r="B553" t="str">
        <f>T("   NON FOURRES")</f>
        <v xml:space="preserve">   NON FOURRES</v>
      </c>
      <c r="C553" s="4">
        <v>5449</v>
      </c>
      <c r="D553" s="4">
        <v>11366476</v>
      </c>
    </row>
    <row r="554" spans="1:4" x14ac:dyDescent="0.25">
      <c r="A554" t="str">
        <f>T("   190110")</f>
        <v xml:space="preserve">   190110</v>
      </c>
      <c r="B554" t="str">
        <f>T("   PREPARATIONS POUR L'ALIMENTATION DES ENFANTS, CONDITIONNEES POUR LA VENTE AU DETAIL")</f>
        <v xml:space="preserve">   PREPARATIONS POUR L'ALIMENTATION DES ENFANTS, CONDITIONNEES POUR LA VENTE AU DETAIL</v>
      </c>
      <c r="C554" s="4">
        <v>16000</v>
      </c>
      <c r="D554" s="4">
        <v>3999388</v>
      </c>
    </row>
    <row r="555" spans="1:4" x14ac:dyDescent="0.25">
      <c r="A555" t="str">
        <f>T("   190120")</f>
        <v xml:space="preserve">   190120</v>
      </c>
      <c r="B555" t="str">
        <f>T("   MELANGES ET PATES POUR LA PREPARATION DES PRODUITS DE LA BOULANGERIE, DE LA PATISSERI")</f>
        <v xml:space="preserve">   MELANGES ET PATES POUR LA PREPARATION DES PRODUITS DE LA BOULANGERIE, DE LA PATISSERI</v>
      </c>
      <c r="C555" s="4">
        <v>2275</v>
      </c>
      <c r="D555" s="4">
        <v>3060053</v>
      </c>
    </row>
    <row r="556" spans="1:4" x14ac:dyDescent="0.25">
      <c r="A556" t="str">
        <f>T("   190190")</f>
        <v xml:space="preserve">   190190</v>
      </c>
      <c r="B556" t="str">
        <f>T("   AUTRES")</f>
        <v xml:space="preserve">   AUTRES</v>
      </c>
      <c r="C556" s="4">
        <v>21119</v>
      </c>
      <c r="D556" s="4">
        <v>8719020</v>
      </c>
    </row>
    <row r="557" spans="1:4" x14ac:dyDescent="0.25">
      <c r="A557" t="str">
        <f>T("   190531")</f>
        <v xml:space="preserve">   190531</v>
      </c>
      <c r="B557" t="str">
        <f>T("   BISCUITS ADDITIONNES D’EDULCORANTS")</f>
        <v xml:space="preserve">   BISCUITS ADDITIONNES D’EDULCORANTS</v>
      </c>
      <c r="C557" s="4">
        <v>40542</v>
      </c>
      <c r="D557" s="4">
        <v>13602644</v>
      </c>
    </row>
    <row r="558" spans="1:4" x14ac:dyDescent="0.25">
      <c r="A558" t="str">
        <f>T("   190590")</f>
        <v xml:space="preserve">   190590</v>
      </c>
      <c r="B558" t="str">
        <f>T("   AUTRES")</f>
        <v xml:space="preserve">   AUTRES</v>
      </c>
      <c r="C558" s="4">
        <v>48215</v>
      </c>
      <c r="D558" s="4">
        <v>45240275</v>
      </c>
    </row>
    <row r="559" spans="1:4" x14ac:dyDescent="0.25">
      <c r="A559" t="str">
        <f>T("   200190")</f>
        <v xml:space="preserve">   200190</v>
      </c>
      <c r="B559" t="str">
        <f>T("   AUTRES")</f>
        <v xml:space="preserve">   AUTRES</v>
      </c>
      <c r="C559" s="4">
        <v>28000</v>
      </c>
      <c r="D559" s="4">
        <v>2180952</v>
      </c>
    </row>
    <row r="560" spans="1:4" x14ac:dyDescent="0.25">
      <c r="A560" t="str">
        <f>T("   200410")</f>
        <v xml:space="preserve">   200410</v>
      </c>
      <c r="B560" t="str">
        <f>T("   POMMES DE TERRE")</f>
        <v xml:space="preserve">   POMMES DE TERRE</v>
      </c>
      <c r="C560" s="4">
        <v>383239</v>
      </c>
      <c r="D560" s="4">
        <v>80743253</v>
      </c>
    </row>
    <row r="561" spans="1:4" x14ac:dyDescent="0.25">
      <c r="A561" t="str">
        <f>T("   200520")</f>
        <v xml:space="preserve">   200520</v>
      </c>
      <c r="B561" t="str">
        <f>T("   POMMES DE TERRE")</f>
        <v xml:space="preserve">   POMMES DE TERRE</v>
      </c>
      <c r="C561" s="4">
        <v>6623</v>
      </c>
      <c r="D561" s="4">
        <v>1745510</v>
      </c>
    </row>
    <row r="562" spans="1:4" x14ac:dyDescent="0.25">
      <c r="A562" t="str">
        <f>T("   200899")</f>
        <v xml:space="preserve">   200899</v>
      </c>
      <c r="B562" t="str">
        <f>T("   AUTRES")</f>
        <v xml:space="preserve">   AUTRES</v>
      </c>
      <c r="C562" s="4">
        <v>17289</v>
      </c>
      <c r="D562" s="4">
        <v>2600000</v>
      </c>
    </row>
    <row r="563" spans="1:4" x14ac:dyDescent="0.25">
      <c r="A563" t="str">
        <f>T("   200919")</f>
        <v xml:space="preserve">   200919</v>
      </c>
      <c r="B563" t="str">
        <f>T("   AUTRES")</f>
        <v xml:space="preserve">   AUTRES</v>
      </c>
      <c r="C563" s="4">
        <v>125</v>
      </c>
      <c r="D563" s="4">
        <v>234177</v>
      </c>
    </row>
    <row r="564" spans="1:4" x14ac:dyDescent="0.25">
      <c r="A564" t="str">
        <f>T("   200949")</f>
        <v xml:space="preserve">   200949</v>
      </c>
      <c r="B564" t="str">
        <f>T("   AUTRES")</f>
        <v xml:space="preserve">   AUTRES</v>
      </c>
      <c r="C564" s="4">
        <v>8</v>
      </c>
      <c r="D564" s="4">
        <v>15743</v>
      </c>
    </row>
    <row r="565" spans="1:4" x14ac:dyDescent="0.25">
      <c r="A565" t="str">
        <f>T("   200979")</f>
        <v xml:space="preserve">   200979</v>
      </c>
      <c r="B565" t="str">
        <f>T("   AUTRES")</f>
        <v xml:space="preserve">   AUTRES</v>
      </c>
      <c r="C565" s="4">
        <v>106</v>
      </c>
      <c r="D565" s="4">
        <v>211875</v>
      </c>
    </row>
    <row r="566" spans="1:4" x14ac:dyDescent="0.25">
      <c r="A566" t="str">
        <f>T("   200980")</f>
        <v xml:space="preserve">   200980</v>
      </c>
      <c r="B566" t="str">
        <f>T("   AUTRES JUS DE FRUITS OU DE LEGUMES,SANS ALCOOL,SUCRES OU NON")</f>
        <v xml:space="preserve">   AUTRES JUS DE FRUITS OU DE LEGUMES,SANS ALCOOL,SUCRES OU NON</v>
      </c>
      <c r="C566" s="4">
        <v>1969</v>
      </c>
      <c r="D566" s="4">
        <v>1051505</v>
      </c>
    </row>
    <row r="567" spans="1:4" x14ac:dyDescent="0.25">
      <c r="A567" t="str">
        <f>T("   200990")</f>
        <v xml:space="preserve">   200990</v>
      </c>
      <c r="B567" t="str">
        <f>T("   MELANGES DE JUS")</f>
        <v xml:space="preserve">   MELANGES DE JUS</v>
      </c>
      <c r="C567" s="4">
        <v>129529</v>
      </c>
      <c r="D567" s="4">
        <v>21421160</v>
      </c>
    </row>
    <row r="568" spans="1:4" x14ac:dyDescent="0.25">
      <c r="A568" t="str">
        <f>T("   210390")</f>
        <v xml:space="preserve">   210390</v>
      </c>
      <c r="B568" t="str">
        <f>T("   AUTRES")</f>
        <v xml:space="preserve">   AUTRES</v>
      </c>
      <c r="C568" s="4">
        <v>22784</v>
      </c>
      <c r="D568" s="4">
        <v>8743291</v>
      </c>
    </row>
    <row r="569" spans="1:4" x14ac:dyDescent="0.25">
      <c r="A569" t="str">
        <f>T("   210500")</f>
        <v xml:space="preserve">   210500</v>
      </c>
      <c r="B569" t="str">
        <f>T("   GLACES DE CONSOMMATION, MEME CONTENANT DU CACAO.")</f>
        <v xml:space="preserve">   GLACES DE CONSOMMATION, MEME CONTENANT DU CACAO.</v>
      </c>
      <c r="C569" s="4">
        <v>25728</v>
      </c>
      <c r="D569" s="4">
        <v>13127729</v>
      </c>
    </row>
    <row r="570" spans="1:4" x14ac:dyDescent="0.25">
      <c r="A570" t="str">
        <f>T("   210690")</f>
        <v xml:space="preserve">   210690</v>
      </c>
      <c r="B570" t="str">
        <f>T("   AUTRES")</f>
        <v xml:space="preserve">   AUTRES</v>
      </c>
      <c r="C570" s="4">
        <v>57442</v>
      </c>
      <c r="D570" s="4">
        <v>29743541</v>
      </c>
    </row>
    <row r="571" spans="1:4" x14ac:dyDescent="0.25">
      <c r="A571" t="str">
        <f>T("   220110")</f>
        <v xml:space="preserve">   220110</v>
      </c>
      <c r="B571" t="str">
        <f>T("   EAUX MINERALES ET EAUX GAZEIFIEES")</f>
        <v xml:space="preserve">   EAUX MINERALES ET EAUX GAZEIFIEES</v>
      </c>
      <c r="C571" s="4">
        <v>10876</v>
      </c>
      <c r="D571" s="4">
        <v>2567428</v>
      </c>
    </row>
    <row r="572" spans="1:4" x14ac:dyDescent="0.25">
      <c r="A572" t="str">
        <f>T("   220190")</f>
        <v xml:space="preserve">   220190</v>
      </c>
      <c r="B572" t="str">
        <f>T("   AUTRES")</f>
        <v xml:space="preserve">   AUTRES</v>
      </c>
      <c r="C572" s="4">
        <v>24266</v>
      </c>
      <c r="D572" s="4">
        <v>6483509</v>
      </c>
    </row>
    <row r="573" spans="1:4" x14ac:dyDescent="0.25">
      <c r="A573" t="str">
        <f>T("   220210")</f>
        <v xml:space="preserve">   220210</v>
      </c>
      <c r="B573" t="str">
        <f>T("   EAUX, Y COMPRIS LES EAUX MINERALES ET LES EAUX GAZEIFIEES, ADDITIONNEES DE SUCRE OU D")</f>
        <v xml:space="preserve">   EAUX, Y COMPRIS LES EAUX MINERALES ET LES EAUX GAZEIFIEES, ADDITIONNEES DE SUCRE OU D</v>
      </c>
      <c r="C573" s="4">
        <v>40065</v>
      </c>
      <c r="D573" s="4">
        <v>10616057</v>
      </c>
    </row>
    <row r="574" spans="1:4" x14ac:dyDescent="0.25">
      <c r="A574" t="str">
        <f>T("   220290")</f>
        <v xml:space="preserve">   220290</v>
      </c>
      <c r="B574" t="str">
        <f>T("   AUTRES")</f>
        <v xml:space="preserve">   AUTRES</v>
      </c>
      <c r="C574" s="4">
        <v>2471249</v>
      </c>
      <c r="D574" s="4">
        <v>686005999</v>
      </c>
    </row>
    <row r="575" spans="1:4" x14ac:dyDescent="0.25">
      <c r="A575" t="str">
        <f>T("   220300")</f>
        <v xml:space="preserve">   220300</v>
      </c>
      <c r="B575" t="str">
        <f>T("   BIERES DE MALT.")</f>
        <v xml:space="preserve">   BIERES DE MALT.</v>
      </c>
      <c r="C575" s="4">
        <v>76032</v>
      </c>
      <c r="D575" s="4">
        <v>19714222</v>
      </c>
    </row>
    <row r="576" spans="1:4" x14ac:dyDescent="0.25">
      <c r="A576" t="str">
        <f>T("   220421")</f>
        <v xml:space="preserve">   220421</v>
      </c>
      <c r="B576" t="str">
        <f>T("   EN RECIPIENTS D'UNE CONTENANCE N'EXCEDANT PAS 2 L")</f>
        <v xml:space="preserve">   EN RECIPIENTS D'UNE CONTENANCE N'EXCEDANT PAS 2 L</v>
      </c>
      <c r="C576" s="4">
        <v>1688</v>
      </c>
      <c r="D576" s="4">
        <v>661208</v>
      </c>
    </row>
    <row r="577" spans="1:4" x14ac:dyDescent="0.25">
      <c r="A577" t="str">
        <f>T("   220510")</f>
        <v xml:space="preserve">   220510</v>
      </c>
      <c r="B577" t="str">
        <f>T("   EN RECIPIENTS D'UNE CONTENANCE N'EXCEDANT PAS 2 L")</f>
        <v xml:space="preserve">   EN RECIPIENTS D'UNE CONTENANCE N'EXCEDANT PAS 2 L</v>
      </c>
      <c r="C577" s="4">
        <v>31313</v>
      </c>
      <c r="D577" s="4">
        <v>4101532</v>
      </c>
    </row>
    <row r="578" spans="1:4" x14ac:dyDescent="0.25">
      <c r="A578" t="str">
        <f>T("   220600")</f>
        <v xml:space="preserve">   220600</v>
      </c>
      <c r="B578" t="str">
        <f>T("   AUTRES BOISSONS FERMENTEES (CIDRE, POIRE, HYDROMEL, PAR EXEMPLE); MELANGES DE BOISSONS")</f>
        <v xml:space="preserve">   AUTRES BOISSONS FERMENTEES (CIDRE, POIRE, HYDROMEL, PAR EXEMPLE); MELANGES DE BOISSONS</v>
      </c>
      <c r="C578" s="4">
        <v>164515</v>
      </c>
      <c r="D578" s="4">
        <v>15784467</v>
      </c>
    </row>
    <row r="579" spans="1:4" x14ac:dyDescent="0.25">
      <c r="A579" t="str">
        <f>T("   220850")</f>
        <v xml:space="preserve">   220850</v>
      </c>
      <c r="B579" t="str">
        <f>T("   GIN ET GENIEVRE")</f>
        <v xml:space="preserve">   GIN ET GENIEVRE</v>
      </c>
      <c r="C579" s="4">
        <v>750</v>
      </c>
      <c r="D579" s="4">
        <v>401025</v>
      </c>
    </row>
    <row r="580" spans="1:4" x14ac:dyDescent="0.25">
      <c r="A580" t="str">
        <f>T("   220870")</f>
        <v xml:space="preserve">   220870</v>
      </c>
      <c r="B580" t="str">
        <f>T("   LIQUEURS")</f>
        <v xml:space="preserve">   LIQUEURS</v>
      </c>
      <c r="C580" s="4">
        <v>816</v>
      </c>
      <c r="D580" s="4">
        <v>320108</v>
      </c>
    </row>
    <row r="581" spans="1:4" x14ac:dyDescent="0.25">
      <c r="A581" t="str">
        <f>T("   220890")</f>
        <v xml:space="preserve">   220890</v>
      </c>
      <c r="B581" t="str">
        <f>T("   AUTRES")</f>
        <v xml:space="preserve">   AUTRES</v>
      </c>
      <c r="C581" s="4">
        <v>142346</v>
      </c>
      <c r="D581" s="4">
        <v>15326710</v>
      </c>
    </row>
    <row r="582" spans="1:4" x14ac:dyDescent="0.25">
      <c r="A582" t="str">
        <f>T("   230110")</f>
        <v xml:space="preserve">   230110</v>
      </c>
      <c r="B582" t="str">
        <f>T("   FARINES, POUDRES ET AGGLOMERES SOUS FORME DE PELLETS, DE VIANDES OU D'ABATS; CRETONS")</f>
        <v xml:space="preserve">   FARINES, POUDRES ET AGGLOMERES SOUS FORME DE PELLETS, DE VIANDES OU D'ABATS; CRETONS</v>
      </c>
      <c r="C582" s="4">
        <v>778</v>
      </c>
      <c r="D582" s="4">
        <v>101018</v>
      </c>
    </row>
    <row r="583" spans="1:4" x14ac:dyDescent="0.25">
      <c r="A583" t="str">
        <f>T("   230120")</f>
        <v xml:space="preserve">   230120</v>
      </c>
      <c r="B583" t="str">
        <f>T("   FARINES, POUDRES ET AGGLOMERES SOUS FORME DE PELLETS, DE POISSONS OU DE CRUSTACES, DE")</f>
        <v xml:space="preserve">   FARINES, POUDRES ET AGGLOMERES SOUS FORME DE PELLETS, DE POISSONS OU DE CRUSTACES, DE</v>
      </c>
      <c r="C583" s="4">
        <v>21000</v>
      </c>
      <c r="D583" s="4">
        <v>10965028</v>
      </c>
    </row>
    <row r="584" spans="1:4" x14ac:dyDescent="0.25">
      <c r="A584" t="str">
        <f>T("   230400")</f>
        <v xml:space="preserve">   230400</v>
      </c>
      <c r="B584" t="str">
        <f>T("   TOURTEAUX ET AUTRES RESIDUS SOLIDES, MEME BROYES OU AGGLOMERES SOUS FORME DE PELLETS, D")</f>
        <v xml:space="preserve">   TOURTEAUX ET AUTRES RESIDUS SOLIDES, MEME BROYES OU AGGLOMERES SOUS FORME DE PELLETS, D</v>
      </c>
      <c r="C584" s="4">
        <v>216768</v>
      </c>
      <c r="D584" s="4">
        <v>39758389</v>
      </c>
    </row>
    <row r="585" spans="1:4" x14ac:dyDescent="0.25">
      <c r="A585" t="str">
        <f>T("   230990")</f>
        <v xml:space="preserve">   230990</v>
      </c>
      <c r="B585" t="str">
        <f>T("   AUTRES")</f>
        <v xml:space="preserve">   AUTRES</v>
      </c>
      <c r="C585" s="4">
        <v>1452452</v>
      </c>
      <c r="D585" s="4">
        <v>737381930</v>
      </c>
    </row>
    <row r="586" spans="1:4" x14ac:dyDescent="0.25">
      <c r="A586" t="str">
        <f>T("   252020")</f>
        <v xml:space="preserve">   252020</v>
      </c>
      <c r="B586" t="str">
        <f>T("   PLATRES")</f>
        <v xml:space="preserve">   PLATRES</v>
      </c>
      <c r="C586" s="4">
        <v>168420</v>
      </c>
      <c r="D586" s="4">
        <v>5186386</v>
      </c>
    </row>
    <row r="587" spans="1:4" x14ac:dyDescent="0.25">
      <c r="A587" t="str">
        <f>T("   261900")</f>
        <v xml:space="preserve">   261900</v>
      </c>
      <c r="B587" t="str">
        <f>T("   SCORIES, LAITIERS (AUTRES QUE LE LAITIER GRANULE), BATTITURES ET AUTRES DECHETS DE LA F")</f>
        <v xml:space="preserve">   SCORIES, LAITIERS (AUTRES QUE LE LAITIER GRANULE), BATTITURES ET AUTRES DECHETS DE LA F</v>
      </c>
      <c r="C587" s="4">
        <v>15249830</v>
      </c>
      <c r="D587" s="4">
        <v>200460288</v>
      </c>
    </row>
    <row r="588" spans="1:4" x14ac:dyDescent="0.25">
      <c r="A588" t="str">
        <f>T("   270500")</f>
        <v xml:space="preserve">   270500</v>
      </c>
      <c r="B588" t="str">
        <f>T("   GAZ DE HOUILLE, GAZ A L'EAU, GAZ PAUVRE ET GAZ SIMILAIRES, A L'EXCLUSION DES GAZ DE PET")</f>
        <v xml:space="preserve">   GAZ DE HOUILLE, GAZ A L'EAU, GAZ PAUVRE ET GAZ SIMILAIRES, A L'EXCLUSION DES GAZ DE PET</v>
      </c>
      <c r="C588" s="4">
        <v>17528</v>
      </c>
      <c r="D588" s="4">
        <v>4276859</v>
      </c>
    </row>
    <row r="589" spans="1:4" x14ac:dyDescent="0.25">
      <c r="A589" t="str">
        <f>T("   270600")</f>
        <v xml:space="preserve">   270600</v>
      </c>
      <c r="B589" t="str">
        <f>T("   GOUDRONS DE HOUILLE, DE LIGNITE OU DE TOURBE ET AUTRES GOUDRONS MINERAUX, MEME DESHYDRA")</f>
        <v xml:space="preserve">   GOUDRONS DE HOUILLE, DE LIGNITE OU DE TOURBE ET AUTRES GOUDRONS MINERAUX, MEME DESHYDRA</v>
      </c>
      <c r="C589" s="4">
        <v>405</v>
      </c>
      <c r="D589" s="4">
        <v>1279778</v>
      </c>
    </row>
    <row r="590" spans="1:4" x14ac:dyDescent="0.25">
      <c r="A590" t="str">
        <f>T("   270730")</f>
        <v xml:space="preserve">   270730</v>
      </c>
      <c r="B590" t="str">
        <f>T("   XYLOL (XYLENES)")</f>
        <v xml:space="preserve">   XYLOL (XYLENES)</v>
      </c>
      <c r="C590" s="4">
        <v>5400</v>
      </c>
      <c r="D590" s="4">
        <v>4419027</v>
      </c>
    </row>
    <row r="591" spans="1:4" x14ac:dyDescent="0.25">
      <c r="A591" t="str">
        <f>T("   270750")</f>
        <v xml:space="preserve">   270750</v>
      </c>
      <c r="B591" t="str">
        <f>T("   AUTRES MELANGES D'HYDROCARBURES AROMATIQUES DISTILLANT 65 % OU PLUS DE LEUR VOLUME (Y")</f>
        <v xml:space="preserve">   AUTRES MELANGES D'HYDROCARBURES AROMATIQUES DISTILLANT 65 % OU PLUS DE LEUR VOLUME (Y</v>
      </c>
      <c r="C591" s="4">
        <v>21217</v>
      </c>
      <c r="D591" s="4">
        <v>27793682</v>
      </c>
    </row>
    <row r="592" spans="1:4" x14ac:dyDescent="0.25">
      <c r="A592" t="str">
        <f>T("   271011")</f>
        <v xml:space="preserve">   271011</v>
      </c>
      <c r="B592" t="str">
        <f>T("   HUILLES DE PETROLE OU D'ESSENCE")</f>
        <v xml:space="preserve">   HUILLES DE PETROLE OU D'ESSENCE</v>
      </c>
      <c r="C592" s="4">
        <v>339818</v>
      </c>
      <c r="D592" s="4">
        <v>181916299</v>
      </c>
    </row>
    <row r="593" spans="1:4" x14ac:dyDescent="0.25">
      <c r="A593" t="str">
        <f>T("   271019")</f>
        <v xml:space="preserve">   271019</v>
      </c>
      <c r="B593" t="str">
        <f>T("   AUTRES")</f>
        <v xml:space="preserve">   AUTRES</v>
      </c>
      <c r="C593" s="4">
        <v>3614172</v>
      </c>
      <c r="D593" s="4">
        <v>1300075356</v>
      </c>
    </row>
    <row r="594" spans="1:4" x14ac:dyDescent="0.25">
      <c r="A594" t="str">
        <f>T("   280421")</f>
        <v xml:space="preserve">   280421</v>
      </c>
      <c r="B594" t="str">
        <f>T("   Argon")</f>
        <v xml:space="preserve">   Argon</v>
      </c>
      <c r="C594" s="4">
        <v>33032</v>
      </c>
      <c r="D594" s="4">
        <v>17106125</v>
      </c>
    </row>
    <row r="595" spans="1:4" x14ac:dyDescent="0.25">
      <c r="A595" t="str">
        <f>T("   280429")</f>
        <v xml:space="preserve">   280429</v>
      </c>
      <c r="B595" t="str">
        <f>T("   AUTRES")</f>
        <v xml:space="preserve">   AUTRES</v>
      </c>
      <c r="C595" s="4">
        <v>952</v>
      </c>
      <c r="D595" s="4">
        <v>1304705</v>
      </c>
    </row>
    <row r="596" spans="1:4" x14ac:dyDescent="0.25">
      <c r="A596" t="str">
        <f>T("   280430")</f>
        <v xml:space="preserve">   280430</v>
      </c>
      <c r="B596" t="str">
        <f>T("   Azote")</f>
        <v xml:space="preserve">   Azote</v>
      </c>
      <c r="C596" s="4">
        <v>255</v>
      </c>
      <c r="D596" s="4">
        <v>484754</v>
      </c>
    </row>
    <row r="597" spans="1:4" x14ac:dyDescent="0.25">
      <c r="A597" t="str">
        <f>T("   280440")</f>
        <v xml:space="preserve">   280440</v>
      </c>
      <c r="B597" t="str">
        <f>T("   OXYGENE")</f>
        <v xml:space="preserve">   OXYGENE</v>
      </c>
      <c r="C597" s="4">
        <v>80412</v>
      </c>
      <c r="D597" s="4">
        <v>21016962</v>
      </c>
    </row>
    <row r="598" spans="1:4" x14ac:dyDescent="0.25">
      <c r="A598" t="str">
        <f>T("   280610")</f>
        <v xml:space="preserve">   280610</v>
      </c>
      <c r="B598" t="str">
        <f>T("   CHLORURE D'HYDROGENE (ACIDE CHLORHYDRIQUE)")</f>
        <v xml:space="preserve">   CHLORURE D'HYDROGENE (ACIDE CHLORHYDRIQUE)</v>
      </c>
      <c r="C598" s="4">
        <v>47196</v>
      </c>
      <c r="D598" s="4">
        <v>7384797</v>
      </c>
    </row>
    <row r="599" spans="1:4" x14ac:dyDescent="0.25">
      <c r="A599" t="str">
        <f>T("   280700")</f>
        <v xml:space="preserve">   280700</v>
      </c>
      <c r="B599" t="str">
        <f>T("   ACIDE SULFURIQUE; OLEUM.")</f>
        <v xml:space="preserve">   ACIDE SULFURIQUE; OLEUM.</v>
      </c>
      <c r="C599" s="4">
        <v>50458</v>
      </c>
      <c r="D599" s="4">
        <v>8098482</v>
      </c>
    </row>
    <row r="600" spans="1:4" x14ac:dyDescent="0.25">
      <c r="A600" t="str">
        <f>T("   280800")</f>
        <v xml:space="preserve">   280800</v>
      </c>
      <c r="B600" t="str">
        <f>T("   ACIDE NITRIQUE; ACIDES SULFONITRIQUES.")</f>
        <v xml:space="preserve">   ACIDE NITRIQUE; ACIDES SULFONITRIQUES.</v>
      </c>
      <c r="C600" s="4">
        <v>24120</v>
      </c>
      <c r="D600" s="4">
        <v>7962915</v>
      </c>
    </row>
    <row r="601" spans="1:4" x14ac:dyDescent="0.25">
      <c r="A601" t="str">
        <f>T("   280920")</f>
        <v xml:space="preserve">   280920</v>
      </c>
      <c r="B601" t="str">
        <f>T("   ACIDE PHOSPHORIQUE ET ACIDES POLYPHOSPHORIQUES")</f>
        <v xml:space="preserve">   ACIDE PHOSPHORIQUE ET ACIDES POLYPHOSPHORIQUES</v>
      </c>
      <c r="C601" s="4">
        <v>25830</v>
      </c>
      <c r="D601" s="4">
        <v>9062867</v>
      </c>
    </row>
    <row r="602" spans="1:4" x14ac:dyDescent="0.25">
      <c r="A602" t="str">
        <f>T("   281420")</f>
        <v xml:space="preserve">   281420</v>
      </c>
      <c r="B602" t="str">
        <f>T("   AMMONIAC EN SOLUTION AQUEUSE (AMMONIAQUE)")</f>
        <v xml:space="preserve">   AMMONIAC EN SOLUTION AQUEUSE (AMMONIAQUE)</v>
      </c>
      <c r="C602" s="4">
        <v>540</v>
      </c>
      <c r="D602" s="4">
        <v>514391</v>
      </c>
    </row>
    <row r="603" spans="1:4" x14ac:dyDescent="0.25">
      <c r="A603" t="str">
        <f>T("   281511")</f>
        <v xml:space="preserve">   281511</v>
      </c>
      <c r="B603" t="str">
        <f>T("   SOLIDE")</f>
        <v xml:space="preserve">   SOLIDE</v>
      </c>
      <c r="C603" s="4">
        <v>588192</v>
      </c>
      <c r="D603" s="4">
        <v>265398014</v>
      </c>
    </row>
    <row r="604" spans="1:4" x14ac:dyDescent="0.25">
      <c r="A604" t="str">
        <f>T("   282110")</f>
        <v xml:space="preserve">   282110</v>
      </c>
      <c r="B604" t="str">
        <f>T("   Oxydes et hydroxydes de fer")</f>
        <v xml:space="preserve">   Oxydes et hydroxydes de fer</v>
      </c>
      <c r="C604" s="4">
        <v>1070</v>
      </c>
      <c r="D604" s="4">
        <v>1581520</v>
      </c>
    </row>
    <row r="605" spans="1:4" x14ac:dyDescent="0.25">
      <c r="A605" t="str">
        <f>T("   282300")</f>
        <v xml:space="preserve">   282300</v>
      </c>
      <c r="B605" t="str">
        <f>T("   OXYDES DE TITANE.")</f>
        <v xml:space="preserve">   OXYDES DE TITANE.</v>
      </c>
      <c r="C605" s="4">
        <v>3000</v>
      </c>
      <c r="D605" s="4">
        <v>3950760</v>
      </c>
    </row>
    <row r="606" spans="1:4" x14ac:dyDescent="0.25">
      <c r="A606" t="str">
        <f>T("   282890")</f>
        <v xml:space="preserve">   282890</v>
      </c>
      <c r="B606" t="str">
        <f>T("   AUTRES")</f>
        <v xml:space="preserve">   AUTRES</v>
      </c>
      <c r="C606" s="4">
        <v>51267</v>
      </c>
      <c r="D606" s="4">
        <v>22816177</v>
      </c>
    </row>
    <row r="607" spans="1:4" x14ac:dyDescent="0.25">
      <c r="A607" t="str">
        <f>T("   283329")</f>
        <v xml:space="preserve">   283329</v>
      </c>
      <c r="B607" t="str">
        <f>T("   AUTRES")</f>
        <v xml:space="preserve">   AUTRES</v>
      </c>
      <c r="C607" s="4">
        <v>30198</v>
      </c>
      <c r="D607" s="4">
        <v>4041371</v>
      </c>
    </row>
    <row r="608" spans="1:4" x14ac:dyDescent="0.25">
      <c r="A608" t="str">
        <f>T("   283525")</f>
        <v xml:space="preserve">   283525</v>
      </c>
      <c r="B608" t="str">
        <f>T("   HYDROGENOORTHOPHOSPHATE DE CALCIUM («PHOSPHATE DICALCIQUE»)")</f>
        <v xml:space="preserve">   HYDROGENOORTHOPHOSPHATE DE CALCIUM («PHOSPHATE DICALCIQUE»)</v>
      </c>
      <c r="C608" s="4">
        <v>72250</v>
      </c>
      <c r="D608" s="4">
        <v>11342205</v>
      </c>
    </row>
    <row r="609" spans="1:4" x14ac:dyDescent="0.25">
      <c r="A609" t="str">
        <f>T("   283630")</f>
        <v xml:space="preserve">   283630</v>
      </c>
      <c r="B609" t="str">
        <f>T("   HYDROGENOCARBONATE (BICARBONATE) DE SODIUM")</f>
        <v xml:space="preserve">   HYDROGENOCARBONATE (BICARBONATE) DE SODIUM</v>
      </c>
      <c r="C609" s="4">
        <v>36253</v>
      </c>
      <c r="D609" s="4">
        <v>5460210</v>
      </c>
    </row>
    <row r="610" spans="1:4" x14ac:dyDescent="0.25">
      <c r="A610" t="str">
        <f>T("   284910")</f>
        <v xml:space="preserve">   284910</v>
      </c>
      <c r="B610" t="str">
        <f>T("   DE CALCIUM")</f>
        <v xml:space="preserve">   DE CALCIUM</v>
      </c>
      <c r="C610" s="4">
        <v>23850</v>
      </c>
      <c r="D610" s="4">
        <v>6794010</v>
      </c>
    </row>
    <row r="611" spans="1:4" x14ac:dyDescent="0.25">
      <c r="A611" t="str">
        <f>T("   290110")</f>
        <v xml:space="preserve">   290110</v>
      </c>
      <c r="B611" t="str">
        <f>T("   SATURES")</f>
        <v xml:space="preserve">   SATURES</v>
      </c>
      <c r="C611" s="4">
        <v>540</v>
      </c>
      <c r="D611" s="4">
        <v>685394</v>
      </c>
    </row>
    <row r="612" spans="1:4" x14ac:dyDescent="0.25">
      <c r="A612" t="str">
        <f>T("   290219")</f>
        <v xml:space="preserve">   290219</v>
      </c>
      <c r="B612" t="str">
        <f>T("   AUTRES")</f>
        <v xml:space="preserve">   AUTRES</v>
      </c>
      <c r="C612" s="4">
        <v>26</v>
      </c>
      <c r="D612" s="4">
        <v>1760997</v>
      </c>
    </row>
    <row r="613" spans="1:4" x14ac:dyDescent="0.25">
      <c r="A613" t="str">
        <f>T("   290230")</f>
        <v xml:space="preserve">   290230</v>
      </c>
      <c r="B613" t="str">
        <f>T("   TOLUENE")</f>
        <v xml:space="preserve">   TOLUENE</v>
      </c>
      <c r="C613" s="4">
        <v>15120</v>
      </c>
      <c r="D613" s="4">
        <v>13566210</v>
      </c>
    </row>
    <row r="614" spans="1:4" x14ac:dyDescent="0.25">
      <c r="A614" t="str">
        <f>T("   290369")</f>
        <v xml:space="preserve">   290369</v>
      </c>
      <c r="B614" t="str">
        <f>T("   AUTRES DERIVES HALOGENES DES HYDROCARBURES AROMATIQUES")</f>
        <v xml:space="preserve">   AUTRES DERIVES HALOGENES DES HYDROCARBURES AROMATIQUES</v>
      </c>
      <c r="C614" s="4">
        <v>2225</v>
      </c>
      <c r="D614" s="4">
        <v>7309860</v>
      </c>
    </row>
    <row r="615" spans="1:4" x14ac:dyDescent="0.25">
      <c r="A615" t="str">
        <f>T("   290512")</f>
        <v xml:space="preserve">   290512</v>
      </c>
      <c r="B615" t="str">
        <f>T("   PROPANE1OL (ALCOOL PROPYLIQUE) ET PROPANE2OL (ALCOOL ISOPROPYLIQUE)")</f>
        <v xml:space="preserve">   PROPANE1OL (ALCOOL PROPYLIQUE) ET PROPANE2OL (ALCOOL ISOPROPYLIQUE)</v>
      </c>
      <c r="C615" s="4">
        <v>3123</v>
      </c>
      <c r="D615" s="4">
        <v>4032677</v>
      </c>
    </row>
    <row r="616" spans="1:4" x14ac:dyDescent="0.25">
      <c r="A616" t="str">
        <f>T("   290531")</f>
        <v xml:space="preserve">   290531</v>
      </c>
      <c r="B616" t="str">
        <f>T("   ETHYLENE GLYCOL (ETHANEDIOL)")</f>
        <v xml:space="preserve">   ETHYLENE GLYCOL (ETHANEDIOL)</v>
      </c>
      <c r="C616" s="4">
        <v>1840</v>
      </c>
      <c r="D616" s="4">
        <v>1457366</v>
      </c>
    </row>
    <row r="617" spans="1:4" x14ac:dyDescent="0.25">
      <c r="A617" t="str">
        <f>T("   290532")</f>
        <v xml:space="preserve">   290532</v>
      </c>
      <c r="B617" t="str">
        <f>T("   PROPYLENE GLYCOL (PROPANE1,2DIOL)")</f>
        <v xml:space="preserve">   PROPYLENE GLYCOL (PROPANE1,2DIOL)</v>
      </c>
      <c r="C617" s="4">
        <v>17200</v>
      </c>
      <c r="D617" s="4">
        <v>5714910</v>
      </c>
    </row>
    <row r="618" spans="1:4" x14ac:dyDescent="0.25">
      <c r="A618" t="str">
        <f>T("   290545")</f>
        <v xml:space="preserve">   290545</v>
      </c>
      <c r="B618" t="str">
        <f>T("   GLYCEROL")</f>
        <v xml:space="preserve">   GLYCEROL</v>
      </c>
      <c r="C618" s="4">
        <v>82</v>
      </c>
      <c r="D618" s="4">
        <v>1320559</v>
      </c>
    </row>
    <row r="619" spans="1:4" x14ac:dyDescent="0.25">
      <c r="A619" t="str">
        <f>T("   290719")</f>
        <v xml:space="preserve">   290719</v>
      </c>
      <c r="B619" t="str">
        <f>T("   AUTRES")</f>
        <v xml:space="preserve">   AUTRES</v>
      </c>
      <c r="C619" s="4">
        <v>2018</v>
      </c>
      <c r="D619" s="4">
        <v>2294549</v>
      </c>
    </row>
    <row r="620" spans="1:4" x14ac:dyDescent="0.25">
      <c r="A620" t="str">
        <f>T("   290943")</f>
        <v xml:space="preserve">   290943</v>
      </c>
      <c r="B620" t="str">
        <f>T("   ETHERS MONOBUTYLIQUES DE L'ETHYLENE GLYCOL OU DU DIETHYLENE GLYCOL")</f>
        <v xml:space="preserve">   ETHERS MONOBUTYLIQUES DE L'ETHYLENE GLYCOL OU DU DIETHYLENE GLYCOL</v>
      </c>
      <c r="C620" s="4">
        <v>816</v>
      </c>
      <c r="D620" s="4">
        <v>1331599</v>
      </c>
    </row>
    <row r="621" spans="1:4" x14ac:dyDescent="0.25">
      <c r="A621" t="str">
        <f>T("   291411")</f>
        <v xml:space="preserve">   291411</v>
      </c>
      <c r="B621" t="str">
        <f>T("   ACETONE")</f>
        <v xml:space="preserve">   ACETONE</v>
      </c>
      <c r="C621" s="4">
        <v>2795</v>
      </c>
      <c r="D621" s="4">
        <v>4008571</v>
      </c>
    </row>
    <row r="622" spans="1:4" x14ac:dyDescent="0.25">
      <c r="A622" t="str">
        <f>T("   291531")</f>
        <v xml:space="preserve">   291531</v>
      </c>
      <c r="B622" t="str">
        <f>T("   ACETATE D'ETHYLE")</f>
        <v xml:space="preserve">   ACETATE D'ETHYLE</v>
      </c>
      <c r="C622" s="4">
        <v>1014</v>
      </c>
      <c r="D622" s="4">
        <v>2255191</v>
      </c>
    </row>
    <row r="623" spans="1:4" x14ac:dyDescent="0.25">
      <c r="A623" t="str">
        <f>T("   291533")</f>
        <v xml:space="preserve">   291533</v>
      </c>
      <c r="B623" t="str">
        <f>T("   ACETATE DE NBUTYLE")</f>
        <v xml:space="preserve">   ACETATE DE NBUTYLE</v>
      </c>
      <c r="C623" s="4">
        <v>5828</v>
      </c>
      <c r="D623" s="4">
        <v>6446842</v>
      </c>
    </row>
    <row r="624" spans="1:4" x14ac:dyDescent="0.25">
      <c r="A624" t="str">
        <f>T("   291539")</f>
        <v xml:space="preserve">   291539</v>
      </c>
      <c r="B624" t="str">
        <f>T("   AUTRES")</f>
        <v xml:space="preserve">   AUTRES</v>
      </c>
      <c r="C624" s="4">
        <v>2456</v>
      </c>
      <c r="D624" s="4">
        <v>3838022</v>
      </c>
    </row>
    <row r="625" spans="1:4" x14ac:dyDescent="0.25">
      <c r="A625" t="str">
        <f>T("   291560")</f>
        <v xml:space="preserve">   291560</v>
      </c>
      <c r="B625" t="str">
        <f>T("   ACIDES BUTANOIQUES, ACIDES PENTANOIQUES, LEURS SELS ET LEURS ESTERS")</f>
        <v xml:space="preserve">   ACIDES BUTANOIQUES, ACIDES PENTANOIQUES, LEURS SELS ET LEURS ESTERS</v>
      </c>
      <c r="C625" s="4">
        <v>3315</v>
      </c>
      <c r="D625" s="4">
        <v>4575794</v>
      </c>
    </row>
    <row r="626" spans="1:4" x14ac:dyDescent="0.25">
      <c r="A626" t="str">
        <f>T("   291733")</f>
        <v xml:space="preserve">   291733</v>
      </c>
      <c r="B626" t="str">
        <f>T("   ORTHOPHTALATES DE DINONYLE OU DE DIDECYLE")</f>
        <v xml:space="preserve">   ORTHOPHTALATES DE DINONYLE OU DE DIDECYLE</v>
      </c>
      <c r="C626" s="4">
        <v>3200</v>
      </c>
      <c r="D626" s="4">
        <v>2878149</v>
      </c>
    </row>
    <row r="627" spans="1:4" x14ac:dyDescent="0.25">
      <c r="A627" t="str">
        <f>T("   292241")</f>
        <v xml:space="preserve">   292241</v>
      </c>
      <c r="B627" t="str">
        <f>T("   Lysine et ses esters; sels de ces produits")</f>
        <v xml:space="preserve">   Lysine et ses esters; sels de ces produits</v>
      </c>
      <c r="C627" s="4">
        <v>16118</v>
      </c>
      <c r="D627" s="4">
        <v>10492080</v>
      </c>
    </row>
    <row r="628" spans="1:4" x14ac:dyDescent="0.25">
      <c r="A628" t="str">
        <f>T("   292310")</f>
        <v xml:space="preserve">   292310</v>
      </c>
      <c r="B628" t="str">
        <f>T("   Choline et ses sels")</f>
        <v xml:space="preserve">   Choline et ses sels</v>
      </c>
      <c r="C628" s="4">
        <v>25250</v>
      </c>
      <c r="D628" s="4">
        <v>7765257</v>
      </c>
    </row>
    <row r="629" spans="1:4" x14ac:dyDescent="0.25">
      <c r="A629" t="str">
        <f>T("   292390")</f>
        <v xml:space="preserve">   292390</v>
      </c>
      <c r="B629" t="str">
        <f>T("   AUTRES")</f>
        <v xml:space="preserve">   AUTRES</v>
      </c>
      <c r="C629" s="4">
        <v>776</v>
      </c>
      <c r="D629" s="4">
        <v>950487</v>
      </c>
    </row>
    <row r="630" spans="1:4" x14ac:dyDescent="0.25">
      <c r="A630" t="str">
        <f>T("   293040")</f>
        <v xml:space="preserve">   293040</v>
      </c>
      <c r="B630" t="str">
        <f>T("   METHIONINE")</f>
        <v xml:space="preserve">   METHIONINE</v>
      </c>
      <c r="C630" s="4">
        <v>30654</v>
      </c>
      <c r="D630" s="4">
        <v>32726934</v>
      </c>
    </row>
    <row r="631" spans="1:4" x14ac:dyDescent="0.25">
      <c r="A631" t="str">
        <f>T("   293090")</f>
        <v xml:space="preserve">   293090</v>
      </c>
      <c r="B631" t="str">
        <f>T("   AUTRES")</f>
        <v xml:space="preserve">   AUTRES</v>
      </c>
      <c r="C631" s="4">
        <v>13349</v>
      </c>
      <c r="D631" s="4">
        <v>12571474</v>
      </c>
    </row>
    <row r="632" spans="1:4" x14ac:dyDescent="0.25">
      <c r="A632" t="str">
        <f>T("   293299")</f>
        <v xml:space="preserve">   293299</v>
      </c>
      <c r="B632" t="str">
        <f>T("   AUTRES")</f>
        <v xml:space="preserve">   AUTRES</v>
      </c>
      <c r="C632" s="4">
        <v>2000</v>
      </c>
      <c r="D632" s="4">
        <v>1499000</v>
      </c>
    </row>
    <row r="633" spans="1:4" x14ac:dyDescent="0.25">
      <c r="A633" t="str">
        <f>T("   293339")</f>
        <v xml:space="preserve">   293339</v>
      </c>
      <c r="B633" t="str">
        <f>T("   AUTRES")</f>
        <v xml:space="preserve">   AUTRES</v>
      </c>
      <c r="C633" s="4">
        <v>5438</v>
      </c>
      <c r="D633" s="4">
        <v>7931212</v>
      </c>
    </row>
    <row r="634" spans="1:4" x14ac:dyDescent="0.25">
      <c r="A634" t="str">
        <f>T("   293369")</f>
        <v xml:space="preserve">   293369</v>
      </c>
      <c r="B634" t="str">
        <f>T("   AUTRES")</f>
        <v xml:space="preserve">   AUTRES</v>
      </c>
      <c r="C634" s="4">
        <v>1</v>
      </c>
      <c r="D634" s="4">
        <v>1640</v>
      </c>
    </row>
    <row r="635" spans="1:4" x14ac:dyDescent="0.25">
      <c r="A635" t="str">
        <f>T("   293379")</f>
        <v xml:space="preserve">   293379</v>
      </c>
      <c r="B635" t="str">
        <f>T("   Autres lactames")</f>
        <v xml:space="preserve">   Autres lactames</v>
      </c>
      <c r="C635" s="4">
        <v>574</v>
      </c>
      <c r="D635" s="4">
        <v>847501</v>
      </c>
    </row>
    <row r="636" spans="1:4" x14ac:dyDescent="0.25">
      <c r="A636" t="str">
        <f>T("   293500")</f>
        <v xml:space="preserve">   293500</v>
      </c>
      <c r="B636" t="str">
        <f>T("   SULFONAMIDES.")</f>
        <v xml:space="preserve">   SULFONAMIDES.</v>
      </c>
      <c r="C636" s="4">
        <v>42</v>
      </c>
      <c r="D636" s="4">
        <v>1081678</v>
      </c>
    </row>
    <row r="637" spans="1:4" x14ac:dyDescent="0.25">
      <c r="A637" t="str">
        <f>T("   293627")</f>
        <v xml:space="preserve">   293627</v>
      </c>
      <c r="B637" t="str">
        <f>T("   VITAMINE C ET SES DERIVES")</f>
        <v xml:space="preserve">   VITAMINE C ET SES DERIVES</v>
      </c>
      <c r="C637" s="4">
        <v>160</v>
      </c>
      <c r="D637" s="4">
        <v>2879010</v>
      </c>
    </row>
    <row r="638" spans="1:4" x14ac:dyDescent="0.25">
      <c r="A638" t="str">
        <f>T("   293629")</f>
        <v xml:space="preserve">   293629</v>
      </c>
      <c r="B638" t="str">
        <f>T("   AUTRES VITAMINES ET LEURS DERIVES")</f>
        <v xml:space="preserve">   AUTRES VITAMINES ET LEURS DERIVES</v>
      </c>
      <c r="C638" s="4">
        <v>9834</v>
      </c>
      <c r="D638" s="4">
        <v>89655957</v>
      </c>
    </row>
    <row r="639" spans="1:4" x14ac:dyDescent="0.25">
      <c r="A639" t="str">
        <f>T("   293690")</f>
        <v xml:space="preserve">   293690</v>
      </c>
      <c r="B639" t="str">
        <f>T("   AUTRES, Y COMPRIS LES CONCENTRATS NATURELS")</f>
        <v xml:space="preserve">   AUTRES, Y COMPRIS LES CONCENTRATS NATURELS</v>
      </c>
      <c r="C639" s="4">
        <v>16000</v>
      </c>
      <c r="D639" s="4">
        <v>7293836</v>
      </c>
    </row>
    <row r="640" spans="1:4" x14ac:dyDescent="0.25">
      <c r="A640" t="str">
        <f>T("   294130")</f>
        <v xml:space="preserve">   294130</v>
      </c>
      <c r="B640" t="str">
        <f>T("   TETRACYCLINES ET LEURS DERIVES; SELS DE CES PRODUITS")</f>
        <v xml:space="preserve">   TETRACYCLINES ET LEURS DERIVES; SELS DE CES PRODUITS</v>
      </c>
      <c r="C640" s="4">
        <v>1</v>
      </c>
      <c r="D640" s="4">
        <v>328</v>
      </c>
    </row>
    <row r="641" spans="1:4" x14ac:dyDescent="0.25">
      <c r="A641" t="str">
        <f>T("   294190")</f>
        <v xml:space="preserve">   294190</v>
      </c>
      <c r="B641" t="str">
        <f>T("   AUTRES")</f>
        <v xml:space="preserve">   AUTRES</v>
      </c>
      <c r="C641" s="4">
        <v>3</v>
      </c>
      <c r="D641" s="4">
        <v>1685523</v>
      </c>
    </row>
    <row r="642" spans="1:4" x14ac:dyDescent="0.25">
      <c r="A642" t="str">
        <f>T("   300220")</f>
        <v xml:space="preserve">   300220</v>
      </c>
      <c r="B642" t="str">
        <f>T("   Vaccins pour la medecine humaine")</f>
        <v xml:space="preserve">   Vaccins pour la medecine humaine</v>
      </c>
      <c r="C642" s="4">
        <v>2819.3</v>
      </c>
      <c r="D642" s="4">
        <v>34732509</v>
      </c>
    </row>
    <row r="643" spans="1:4" x14ac:dyDescent="0.25">
      <c r="A643" t="str">
        <f>T("   300320")</f>
        <v xml:space="preserve">   300320</v>
      </c>
      <c r="B643" t="str">
        <f>T("   CONTENANT D'AUTRES ANTIBIOTIQUES")</f>
        <v xml:space="preserve">   CONTENANT D'AUTRES ANTIBIOTIQUES</v>
      </c>
      <c r="C643" s="4">
        <v>15</v>
      </c>
      <c r="D643" s="4">
        <v>10935</v>
      </c>
    </row>
    <row r="644" spans="1:4" x14ac:dyDescent="0.25">
      <c r="A644" t="str">
        <f>T("   300410")</f>
        <v xml:space="preserve">   300410</v>
      </c>
      <c r="B644" t="str">
        <f>T("   CONTENANT DES PENICILLINES OU DES DERIVES DE CES PRODUITS, A STRUCTURE D'ACIDE PENICI")</f>
        <v xml:space="preserve">   CONTENANT DES PENICILLINES OU DES DERIVES DE CES PRODUITS, A STRUCTURE D'ACIDE PENICI</v>
      </c>
      <c r="C644" s="4">
        <v>1736.2</v>
      </c>
      <c r="D644" s="4">
        <v>14226329</v>
      </c>
    </row>
    <row r="645" spans="1:4" x14ac:dyDescent="0.25">
      <c r="A645" t="str">
        <f>T("   300420")</f>
        <v xml:space="preserve">   300420</v>
      </c>
      <c r="B645" t="str">
        <f>T("   CONTENANT D'AUTRES ANTIBIOTIQUES")</f>
        <v xml:space="preserve">   CONTENANT D'AUTRES ANTIBIOTIQUES</v>
      </c>
      <c r="C645" s="4">
        <v>2680</v>
      </c>
      <c r="D645" s="4">
        <v>24028472</v>
      </c>
    </row>
    <row r="646" spans="1:4" x14ac:dyDescent="0.25">
      <c r="A646" t="str">
        <f>T("   300432")</f>
        <v xml:space="preserve">   300432</v>
      </c>
      <c r="B646" t="str">
        <f>T("   CONTENANT DES HORMONES CORTICOSTEROIDES, LEURS DERIVES OU ANALOGUES STRUCTURELS")</f>
        <v xml:space="preserve">   CONTENANT DES HORMONES CORTICOSTEROIDES, LEURS DERIVES OU ANALOGUES STRUCTURELS</v>
      </c>
      <c r="C646" s="4">
        <v>3046</v>
      </c>
      <c r="D646" s="4">
        <v>33495285</v>
      </c>
    </row>
    <row r="647" spans="1:4" x14ac:dyDescent="0.25">
      <c r="A647" t="str">
        <f>T("   300439")</f>
        <v xml:space="preserve">   300439</v>
      </c>
      <c r="B647" t="str">
        <f>T("   AUTRES")</f>
        <v xml:space="preserve">   AUTRES</v>
      </c>
      <c r="C647" s="4">
        <v>21</v>
      </c>
      <c r="D647" s="4">
        <v>124370</v>
      </c>
    </row>
    <row r="648" spans="1:4" x14ac:dyDescent="0.25">
      <c r="A648" t="str">
        <f>T("   300450")</f>
        <v xml:space="preserve">   300450</v>
      </c>
      <c r="B648" t="str">
        <f>T("   AUTRES MEDICAMENTS CONTENANT DES VITAMINES OU D'AUTRES PRODUITS DU N° 29.36")</f>
        <v xml:space="preserve">   AUTRES MEDICAMENTS CONTENANT DES VITAMINES OU D'AUTRES PRODUITS DU N° 29.36</v>
      </c>
      <c r="C648" s="4">
        <v>15607</v>
      </c>
      <c r="D648" s="4">
        <v>246750506</v>
      </c>
    </row>
    <row r="649" spans="1:4" x14ac:dyDescent="0.25">
      <c r="A649" t="str">
        <f>T("   300490")</f>
        <v xml:space="preserve">   300490</v>
      </c>
      <c r="B649" t="str">
        <f>T("   AUTRES")</f>
        <v xml:space="preserve">   AUTRES</v>
      </c>
      <c r="C649" s="4">
        <v>225279</v>
      </c>
      <c r="D649" s="4">
        <v>2563277251</v>
      </c>
    </row>
    <row r="650" spans="1:4" x14ac:dyDescent="0.25">
      <c r="A650" t="str">
        <f>T("   300590")</f>
        <v xml:space="preserve">   300590</v>
      </c>
      <c r="B650" t="str">
        <f>T("   AUTRES")</f>
        <v xml:space="preserve">   AUTRES</v>
      </c>
      <c r="C650" s="4">
        <v>1563</v>
      </c>
      <c r="D650" s="4">
        <v>8706452</v>
      </c>
    </row>
    <row r="651" spans="1:4" x14ac:dyDescent="0.25">
      <c r="A651" t="str">
        <f>T("   300610")</f>
        <v xml:space="preserve">   300610</v>
      </c>
      <c r="B651" t="str">
        <f>T("   CATGUTS STERILES, LIGATURES STERILES SIMILAIRES POUR SUTURES CHIRURGICALES (Y COMPRIS")</f>
        <v xml:space="preserve">   CATGUTS STERILES, LIGATURES STERILES SIMILAIRES POUR SUTURES CHIRURGICALES (Y COMPRIS</v>
      </c>
      <c r="C651" s="4">
        <v>182.1</v>
      </c>
      <c r="D651" s="4">
        <v>13498272</v>
      </c>
    </row>
    <row r="652" spans="1:4" x14ac:dyDescent="0.25">
      <c r="A652" t="str">
        <f>T("   300630")</f>
        <v xml:space="preserve">   300630</v>
      </c>
      <c r="B652" t="str">
        <f>T("   PREPARATIONS OPACIFIANTES POUR EXAMENS RADIOGRAPHIQUES; REACTIFS DE DIAGNOSTIC CONCUS")</f>
        <v xml:space="preserve">   PREPARATIONS OPACIFIANTES POUR EXAMENS RADIOGRAPHIQUES; REACTIFS DE DIAGNOSTIC CONCUS</v>
      </c>
      <c r="C652" s="4">
        <v>3.5</v>
      </c>
      <c r="D652" s="4">
        <v>60000</v>
      </c>
    </row>
    <row r="653" spans="1:4" x14ac:dyDescent="0.25">
      <c r="A653" t="str">
        <f>T("   310100")</f>
        <v xml:space="preserve">   310100</v>
      </c>
      <c r="B653" t="str">
        <f>T("   ENGRAIS D'ORIGINE ANIMALE OU VEGETALE, MEME MELANGES ENTRE EUX OU TRAITES CHIMIQUEMENT;")</f>
        <v xml:space="preserve">   ENGRAIS D'ORIGINE ANIMALE OU VEGETALE, MEME MELANGES ENTRE EUX OU TRAITES CHIMIQUEMENT;</v>
      </c>
      <c r="C653" s="4">
        <v>41700</v>
      </c>
      <c r="D653" s="4">
        <v>4208468</v>
      </c>
    </row>
    <row r="654" spans="1:4" x14ac:dyDescent="0.25">
      <c r="A654" t="str">
        <f>T("   310230")</f>
        <v xml:space="preserve">   310230</v>
      </c>
      <c r="B654" t="str">
        <f>T("   NITRATE D'AMMONIUM, MEME EN SOLUTION AQUEUSE")</f>
        <v xml:space="preserve">   NITRATE D'AMMONIUM, MEME EN SOLUTION AQUEUSE</v>
      </c>
      <c r="C654" s="4">
        <v>38080</v>
      </c>
      <c r="D654" s="4">
        <v>16059213</v>
      </c>
    </row>
    <row r="655" spans="1:4" x14ac:dyDescent="0.25">
      <c r="A655" t="str">
        <f>T("   320411")</f>
        <v xml:space="preserve">   320411</v>
      </c>
      <c r="B655" t="str">
        <f>T("   Colorants disperses et preparations a base de ces colorants")</f>
        <v xml:space="preserve">   Colorants disperses et preparations a base de ces colorants</v>
      </c>
      <c r="C655" s="4">
        <v>5231</v>
      </c>
      <c r="D655" s="4">
        <v>28622160</v>
      </c>
    </row>
    <row r="656" spans="1:4" x14ac:dyDescent="0.25">
      <c r="A656" t="str">
        <f>T("   320419")</f>
        <v xml:space="preserve">   320419</v>
      </c>
      <c r="B656" t="str">
        <f>T("   AUTRES, Y COMPRIS LES MELANGES DE MATIERES COLORANTES D'AU MOINS DEUX DES N°S 3204.1")</f>
        <v xml:space="preserve">   AUTRES, Y COMPRIS LES MELANGES DE MATIERES COLORANTES D'AU MOINS DEUX DES N°S 3204.1</v>
      </c>
      <c r="C656" s="4">
        <v>5532</v>
      </c>
      <c r="D656" s="4">
        <v>21731606</v>
      </c>
    </row>
    <row r="657" spans="1:4" x14ac:dyDescent="0.25">
      <c r="A657" t="str">
        <f>T("   320490")</f>
        <v xml:space="preserve">   320490</v>
      </c>
      <c r="B657" t="str">
        <f>T("   AUTRES")</f>
        <v xml:space="preserve">   AUTRES</v>
      </c>
      <c r="C657" s="4">
        <v>189</v>
      </c>
      <c r="D657" s="4">
        <v>1668763</v>
      </c>
    </row>
    <row r="658" spans="1:4" x14ac:dyDescent="0.25">
      <c r="A658" t="str">
        <f>T("   320641")</f>
        <v xml:space="preserve">   320641</v>
      </c>
      <c r="B658" t="str">
        <f>T("   Outremer et ses preparations")</f>
        <v xml:space="preserve">   Outremer et ses preparations</v>
      </c>
      <c r="C658" s="4">
        <v>52</v>
      </c>
      <c r="D658" s="4">
        <v>213843</v>
      </c>
    </row>
    <row r="659" spans="1:4" x14ac:dyDescent="0.25">
      <c r="A659" t="str">
        <f>T("   321100")</f>
        <v xml:space="preserve">   321100</v>
      </c>
      <c r="B659" t="str">
        <f>T("   SICCATIFS PREPARES.")</f>
        <v xml:space="preserve">   SICCATIFS PREPARES.</v>
      </c>
      <c r="C659" s="4">
        <v>1440</v>
      </c>
      <c r="D659" s="4">
        <v>1370786</v>
      </c>
    </row>
    <row r="660" spans="1:4" x14ac:dyDescent="0.25">
      <c r="A660" t="str">
        <f>T("   321519")</f>
        <v xml:space="preserve">   321519</v>
      </c>
      <c r="B660" t="str">
        <f>T("   AUTRES")</f>
        <v xml:space="preserve">   AUTRES</v>
      </c>
      <c r="C660" s="4">
        <v>6503</v>
      </c>
      <c r="D660" s="4">
        <v>5932711</v>
      </c>
    </row>
    <row r="661" spans="1:4" x14ac:dyDescent="0.25">
      <c r="A661" t="str">
        <f>T("   321590")</f>
        <v xml:space="preserve">   321590</v>
      </c>
      <c r="B661" t="str">
        <f>T("   AUTRES")</f>
        <v xml:space="preserve">   AUTRES</v>
      </c>
      <c r="C661" s="4">
        <v>39</v>
      </c>
      <c r="D661" s="4">
        <v>588855</v>
      </c>
    </row>
    <row r="662" spans="1:4" x14ac:dyDescent="0.25">
      <c r="A662" t="str">
        <f>T("   330210")</f>
        <v xml:space="preserve">   330210</v>
      </c>
      <c r="B662" t="str">
        <f>T("   DES TYPES UTILISES POUR LES INDUSTRIES ALIMENTAIRES OU DES BOISSONS")</f>
        <v xml:space="preserve">   DES TYPES UTILISES POUR LES INDUSTRIES ALIMENTAIRES OU DES BOISSONS</v>
      </c>
      <c r="C662" s="4">
        <v>91577</v>
      </c>
      <c r="D662" s="4">
        <v>429611831</v>
      </c>
    </row>
    <row r="663" spans="1:4" x14ac:dyDescent="0.25">
      <c r="A663" t="str">
        <f>T("   330499")</f>
        <v xml:space="preserve">   330499</v>
      </c>
      <c r="B663" t="str">
        <f>T("   AUTRES")</f>
        <v xml:space="preserve">   AUTRES</v>
      </c>
      <c r="C663" s="4">
        <v>1822</v>
      </c>
      <c r="D663" s="4">
        <v>2358149</v>
      </c>
    </row>
    <row r="664" spans="1:4" x14ac:dyDescent="0.25">
      <c r="A664" t="str">
        <f>T("   330510")</f>
        <v xml:space="preserve">   330510</v>
      </c>
      <c r="B664" t="str">
        <f>T("   Shampooings")</f>
        <v xml:space="preserve">   Shampooings</v>
      </c>
      <c r="C664" s="4">
        <v>24010</v>
      </c>
      <c r="D664" s="4">
        <v>6837878</v>
      </c>
    </row>
    <row r="665" spans="1:4" x14ac:dyDescent="0.25">
      <c r="A665" t="str">
        <f>T("   330610")</f>
        <v xml:space="preserve">   330610</v>
      </c>
      <c r="B665" t="str">
        <f>T("   Dentifrices")</f>
        <v xml:space="preserve">   Dentifrices</v>
      </c>
      <c r="C665" s="4">
        <v>30383</v>
      </c>
      <c r="D665" s="4">
        <v>27273251</v>
      </c>
    </row>
    <row r="666" spans="1:4" x14ac:dyDescent="0.25">
      <c r="A666" t="str">
        <f>T("   330720")</f>
        <v xml:space="preserve">   330720</v>
      </c>
      <c r="B666" t="str">
        <f>T("   Desodorisants corporels et antisudoraux")</f>
        <v xml:space="preserve">   Desodorisants corporels et antisudoraux</v>
      </c>
      <c r="C666" s="4">
        <v>1064</v>
      </c>
      <c r="D666" s="4">
        <v>958666</v>
      </c>
    </row>
    <row r="667" spans="1:4" x14ac:dyDescent="0.25">
      <c r="A667" t="str">
        <f>T("   330749")</f>
        <v xml:space="preserve">   330749</v>
      </c>
      <c r="B667" t="str">
        <f>T("   AUTRES")</f>
        <v xml:space="preserve">   AUTRES</v>
      </c>
      <c r="C667" s="4">
        <v>1881</v>
      </c>
      <c r="D667" s="4">
        <v>755667</v>
      </c>
    </row>
    <row r="668" spans="1:4" x14ac:dyDescent="0.25">
      <c r="A668" t="str">
        <f>T("   340111")</f>
        <v xml:space="preserve">   340111</v>
      </c>
      <c r="B668" t="str">
        <f>T("   DE TOILETTE (Y COMPRIS CEUX A USAGES MEDICAUX)")</f>
        <v xml:space="preserve">   DE TOILETTE (Y COMPRIS CEUX A USAGES MEDICAUX)</v>
      </c>
      <c r="C668" s="4">
        <v>14691</v>
      </c>
      <c r="D668" s="4">
        <v>6873594</v>
      </c>
    </row>
    <row r="669" spans="1:4" x14ac:dyDescent="0.25">
      <c r="A669" t="str">
        <f>T("   340119")</f>
        <v xml:space="preserve">   340119</v>
      </c>
      <c r="B669" t="str">
        <f>T("   AUTRES")</f>
        <v xml:space="preserve">   AUTRES</v>
      </c>
      <c r="C669" s="4">
        <v>5088</v>
      </c>
      <c r="D669" s="4">
        <v>3470323</v>
      </c>
    </row>
    <row r="670" spans="1:4" x14ac:dyDescent="0.25">
      <c r="A670" t="str">
        <f>T("   340120")</f>
        <v xml:space="preserve">   340120</v>
      </c>
      <c r="B670" t="str">
        <f>T("   SAVONS SOUS AUTRES FORMES")</f>
        <v xml:space="preserve">   SAVONS SOUS AUTRES FORMES</v>
      </c>
      <c r="C670" s="4">
        <v>722</v>
      </c>
      <c r="D670" s="4">
        <v>2438204</v>
      </c>
    </row>
    <row r="671" spans="1:4" x14ac:dyDescent="0.25">
      <c r="A671" t="str">
        <f>T("   340130")</f>
        <v xml:space="preserve">   340130</v>
      </c>
      <c r="B671" t="str">
        <f>T("   PRODUITS ET PREPARATIONS ORGANIQUES TENSIOACTIFS DESTINES AU LAVAGE DE LA PEAU, SOUS")</f>
        <v xml:space="preserve">   PRODUITS ET PREPARATIONS ORGANIQUES TENSIOACTIFS DESTINES AU LAVAGE DE LA PEAU, SOUS</v>
      </c>
      <c r="C671" s="4">
        <v>1606</v>
      </c>
      <c r="D671" s="4">
        <v>1840854</v>
      </c>
    </row>
    <row r="672" spans="1:4" x14ac:dyDescent="0.25">
      <c r="A672" t="str">
        <f>T("   340213")</f>
        <v xml:space="preserve">   340213</v>
      </c>
      <c r="B672" t="str">
        <f>T("   NONIONIQUES")</f>
        <v xml:space="preserve">   NONIONIQUES</v>
      </c>
      <c r="C672" s="4">
        <v>200</v>
      </c>
      <c r="D672" s="4">
        <v>170765</v>
      </c>
    </row>
    <row r="673" spans="1:4" x14ac:dyDescent="0.25">
      <c r="A673" t="str">
        <f>T("   340220")</f>
        <v xml:space="preserve">   340220</v>
      </c>
      <c r="B673" t="str">
        <f>T("   PREPARATIONS CONDITIONNEES POUR LA VENTE AU DETAIL")</f>
        <v xml:space="preserve">   PREPARATIONS CONDITIONNEES POUR LA VENTE AU DETAIL</v>
      </c>
      <c r="C673" s="4">
        <v>6567</v>
      </c>
      <c r="D673" s="4">
        <v>1332911</v>
      </c>
    </row>
    <row r="674" spans="1:4" x14ac:dyDescent="0.25">
      <c r="A674" t="str">
        <f>T("   340290")</f>
        <v xml:space="preserve">   340290</v>
      </c>
      <c r="B674" t="str">
        <f>T("   AUTRES")</f>
        <v xml:space="preserve">   AUTRES</v>
      </c>
      <c r="C674" s="4">
        <v>45218</v>
      </c>
      <c r="D674" s="4">
        <v>101061894</v>
      </c>
    </row>
    <row r="675" spans="1:4" x14ac:dyDescent="0.25">
      <c r="A675" t="str">
        <f>T("   340319")</f>
        <v xml:space="preserve">   340319</v>
      </c>
      <c r="B675" t="str">
        <f>T("   AUTRES")</f>
        <v xml:space="preserve">   AUTRES</v>
      </c>
      <c r="C675" s="4">
        <v>1937</v>
      </c>
      <c r="D675" s="4">
        <v>2352929</v>
      </c>
    </row>
    <row r="676" spans="1:4" x14ac:dyDescent="0.25">
      <c r="A676" t="str">
        <f>T("   340490")</f>
        <v xml:space="preserve">   340490</v>
      </c>
      <c r="B676" t="str">
        <f>T("   AUTRES")</f>
        <v xml:space="preserve">   AUTRES</v>
      </c>
      <c r="C676" s="4">
        <v>12100</v>
      </c>
      <c r="D676" s="4">
        <v>21470582</v>
      </c>
    </row>
    <row r="677" spans="1:4" x14ac:dyDescent="0.25">
      <c r="A677" t="str">
        <f>T("   340540")</f>
        <v xml:space="preserve">   340540</v>
      </c>
      <c r="B677" t="str">
        <f>T("   PATES, POUDRES ET AUTRES PREPARATIONS A RECURER")</f>
        <v xml:space="preserve">   PATES, POUDRES ET AUTRES PREPARATIONS A RECURER</v>
      </c>
      <c r="C677" s="4">
        <v>2566</v>
      </c>
      <c r="D677" s="4">
        <v>1666899</v>
      </c>
    </row>
    <row r="678" spans="1:4" x14ac:dyDescent="0.25">
      <c r="A678" t="str">
        <f>T("   350190")</f>
        <v xml:space="preserve">   350190</v>
      </c>
      <c r="B678" t="str">
        <f>T("   AUTRES")</f>
        <v xml:space="preserve">   AUTRES</v>
      </c>
      <c r="C678" s="4">
        <v>4</v>
      </c>
      <c r="D678" s="4">
        <v>110352</v>
      </c>
    </row>
    <row r="679" spans="1:4" x14ac:dyDescent="0.25">
      <c r="A679" t="str">
        <f>T("   350510")</f>
        <v xml:space="preserve">   350510</v>
      </c>
      <c r="B679" t="str">
        <f>T("   Dextrine et autres amidons et fecules modifies")</f>
        <v xml:space="preserve">   Dextrine et autres amidons et fecules modifies</v>
      </c>
      <c r="C679" s="4">
        <v>1</v>
      </c>
      <c r="D679" s="4">
        <v>2547421</v>
      </c>
    </row>
    <row r="680" spans="1:4" x14ac:dyDescent="0.25">
      <c r="A680" t="str">
        <f>T("   350691")</f>
        <v xml:space="preserve">   350691</v>
      </c>
      <c r="B680" t="str">
        <f>T("   ADHESIFS A BASE DE POLYMERES DES N°S 39.01 A 39.13 OU DE CAOUTCHOUC")</f>
        <v xml:space="preserve">   ADHESIFS A BASE DE POLYMERES DES N°S 39.01 A 39.13 OU DE CAOUTCHOUC</v>
      </c>
      <c r="C680" s="4">
        <v>2376</v>
      </c>
      <c r="D680" s="4">
        <v>4038933</v>
      </c>
    </row>
    <row r="681" spans="1:4" x14ac:dyDescent="0.25">
      <c r="A681" t="str">
        <f>T("   350699")</f>
        <v xml:space="preserve">   350699</v>
      </c>
      <c r="B681" t="str">
        <f>T("   AUTRES")</f>
        <v xml:space="preserve">   AUTRES</v>
      </c>
      <c r="C681" s="4">
        <v>5</v>
      </c>
      <c r="D681" s="4">
        <v>49013</v>
      </c>
    </row>
    <row r="682" spans="1:4" x14ac:dyDescent="0.25">
      <c r="A682" t="str">
        <f>T("   350790")</f>
        <v xml:space="preserve">   350790</v>
      </c>
      <c r="B682" t="str">
        <f>T("   AUTRES")</f>
        <v xml:space="preserve">   AUTRES</v>
      </c>
      <c r="C682" s="4">
        <v>506</v>
      </c>
      <c r="D682" s="4">
        <v>1372924</v>
      </c>
    </row>
    <row r="683" spans="1:4" x14ac:dyDescent="0.25">
      <c r="A683" t="str">
        <f>T("   370110")</f>
        <v xml:space="preserve">   370110</v>
      </c>
      <c r="B683" t="str">
        <f>T("   POUR RAYONS X")</f>
        <v xml:space="preserve">   POUR RAYONS X</v>
      </c>
      <c r="C683" s="4">
        <v>9889</v>
      </c>
      <c r="D683" s="4">
        <v>87956968</v>
      </c>
    </row>
    <row r="684" spans="1:4" x14ac:dyDescent="0.25">
      <c r="A684" t="str">
        <f>T("   370120")</f>
        <v xml:space="preserve">   370120</v>
      </c>
      <c r="B684" t="str">
        <f>T("   FILMS A DEVELOPPEMENT ET TIRAGE INSTANTANES")</f>
        <v xml:space="preserve">   FILMS A DEVELOPPEMENT ET TIRAGE INSTANTANES</v>
      </c>
      <c r="C684" s="4">
        <v>181</v>
      </c>
      <c r="D684" s="4">
        <v>1813599</v>
      </c>
    </row>
    <row r="685" spans="1:4" x14ac:dyDescent="0.25">
      <c r="A685" t="str">
        <f>T("   370244")</f>
        <v xml:space="preserve">   370244</v>
      </c>
      <c r="B685" t="str">
        <f>T("   D'UNE LARGEUR EXCEDANT 105 MM MAIS N'EXCEDANT PAS 610 MM")</f>
        <v xml:space="preserve">   D'UNE LARGEUR EXCEDANT 105 MM MAIS N'EXCEDANT PAS 610 MM</v>
      </c>
      <c r="C685" s="4">
        <v>322</v>
      </c>
      <c r="D685" s="4">
        <v>371929</v>
      </c>
    </row>
    <row r="686" spans="1:4" x14ac:dyDescent="0.25">
      <c r="A686" t="str">
        <f>T("   370320")</f>
        <v xml:space="preserve">   370320</v>
      </c>
      <c r="B686" t="str">
        <f>T("   AUTRES, POUR LA PHOTOGRAPHIE EN COULEURS (POLYCHROME)")</f>
        <v xml:space="preserve">   AUTRES, POUR LA PHOTOGRAPHIE EN COULEURS (POLYCHROME)</v>
      </c>
      <c r="C686" s="4">
        <v>49228</v>
      </c>
      <c r="D686" s="4">
        <v>9219085</v>
      </c>
    </row>
    <row r="687" spans="1:4" x14ac:dyDescent="0.25">
      <c r="A687" t="str">
        <f>T("   370790")</f>
        <v xml:space="preserve">   370790</v>
      </c>
      <c r="B687" t="str">
        <f>T("   AUTRES")</f>
        <v xml:space="preserve">   AUTRES</v>
      </c>
      <c r="C687" s="4">
        <v>31959</v>
      </c>
      <c r="D687" s="4">
        <v>15734566</v>
      </c>
    </row>
    <row r="688" spans="1:4" x14ac:dyDescent="0.25">
      <c r="A688" t="str">
        <f>T("   380850")</f>
        <v xml:space="preserve">   380850</v>
      </c>
      <c r="B688" t="str">
        <f>T("   MARCHANDISES MENTIONNEES DANS LA NOTE 1 DE SOUSPOSITIONS DU PRESENT CHAPITRE")</f>
        <v xml:space="preserve">   MARCHANDISES MENTIONNEES DANS LA NOTE 1 DE SOUSPOSITIONS DU PRESENT CHAPITRE</v>
      </c>
      <c r="C688" s="4">
        <v>642</v>
      </c>
      <c r="D688" s="4">
        <v>4087943</v>
      </c>
    </row>
    <row r="689" spans="1:4" x14ac:dyDescent="0.25">
      <c r="A689" t="str">
        <f>T("   380894")</f>
        <v xml:space="preserve">   380894</v>
      </c>
      <c r="B689" t="str">
        <f>T("   DESINFECTANTS")</f>
        <v xml:space="preserve">   DESINFECTANTS</v>
      </c>
      <c r="C689" s="4">
        <v>21380</v>
      </c>
      <c r="D689" s="4">
        <v>52569736</v>
      </c>
    </row>
    <row r="690" spans="1:4" x14ac:dyDescent="0.25">
      <c r="A690" t="str">
        <f>T("   380899")</f>
        <v xml:space="preserve">   380899</v>
      </c>
      <c r="B690" t="str">
        <f>T("   AUTRES")</f>
        <v xml:space="preserve">   AUTRES</v>
      </c>
      <c r="C690" s="4">
        <v>3240</v>
      </c>
      <c r="D690" s="4">
        <v>9253156</v>
      </c>
    </row>
    <row r="691" spans="1:4" x14ac:dyDescent="0.25">
      <c r="A691" t="str">
        <f>T("   380991")</f>
        <v xml:space="preserve">   380991</v>
      </c>
      <c r="B691" t="str">
        <f>T("   DES TYPES UTILISES DANS L'INDUSTRIE TEXTILE OU DANS LES INDUSTRIES SIMILAIRES")</f>
        <v xml:space="preserve">   DES TYPES UTILISES DANS L'INDUSTRIE TEXTILE OU DANS LES INDUSTRIES SIMILAIRES</v>
      </c>
      <c r="C691" s="4">
        <v>1707</v>
      </c>
      <c r="D691" s="4">
        <v>1030218</v>
      </c>
    </row>
    <row r="692" spans="1:4" x14ac:dyDescent="0.25">
      <c r="A692" t="str">
        <f>T("   381121")</f>
        <v xml:space="preserve">   381121</v>
      </c>
      <c r="B692" t="str">
        <f>T("   CONTENANT DES HUILES DE PETROLE OU DE MINERAUX BITUMINEUX")</f>
        <v xml:space="preserve">   CONTENANT DES HUILES DE PETROLE OU DE MINERAUX BITUMINEUX</v>
      </c>
      <c r="C692" s="4">
        <v>3294</v>
      </c>
      <c r="D692" s="4">
        <v>3721917</v>
      </c>
    </row>
    <row r="693" spans="1:4" x14ac:dyDescent="0.25">
      <c r="A693" t="str">
        <f>T("   381400")</f>
        <v xml:space="preserve">   381400</v>
      </c>
      <c r="B693" t="str">
        <f>T("   SOLVANTS ET DILUANTS ORGANIQUES COMPOSITES, NON DENOMMES NI COMPRIS AILLEURS; PREPARATI")</f>
        <v xml:space="preserve">   SOLVANTS ET DILUANTS ORGANIQUES COMPOSITES, NON DENOMMES NI COMPRIS AILLEURS; PREPARATI</v>
      </c>
      <c r="C693" s="4">
        <v>76000</v>
      </c>
      <c r="D693" s="4">
        <v>40094899</v>
      </c>
    </row>
    <row r="694" spans="1:4" x14ac:dyDescent="0.25">
      <c r="A694" t="str">
        <f>T("   382000")</f>
        <v xml:space="preserve">   382000</v>
      </c>
      <c r="B694" t="str">
        <f>T("   PREPARATIONS ANTIGEL ET LIQUIDES PREPARES POUR DEGIVRAGE.")</f>
        <v xml:space="preserve">   PREPARATIONS ANTIGEL ET LIQUIDES PREPARES POUR DEGIVRAGE.</v>
      </c>
      <c r="C694" s="4">
        <v>4500</v>
      </c>
      <c r="D694" s="4">
        <v>2957166</v>
      </c>
    </row>
    <row r="695" spans="1:4" x14ac:dyDescent="0.25">
      <c r="A695" t="str">
        <f>T("   382100")</f>
        <v xml:space="preserve">   382100</v>
      </c>
      <c r="B695" t="str">
        <f>T("   MILIEUX DE CULTURE PREPARES POUR LE DEVELOPPEMENT ET L'ENTRETIEN DES MICROORGANISMES (")</f>
        <v xml:space="preserve">   MILIEUX DE CULTURE PREPARES POUR LE DEVELOPPEMENT ET L'ENTRETIEN DES MICROORGANISMES (</v>
      </c>
      <c r="C695" s="4">
        <v>724</v>
      </c>
      <c r="D695" s="4">
        <v>16022539</v>
      </c>
    </row>
    <row r="696" spans="1:4" x14ac:dyDescent="0.25">
      <c r="A696" t="str">
        <f>T("   382200")</f>
        <v xml:space="preserve">   382200</v>
      </c>
      <c r="B696" t="str">
        <f>T("   REACTIFS DE DIAGNOSTIC OU DE LABORATOIRE SUR TOUT SUPPORT ET REACTIFS DE DIAGNOSTIC OU")</f>
        <v xml:space="preserve">   REACTIFS DE DIAGNOSTIC OU DE LABORATOIRE SUR TOUT SUPPORT ET REACTIFS DE DIAGNOSTIC OU</v>
      </c>
      <c r="C696" s="4">
        <v>5676.12</v>
      </c>
      <c r="D696" s="4">
        <v>40997778</v>
      </c>
    </row>
    <row r="697" spans="1:4" x14ac:dyDescent="0.25">
      <c r="A697" t="str">
        <f>T("   382319")</f>
        <v xml:space="preserve">   382319</v>
      </c>
      <c r="B697" t="str">
        <f>T("   AUTRES")</f>
        <v xml:space="preserve">   AUTRES</v>
      </c>
      <c r="C697" s="4">
        <v>4022</v>
      </c>
      <c r="D697" s="4">
        <v>4323432</v>
      </c>
    </row>
    <row r="698" spans="1:4" x14ac:dyDescent="0.25">
      <c r="A698" t="str">
        <f>T("   382479")</f>
        <v xml:space="preserve">   382479</v>
      </c>
      <c r="B698" t="str">
        <f>T("   AUTRES")</f>
        <v xml:space="preserve">   AUTRES</v>
      </c>
      <c r="C698" s="4">
        <v>23</v>
      </c>
      <c r="D698" s="4">
        <v>383015</v>
      </c>
    </row>
    <row r="699" spans="1:4" x14ac:dyDescent="0.25">
      <c r="A699" t="str">
        <f>T("   382490")</f>
        <v xml:space="preserve">   382490</v>
      </c>
      <c r="B699" t="str">
        <f>T("   AUTRES")</f>
        <v xml:space="preserve">   AUTRES</v>
      </c>
      <c r="C699" s="4">
        <v>1758</v>
      </c>
      <c r="D699" s="4">
        <v>3371267</v>
      </c>
    </row>
    <row r="700" spans="1:4" x14ac:dyDescent="0.25">
      <c r="A700" t="str">
        <f>T("   390190")</f>
        <v xml:space="preserve">   390190</v>
      </c>
      <c r="B700" t="str">
        <f>T("   AUTRES")</f>
        <v xml:space="preserve">   AUTRES</v>
      </c>
      <c r="C700" s="4">
        <v>24889</v>
      </c>
      <c r="D700" s="4">
        <v>21411662</v>
      </c>
    </row>
    <row r="701" spans="1:4" x14ac:dyDescent="0.25">
      <c r="A701" t="str">
        <f>T("   390210")</f>
        <v xml:space="preserve">   390210</v>
      </c>
      <c r="B701" t="str">
        <f>T("   POLYPROPYLENE")</f>
        <v xml:space="preserve">   POLYPROPYLENE</v>
      </c>
      <c r="C701" s="4">
        <v>2190</v>
      </c>
      <c r="D701" s="4">
        <v>9810537</v>
      </c>
    </row>
    <row r="702" spans="1:4" x14ac:dyDescent="0.25">
      <c r="A702" t="str">
        <f>T("   390311")</f>
        <v xml:space="preserve">   390311</v>
      </c>
      <c r="B702" t="str">
        <f>T("   EXPANSIBLE")</f>
        <v xml:space="preserve">   EXPANSIBLE</v>
      </c>
      <c r="C702" s="4">
        <v>14112</v>
      </c>
      <c r="D702" s="4">
        <v>30141217</v>
      </c>
    </row>
    <row r="703" spans="1:4" x14ac:dyDescent="0.25">
      <c r="A703" t="str">
        <f>T("   390319")</f>
        <v xml:space="preserve">   390319</v>
      </c>
      <c r="B703" t="str">
        <f>T("   AUTRES")</f>
        <v xml:space="preserve">   AUTRES</v>
      </c>
      <c r="C703" s="4">
        <v>92037</v>
      </c>
      <c r="D703" s="4">
        <v>126475631</v>
      </c>
    </row>
    <row r="704" spans="1:4" x14ac:dyDescent="0.25">
      <c r="A704" t="str">
        <f>T("   390390")</f>
        <v xml:space="preserve">   390390</v>
      </c>
      <c r="B704" t="str">
        <f>T("   AUTRES")</f>
        <v xml:space="preserve">   AUTRES</v>
      </c>
      <c r="C704" s="4">
        <v>21550</v>
      </c>
      <c r="D704" s="4">
        <v>20163945</v>
      </c>
    </row>
    <row r="705" spans="1:4" x14ac:dyDescent="0.25">
      <c r="A705" t="str">
        <f>T("   390440")</f>
        <v xml:space="preserve">   390440</v>
      </c>
      <c r="B705" t="str">
        <f>T("   AUTRES COPOLYMERES DU CHLORURE DE VINYLE")</f>
        <v xml:space="preserve">   AUTRES COPOLYMERES DU CHLORURE DE VINYLE</v>
      </c>
      <c r="C705" s="4">
        <v>2074</v>
      </c>
      <c r="D705" s="4">
        <v>3593350</v>
      </c>
    </row>
    <row r="706" spans="1:4" x14ac:dyDescent="0.25">
      <c r="A706" t="str">
        <f>T("   390450")</f>
        <v xml:space="preserve">   390450</v>
      </c>
      <c r="B706" t="str">
        <f>T("   POLYMERES DU CHLORURE DE VINYLIDENE")</f>
        <v xml:space="preserve">   POLYMERES DU CHLORURE DE VINYLIDENE</v>
      </c>
      <c r="C706" s="4">
        <v>176280</v>
      </c>
      <c r="D706" s="4">
        <v>69296053</v>
      </c>
    </row>
    <row r="707" spans="1:4" x14ac:dyDescent="0.25">
      <c r="A707" t="str">
        <f>T("   390690")</f>
        <v xml:space="preserve">   390690</v>
      </c>
      <c r="B707" t="str">
        <f>T("   AUTRES")</f>
        <v xml:space="preserve">   AUTRES</v>
      </c>
      <c r="C707" s="4">
        <v>12619</v>
      </c>
      <c r="D707" s="4">
        <v>26615579</v>
      </c>
    </row>
    <row r="708" spans="1:4" x14ac:dyDescent="0.25">
      <c r="A708" t="str">
        <f>T("   390720")</f>
        <v xml:space="preserve">   390720</v>
      </c>
      <c r="B708" t="str">
        <f>T("   AUTRES POLYETHERS")</f>
        <v xml:space="preserve">   AUTRES POLYETHERS</v>
      </c>
      <c r="C708" s="4">
        <v>17200</v>
      </c>
      <c r="D708" s="4">
        <v>21846092</v>
      </c>
    </row>
    <row r="709" spans="1:4" x14ac:dyDescent="0.25">
      <c r="A709" t="str">
        <f>T("   390730")</f>
        <v xml:space="preserve">   390730</v>
      </c>
      <c r="B709" t="str">
        <f>T("   RESINES EPOXYDES")</f>
        <v xml:space="preserve">   RESINES EPOXYDES</v>
      </c>
      <c r="C709" s="4">
        <v>302</v>
      </c>
      <c r="D709" s="4">
        <v>631690</v>
      </c>
    </row>
    <row r="710" spans="1:4" x14ac:dyDescent="0.25">
      <c r="A710" t="str">
        <f>T("   390750")</f>
        <v xml:space="preserve">   390750</v>
      </c>
      <c r="B710" t="str">
        <f>T("   RESINES ALKYDES")</f>
        <v xml:space="preserve">   RESINES ALKYDES</v>
      </c>
      <c r="C710" s="4">
        <v>26471</v>
      </c>
      <c r="D710" s="4">
        <v>35152898</v>
      </c>
    </row>
    <row r="711" spans="1:4" x14ac:dyDescent="0.25">
      <c r="A711" t="str">
        <f>T("   390799")</f>
        <v xml:space="preserve">   390799</v>
      </c>
      <c r="B711" t="str">
        <f>T("   AUTRES")</f>
        <v xml:space="preserve">   AUTRES</v>
      </c>
      <c r="C711" s="4">
        <v>22837</v>
      </c>
      <c r="D711" s="4">
        <v>34605169</v>
      </c>
    </row>
    <row r="712" spans="1:4" x14ac:dyDescent="0.25">
      <c r="A712" t="str">
        <f>T("   390930")</f>
        <v xml:space="preserve">   390930</v>
      </c>
      <c r="B712" t="str">
        <f>T("   AUTRES RESINES AMINIQUES")</f>
        <v xml:space="preserve">   AUTRES RESINES AMINIQUES</v>
      </c>
      <c r="C712" s="4">
        <v>14556</v>
      </c>
      <c r="D712" s="4">
        <v>20924079</v>
      </c>
    </row>
    <row r="713" spans="1:4" x14ac:dyDescent="0.25">
      <c r="A713" t="str">
        <f>T("   390950")</f>
        <v xml:space="preserve">   390950</v>
      </c>
      <c r="B713" t="str">
        <f>T("   POLYURETHANNES")</f>
        <v xml:space="preserve">   POLYURETHANNES</v>
      </c>
      <c r="C713" s="4">
        <v>19899</v>
      </c>
      <c r="D713" s="4">
        <v>24875315</v>
      </c>
    </row>
    <row r="714" spans="1:4" x14ac:dyDescent="0.25">
      <c r="A714" t="str">
        <f>T("   391000")</f>
        <v xml:space="preserve">   391000</v>
      </c>
      <c r="B714" t="str">
        <f>T("   SILICONES SOUS FORMES PRIMAIRES.")</f>
        <v xml:space="preserve">   SILICONES SOUS FORMES PRIMAIRES.</v>
      </c>
      <c r="C714" s="4">
        <v>315</v>
      </c>
      <c r="D714" s="4">
        <v>480988</v>
      </c>
    </row>
    <row r="715" spans="1:4" x14ac:dyDescent="0.25">
      <c r="A715" t="str">
        <f>T("   391239")</f>
        <v xml:space="preserve">   391239</v>
      </c>
      <c r="B715" t="str">
        <f>T("   AUTRES")</f>
        <v xml:space="preserve">   AUTRES</v>
      </c>
      <c r="C715" s="4">
        <v>13552</v>
      </c>
      <c r="D715" s="4">
        <v>45143823</v>
      </c>
    </row>
    <row r="716" spans="1:4" x14ac:dyDescent="0.25">
      <c r="A716" t="str">
        <f>T("   391390")</f>
        <v xml:space="preserve">   391390</v>
      </c>
      <c r="B716" t="str">
        <f>T("   AUTRES")</f>
        <v xml:space="preserve">   AUTRES</v>
      </c>
      <c r="C716" s="4">
        <v>10</v>
      </c>
      <c r="D716" s="4">
        <v>236342</v>
      </c>
    </row>
    <row r="717" spans="1:4" x14ac:dyDescent="0.25">
      <c r="A717" t="str">
        <f>T("   391690")</f>
        <v xml:space="preserve">   391690</v>
      </c>
      <c r="B717" t="str">
        <f>T("   EN AUTRES MATIERES PLASTIQUES")</f>
        <v xml:space="preserve">   EN AUTRES MATIERES PLASTIQUES</v>
      </c>
      <c r="C717" s="4">
        <v>5</v>
      </c>
      <c r="D717" s="4">
        <v>447909</v>
      </c>
    </row>
    <row r="718" spans="1:4" x14ac:dyDescent="0.25">
      <c r="A718" t="str">
        <f>T("   391729")</f>
        <v xml:space="preserve">   391729</v>
      </c>
      <c r="B718" t="str">
        <f>T("   EN AUTRES MATIERES PLASTIQUES")</f>
        <v xml:space="preserve">   EN AUTRES MATIERES PLASTIQUES</v>
      </c>
      <c r="C718" s="4">
        <v>10</v>
      </c>
      <c r="D718" s="4">
        <v>203931</v>
      </c>
    </row>
    <row r="719" spans="1:4" x14ac:dyDescent="0.25">
      <c r="A719" t="str">
        <f>T("   391739")</f>
        <v xml:space="preserve">   391739</v>
      </c>
      <c r="B719" t="str">
        <f>T("   AUTRES")</f>
        <v xml:space="preserve">   AUTRES</v>
      </c>
      <c r="C719" s="4">
        <v>212</v>
      </c>
      <c r="D719" s="4">
        <v>7356519</v>
      </c>
    </row>
    <row r="720" spans="1:4" x14ac:dyDescent="0.25">
      <c r="A720" t="str">
        <f>T("   391890")</f>
        <v xml:space="preserve">   391890</v>
      </c>
      <c r="B720" t="str">
        <f>T("   EN AUTRES MATIERES PLASTIQUES")</f>
        <v xml:space="preserve">   EN AUTRES MATIERES PLASTIQUES</v>
      </c>
      <c r="C720" s="4">
        <v>2000</v>
      </c>
      <c r="D720" s="4">
        <v>2165652</v>
      </c>
    </row>
    <row r="721" spans="1:4" x14ac:dyDescent="0.25">
      <c r="A721" t="str">
        <f>T("   391910")</f>
        <v xml:space="preserve">   391910</v>
      </c>
      <c r="B721" t="str">
        <f>T("   EN ROULEAUX D'UNE LARGEUR N'EXCEDANT PAS 20 CM")</f>
        <v xml:space="preserve">   EN ROULEAUX D'UNE LARGEUR N'EXCEDANT PAS 20 CM</v>
      </c>
      <c r="C721" s="4">
        <v>178</v>
      </c>
      <c r="D721" s="4">
        <v>2498302</v>
      </c>
    </row>
    <row r="722" spans="1:4" x14ac:dyDescent="0.25">
      <c r="A722" t="str">
        <f>T("   392119")</f>
        <v xml:space="preserve">   392119</v>
      </c>
      <c r="B722" t="str">
        <f>T("   EN AUTRES MATIERES PLASTIQUES")</f>
        <v xml:space="preserve">   EN AUTRES MATIERES PLASTIQUES</v>
      </c>
      <c r="C722" s="4">
        <v>1710</v>
      </c>
      <c r="D722" s="4">
        <v>4339175</v>
      </c>
    </row>
    <row r="723" spans="1:4" x14ac:dyDescent="0.25">
      <c r="A723" t="str">
        <f>T("   392190")</f>
        <v xml:space="preserve">   392190</v>
      </c>
      <c r="B723" t="str">
        <f>T("   AUTRES")</f>
        <v xml:space="preserve">   AUTRES</v>
      </c>
      <c r="C723" s="4">
        <v>4212</v>
      </c>
      <c r="D723" s="4">
        <v>22760782</v>
      </c>
    </row>
    <row r="724" spans="1:4" x14ac:dyDescent="0.25">
      <c r="A724" t="str">
        <f>T("   392310")</f>
        <v xml:space="preserve">   392310</v>
      </c>
      <c r="B724" t="str">
        <f>T("   BOITES, CAISSES, CASIERS ET ARTICLES SIMILAIRES")</f>
        <v xml:space="preserve">   BOITES, CAISSES, CASIERS ET ARTICLES SIMILAIRES</v>
      </c>
      <c r="C724" s="4">
        <v>180</v>
      </c>
      <c r="D724" s="4">
        <v>476227</v>
      </c>
    </row>
    <row r="725" spans="1:4" x14ac:dyDescent="0.25">
      <c r="A725" t="str">
        <f>T("   392329")</f>
        <v xml:space="preserve">   392329</v>
      </c>
      <c r="B725" t="str">
        <f>T("   EN AUTRES MATIERES PLASTIQUES")</f>
        <v xml:space="preserve">   EN AUTRES MATIERES PLASTIQUES</v>
      </c>
      <c r="C725" s="4">
        <v>8639.5</v>
      </c>
      <c r="D725" s="4">
        <v>7473985</v>
      </c>
    </row>
    <row r="726" spans="1:4" x14ac:dyDescent="0.25">
      <c r="A726" t="str">
        <f>T("   392330")</f>
        <v xml:space="preserve">   392330</v>
      </c>
      <c r="B726" t="str">
        <f>T("   BONBONNES, BOUTEILLES, FLACONS ET ARTICLES SIMILAIRES")</f>
        <v xml:space="preserve">   BONBONNES, BOUTEILLES, FLACONS ET ARTICLES SIMILAIRES</v>
      </c>
      <c r="C726" s="4">
        <v>20442</v>
      </c>
      <c r="D726" s="4">
        <v>27074262</v>
      </c>
    </row>
    <row r="727" spans="1:4" x14ac:dyDescent="0.25">
      <c r="A727" t="str">
        <f>T("   392350")</f>
        <v xml:space="preserve">   392350</v>
      </c>
      <c r="B727" t="str">
        <f>T("   BOUCHONS, COUVERCLES, CAPSULES ET AUTRES DISPOSITIFS DE FERMETURE")</f>
        <v xml:space="preserve">   BOUCHONS, COUVERCLES, CAPSULES ET AUTRES DISPOSITIFS DE FERMETURE</v>
      </c>
      <c r="C727" s="4">
        <v>30042</v>
      </c>
      <c r="D727" s="4">
        <v>22831127</v>
      </c>
    </row>
    <row r="728" spans="1:4" x14ac:dyDescent="0.25">
      <c r="A728" t="str">
        <f>T("   392390")</f>
        <v xml:space="preserve">   392390</v>
      </c>
      <c r="B728" t="str">
        <f>T("   AUTRES")</f>
        <v xml:space="preserve">   AUTRES</v>
      </c>
      <c r="C728" s="4">
        <v>31</v>
      </c>
      <c r="D728" s="4">
        <v>427813</v>
      </c>
    </row>
    <row r="729" spans="1:4" x14ac:dyDescent="0.25">
      <c r="A729" t="str">
        <f>T("   392410")</f>
        <v xml:space="preserve">   392410</v>
      </c>
      <c r="B729" t="str">
        <f>T("   VAISSELLE ET AUTRES ARTICLES POUR LE SERVICE DE LA TABLE OU DE LA CUISINE")</f>
        <v xml:space="preserve">   VAISSELLE ET AUTRES ARTICLES POUR LE SERVICE DE LA TABLE OU DE LA CUISINE</v>
      </c>
      <c r="C729" s="4">
        <v>3228</v>
      </c>
      <c r="D729" s="4">
        <v>1999365</v>
      </c>
    </row>
    <row r="730" spans="1:4" x14ac:dyDescent="0.25">
      <c r="A730" t="str">
        <f>T("   392490")</f>
        <v xml:space="preserve">   392490</v>
      </c>
      <c r="B730" t="str">
        <f>T("   AUTRES")</f>
        <v xml:space="preserve">   AUTRES</v>
      </c>
      <c r="C730" s="4">
        <v>4498</v>
      </c>
      <c r="D730" s="4">
        <v>8308301</v>
      </c>
    </row>
    <row r="731" spans="1:4" x14ac:dyDescent="0.25">
      <c r="A731" t="str">
        <f>T("   392590")</f>
        <v xml:space="preserve">   392590</v>
      </c>
      <c r="B731" t="str">
        <f>T("   AUTRES")</f>
        <v xml:space="preserve">   AUTRES</v>
      </c>
      <c r="C731" s="4">
        <v>3</v>
      </c>
      <c r="D731" s="4">
        <v>206876</v>
      </c>
    </row>
    <row r="732" spans="1:4" x14ac:dyDescent="0.25">
      <c r="A732" t="str">
        <f>T("   392640")</f>
        <v xml:space="preserve">   392640</v>
      </c>
      <c r="B732" t="str">
        <f>T("   STATUETTES ET AUTRES OBJETS D'ORNEMENTATION")</f>
        <v xml:space="preserve">   STATUETTES ET AUTRES OBJETS D'ORNEMENTATION</v>
      </c>
      <c r="C732" s="4">
        <v>5</v>
      </c>
      <c r="D732" s="4">
        <v>15743</v>
      </c>
    </row>
    <row r="733" spans="1:4" x14ac:dyDescent="0.25">
      <c r="A733" t="str">
        <f>T("   392690")</f>
        <v xml:space="preserve">   392690</v>
      </c>
      <c r="B733" t="str">
        <f>T("   AUTRES")</f>
        <v xml:space="preserve">   AUTRES</v>
      </c>
      <c r="C733" s="4">
        <v>15351</v>
      </c>
      <c r="D733" s="4">
        <v>19177640</v>
      </c>
    </row>
    <row r="734" spans="1:4" x14ac:dyDescent="0.25">
      <c r="A734" t="str">
        <f>T("   400400")</f>
        <v xml:space="preserve">   400400</v>
      </c>
      <c r="B734" t="str">
        <f>T("   DECHETS, DEBRIS ET ROGNURES DE CAOUTCHOUC NON DURCI, MEME REDUITS EN POUDRE OU EN GRANU")</f>
        <v xml:space="preserve">   DECHETS, DEBRIS ET ROGNURES DE CAOUTCHOUC NON DURCI, MEME REDUITS EN POUDRE OU EN GRANU</v>
      </c>
      <c r="C734" s="4">
        <v>294000</v>
      </c>
      <c r="D734" s="4">
        <v>64138464</v>
      </c>
    </row>
    <row r="735" spans="1:4" x14ac:dyDescent="0.25">
      <c r="A735" t="str">
        <f>T("   400911")</f>
        <v xml:space="preserve">   400911</v>
      </c>
      <c r="B735" t="str">
        <f>T("   SANS ACCESSOIRES")</f>
        <v xml:space="preserve">   SANS ACCESSOIRES</v>
      </c>
      <c r="C735" s="4">
        <v>547.30999999999995</v>
      </c>
      <c r="D735" s="4">
        <v>10006807</v>
      </c>
    </row>
    <row r="736" spans="1:4" x14ac:dyDescent="0.25">
      <c r="A736" t="str">
        <f>T("   400912")</f>
        <v xml:space="preserve">   400912</v>
      </c>
      <c r="B736" t="str">
        <f>T("   AVEC ACCESSOIRES")</f>
        <v xml:space="preserve">   AVEC ACCESSOIRES</v>
      </c>
      <c r="C736" s="4">
        <v>68</v>
      </c>
      <c r="D736" s="4">
        <v>1954543</v>
      </c>
    </row>
    <row r="737" spans="1:4" x14ac:dyDescent="0.25">
      <c r="A737" t="str">
        <f>T("   400922")</f>
        <v xml:space="preserve">   400922</v>
      </c>
      <c r="B737" t="str">
        <f>T("   AVEC ACCESSOIRES")</f>
        <v xml:space="preserve">   AVEC ACCESSOIRES</v>
      </c>
      <c r="C737" s="4">
        <v>39</v>
      </c>
      <c r="D737" s="4">
        <v>957118</v>
      </c>
    </row>
    <row r="738" spans="1:4" x14ac:dyDescent="0.25">
      <c r="A738" t="str">
        <f>T("   401011")</f>
        <v xml:space="preserve">   401011</v>
      </c>
      <c r="B738" t="str">
        <f>T("   RENFORCEES SEULEMENT DE METAL")</f>
        <v xml:space="preserve">   RENFORCEES SEULEMENT DE METAL</v>
      </c>
      <c r="C738" s="4">
        <v>47</v>
      </c>
      <c r="D738" s="4">
        <v>1037578</v>
      </c>
    </row>
    <row r="739" spans="1:4" x14ac:dyDescent="0.25">
      <c r="A739" t="str">
        <f>T("   401012")</f>
        <v xml:space="preserve">   401012</v>
      </c>
      <c r="B739" t="str">
        <f>T("   RENFORCEES SEULEMENT DE MATIERES TEXTILES")</f>
        <v xml:space="preserve">   RENFORCEES SEULEMENT DE MATIERES TEXTILES</v>
      </c>
      <c r="C739" s="4">
        <v>1075</v>
      </c>
      <c r="D739" s="4">
        <v>7094208</v>
      </c>
    </row>
    <row r="740" spans="1:4" x14ac:dyDescent="0.25">
      <c r="A740" t="str">
        <f>T("   401019")</f>
        <v xml:space="preserve">   401019</v>
      </c>
      <c r="B740" t="str">
        <f>T("   AUTRES")</f>
        <v xml:space="preserve">   AUTRES</v>
      </c>
      <c r="C740" s="4">
        <v>163.4</v>
      </c>
      <c r="D740" s="4">
        <v>4016205</v>
      </c>
    </row>
    <row r="741" spans="1:4" x14ac:dyDescent="0.25">
      <c r="A741" t="str">
        <f>T("   401031")</f>
        <v xml:space="preserve">   401031</v>
      </c>
      <c r="B741" t="str">
        <f>T("   COURROIES DE TRANSMISSION SANS FIN, DE SECTION TRAPEZOIDALE, STRIEES, D'UNE CIRCONFE")</f>
        <v xml:space="preserve">   COURROIES DE TRANSMISSION SANS FIN, DE SECTION TRAPEZOIDALE, STRIEES, D'UNE CIRCONFE</v>
      </c>
      <c r="C741" s="4">
        <v>6</v>
      </c>
      <c r="D741" s="4">
        <v>408067</v>
      </c>
    </row>
    <row r="742" spans="1:4" x14ac:dyDescent="0.25">
      <c r="A742" t="str">
        <f>T("   401039")</f>
        <v xml:space="preserve">   401039</v>
      </c>
      <c r="B742" t="str">
        <f>T("   AUTRES")</f>
        <v xml:space="preserve">   AUTRES</v>
      </c>
      <c r="C742" s="4">
        <v>76</v>
      </c>
      <c r="D742" s="4">
        <v>6107520</v>
      </c>
    </row>
    <row r="743" spans="1:4" x14ac:dyDescent="0.25">
      <c r="A743" t="str">
        <f>T("   401110")</f>
        <v xml:space="preserve">   401110</v>
      </c>
      <c r="B743" t="str">
        <f>T("   DES TYPES UTILISES POUR LES VOITURES DE TOURISME (Y COMPRIS LES VOITURES DU TYPE «BRE")</f>
        <v xml:space="preserve">   DES TYPES UTILISES POUR LES VOITURES DE TOURISME (Y COMPRIS LES VOITURES DU TYPE «BRE</v>
      </c>
      <c r="C743" s="4">
        <v>1828</v>
      </c>
      <c r="D743" s="4">
        <v>4521427</v>
      </c>
    </row>
    <row r="744" spans="1:4" x14ac:dyDescent="0.25">
      <c r="A744" t="str">
        <f>T("   401140")</f>
        <v xml:space="preserve">   401140</v>
      </c>
      <c r="B744" t="str">
        <f>T("   DES TYPES UTILISES POUR MOTOCYCLES")</f>
        <v xml:space="preserve">   DES TYPES UTILISES POUR MOTOCYCLES</v>
      </c>
      <c r="C744" s="4">
        <v>5000</v>
      </c>
      <c r="D744" s="4">
        <v>1311920</v>
      </c>
    </row>
    <row r="745" spans="1:4" x14ac:dyDescent="0.25">
      <c r="A745" t="str">
        <f>T("   401162")</f>
        <v xml:space="preserve">   401162</v>
      </c>
      <c r="B745" t="str">
        <f>T("   DES TYPES UTILISES POUR LES VEHICULES ET ENGINS DE GENIE CIVIL ET DE MANUTENTION IND")</f>
        <v xml:space="preserve">   DES TYPES UTILISES POUR LES VEHICULES ET ENGINS DE GENIE CIVIL ET DE MANUTENTION IND</v>
      </c>
      <c r="C745" s="4">
        <v>1700</v>
      </c>
      <c r="D745" s="4">
        <v>1281943</v>
      </c>
    </row>
    <row r="746" spans="1:4" x14ac:dyDescent="0.25">
      <c r="A746" t="str">
        <f>T("   401199")</f>
        <v xml:space="preserve">   401199</v>
      </c>
      <c r="B746" t="str">
        <f>T("   AUTRES")</f>
        <v xml:space="preserve">   AUTRES</v>
      </c>
      <c r="C746" s="4">
        <v>3500</v>
      </c>
      <c r="D746" s="4">
        <v>6924767</v>
      </c>
    </row>
    <row r="747" spans="1:4" x14ac:dyDescent="0.25">
      <c r="A747" t="str">
        <f>T("   401211")</f>
        <v xml:space="preserve">   401211</v>
      </c>
      <c r="B747" t="str">
        <f>T("   DES TYPES UTILISES POUR LES VOITURES DE TOURISME (Y COMPRIS LES VOITURES DU TYPE «BR")</f>
        <v xml:space="preserve">   DES TYPES UTILISES POUR LES VOITURES DE TOURISME (Y COMPRIS LES VOITURES DU TYPE «BR</v>
      </c>
      <c r="C747" s="4">
        <v>34552</v>
      </c>
      <c r="D747" s="4">
        <v>13107155</v>
      </c>
    </row>
    <row r="748" spans="1:4" x14ac:dyDescent="0.25">
      <c r="A748" t="str">
        <f>T("   401212")</f>
        <v xml:space="preserve">   401212</v>
      </c>
      <c r="B748" t="str">
        <f>T("   DES TYPES UTILISES POUR AUTOBUS OU CAMIONS")</f>
        <v xml:space="preserve">   DES TYPES UTILISES POUR AUTOBUS OU CAMIONS</v>
      </c>
      <c r="C748" s="4">
        <v>43494</v>
      </c>
      <c r="D748" s="4">
        <v>13274678</v>
      </c>
    </row>
    <row r="749" spans="1:4" x14ac:dyDescent="0.25">
      <c r="A749" t="str">
        <f>T("   401219")</f>
        <v xml:space="preserve">   401219</v>
      </c>
      <c r="B749" t="str">
        <f>T("   AUTRES")</f>
        <v xml:space="preserve">   AUTRES</v>
      </c>
      <c r="C749" s="4">
        <v>64272</v>
      </c>
      <c r="D749" s="4">
        <v>20320585</v>
      </c>
    </row>
    <row r="750" spans="1:4" x14ac:dyDescent="0.25">
      <c r="A750" t="str">
        <f>T("   401220")</f>
        <v xml:space="preserve">   401220</v>
      </c>
      <c r="B750" t="str">
        <f>T("   PNEUMATIQUES USAGES")</f>
        <v xml:space="preserve">   PNEUMATIQUES USAGES</v>
      </c>
      <c r="C750" s="4">
        <v>1940304</v>
      </c>
      <c r="D750" s="4">
        <v>703118399</v>
      </c>
    </row>
    <row r="751" spans="1:4" x14ac:dyDescent="0.25">
      <c r="A751" t="str">
        <f>T("   401310")</f>
        <v xml:space="preserve">   401310</v>
      </c>
      <c r="B751" t="str">
        <f>T("   DES TYPES UTILISES POUR LES VOITURES DE TOURISME (Y COMPRIS LES VOITURES DU TYPE «BRE")</f>
        <v xml:space="preserve">   DES TYPES UTILISES POUR LES VOITURES DE TOURISME (Y COMPRIS LES VOITURES DU TYPE «BRE</v>
      </c>
      <c r="C751" s="4">
        <v>208606</v>
      </c>
      <c r="D751" s="4">
        <v>19045391</v>
      </c>
    </row>
    <row r="752" spans="1:4" x14ac:dyDescent="0.25">
      <c r="A752" t="str">
        <f>T("   401390")</f>
        <v xml:space="preserve">   401390</v>
      </c>
      <c r="B752" t="str">
        <f>T("   AUTRES")</f>
        <v xml:space="preserve">   AUTRES</v>
      </c>
      <c r="C752" s="4">
        <v>228582</v>
      </c>
      <c r="D752" s="4">
        <v>24433432</v>
      </c>
    </row>
    <row r="753" spans="1:4" x14ac:dyDescent="0.25">
      <c r="A753" t="str">
        <f>T("   401410")</f>
        <v xml:space="preserve">   401410</v>
      </c>
      <c r="B753" t="str">
        <f>T("   PRESERVATIFS")</f>
        <v xml:space="preserve">   PRESERVATIFS</v>
      </c>
      <c r="C753" s="4">
        <v>7</v>
      </c>
      <c r="D753" s="4">
        <v>14431</v>
      </c>
    </row>
    <row r="754" spans="1:4" x14ac:dyDescent="0.25">
      <c r="A754" t="str">
        <f>T("   401511")</f>
        <v xml:space="preserve">   401511</v>
      </c>
      <c r="B754" t="str">
        <f>T("   POUR CHIRURGIE")</f>
        <v xml:space="preserve">   POUR CHIRURGIE</v>
      </c>
      <c r="C754" s="4">
        <v>22</v>
      </c>
      <c r="D754" s="4">
        <v>81208</v>
      </c>
    </row>
    <row r="755" spans="1:4" x14ac:dyDescent="0.25">
      <c r="A755" t="str">
        <f>T("   401519")</f>
        <v xml:space="preserve">   401519</v>
      </c>
      <c r="B755" t="str">
        <f>T("   AUTRES")</f>
        <v xml:space="preserve">   AUTRES</v>
      </c>
      <c r="C755" s="4">
        <v>5</v>
      </c>
      <c r="D755" s="4">
        <v>444971</v>
      </c>
    </row>
    <row r="756" spans="1:4" x14ac:dyDescent="0.25">
      <c r="A756" t="str">
        <f>T("   401590")</f>
        <v xml:space="preserve">   401590</v>
      </c>
      <c r="B756" t="str">
        <f>T("   AUTRES")</f>
        <v xml:space="preserve">   AUTRES</v>
      </c>
      <c r="C756" s="4">
        <v>7</v>
      </c>
      <c r="D756" s="4">
        <v>14431</v>
      </c>
    </row>
    <row r="757" spans="1:4" x14ac:dyDescent="0.25">
      <c r="A757" t="str">
        <f>T("   401693")</f>
        <v xml:space="preserve">   401693</v>
      </c>
      <c r="B757" t="str">
        <f>T("   JOINTS")</f>
        <v xml:space="preserve">   JOINTS</v>
      </c>
      <c r="C757" s="4">
        <v>72.2</v>
      </c>
      <c r="D757" s="4">
        <v>11497622</v>
      </c>
    </row>
    <row r="758" spans="1:4" x14ac:dyDescent="0.25">
      <c r="A758" t="str">
        <f>T("   401699")</f>
        <v xml:space="preserve">   401699</v>
      </c>
      <c r="B758" t="str">
        <f>T("   AUTRES")</f>
        <v xml:space="preserve">   AUTRES</v>
      </c>
      <c r="C758" s="4">
        <v>89</v>
      </c>
      <c r="D758" s="4">
        <v>2332621</v>
      </c>
    </row>
    <row r="759" spans="1:4" x14ac:dyDescent="0.25">
      <c r="A759" t="str">
        <f>T("   411510")</f>
        <v xml:space="preserve">   411510</v>
      </c>
      <c r="B759" t="str">
        <f>T("   CUIR RECONSTITUE, A BASE DE CUIR OU DE FIBRES DE CUIR, EN PLAQUES, FEUILLES OU BANDES")</f>
        <v xml:space="preserve">   CUIR RECONSTITUE, A BASE DE CUIR OU DE FIBRES DE CUIR, EN PLAQUES, FEUILLES OU BANDES</v>
      </c>
      <c r="C759" s="4">
        <v>1</v>
      </c>
      <c r="D759" s="4">
        <v>306170</v>
      </c>
    </row>
    <row r="760" spans="1:4" x14ac:dyDescent="0.25">
      <c r="A760" t="str">
        <f>T("   420219")</f>
        <v xml:space="preserve">   420219</v>
      </c>
      <c r="B760" t="str">
        <f>T("   AUTRES")</f>
        <v xml:space="preserve">   AUTRES</v>
      </c>
      <c r="C760" s="4">
        <v>16000</v>
      </c>
      <c r="D760" s="4">
        <v>211450</v>
      </c>
    </row>
    <row r="761" spans="1:4" x14ac:dyDescent="0.25">
      <c r="A761" t="str">
        <f>T("   420229")</f>
        <v xml:space="preserve">   420229</v>
      </c>
      <c r="B761" t="str">
        <f>T("   AUTRES")</f>
        <v xml:space="preserve">   AUTRES</v>
      </c>
      <c r="C761" s="4">
        <v>356</v>
      </c>
      <c r="D761" s="4">
        <v>261077</v>
      </c>
    </row>
    <row r="762" spans="1:4" x14ac:dyDescent="0.25">
      <c r="A762" t="str">
        <f>T("   441810")</f>
        <v xml:space="preserve">   441810</v>
      </c>
      <c r="B762" t="str">
        <f>T("   FENETRES, PORTESFENETRES ET LEURS CADRES ET CHAMBRANLES")</f>
        <v xml:space="preserve">   FENETRES, PORTESFENETRES ET LEURS CADRES ET CHAMBRANLES</v>
      </c>
      <c r="C762" s="4">
        <v>7236</v>
      </c>
      <c r="D762" s="4">
        <v>890005</v>
      </c>
    </row>
    <row r="763" spans="1:4" x14ac:dyDescent="0.25">
      <c r="A763" t="str">
        <f>T("   441820")</f>
        <v xml:space="preserve">   441820</v>
      </c>
      <c r="B763" t="str">
        <f>T("   PORTES ET LEURS CADRES, CHAMBRANLES ET SEUILS")</f>
        <v xml:space="preserve">   PORTES ET LEURS CADRES, CHAMBRANLES ET SEUILS</v>
      </c>
      <c r="C763" s="4">
        <v>3500</v>
      </c>
      <c r="D763" s="4">
        <v>1747679</v>
      </c>
    </row>
    <row r="764" spans="1:4" x14ac:dyDescent="0.25">
      <c r="A764" t="str">
        <f>T("   442190")</f>
        <v xml:space="preserve">   442190</v>
      </c>
      <c r="B764" t="str">
        <f>T("   AUTRES")</f>
        <v xml:space="preserve">   AUTRES</v>
      </c>
      <c r="C764" s="4">
        <v>486</v>
      </c>
      <c r="D764" s="4">
        <v>382425</v>
      </c>
    </row>
    <row r="765" spans="1:4" x14ac:dyDescent="0.25">
      <c r="A765" t="str">
        <f>T("   480257")</f>
        <v xml:space="preserve">   480257</v>
      </c>
      <c r="B765" t="str">
        <f>T("   AUTRES, D'UN POIDS AU M² DE 40 G OU PLUS MAIS N'EXCEDANT PAS 150 G")</f>
        <v xml:space="preserve">   AUTRES, D'UN POIDS AU M² DE 40 G OU PLUS MAIS N'EXCEDANT PAS 150 G</v>
      </c>
      <c r="C765" s="4">
        <v>103878</v>
      </c>
      <c r="D765" s="4">
        <v>46162307</v>
      </c>
    </row>
    <row r="766" spans="1:4" x14ac:dyDescent="0.25">
      <c r="A766" t="str">
        <f>T("   480261")</f>
        <v xml:space="preserve">   480261</v>
      </c>
      <c r="B766" t="str">
        <f>T("   EN ROULEAUX")</f>
        <v xml:space="preserve">   EN ROULEAUX</v>
      </c>
      <c r="C766" s="4">
        <v>72732</v>
      </c>
      <c r="D766" s="4">
        <v>27909786</v>
      </c>
    </row>
    <row r="767" spans="1:4" x14ac:dyDescent="0.25">
      <c r="A767" t="str">
        <f>T("   480269")</f>
        <v xml:space="preserve">   480269</v>
      </c>
      <c r="B767" t="str">
        <f>T("   AUTRES")</f>
        <v xml:space="preserve">   AUTRES</v>
      </c>
      <c r="C767" s="4">
        <v>4583</v>
      </c>
      <c r="D767" s="4">
        <v>3732412</v>
      </c>
    </row>
    <row r="768" spans="1:4" x14ac:dyDescent="0.25">
      <c r="A768" t="str">
        <f>T("   480439")</f>
        <v xml:space="preserve">   480439</v>
      </c>
      <c r="B768" t="str">
        <f>T("   AUTRES")</f>
        <v xml:space="preserve">   AUTRES</v>
      </c>
      <c r="C768" s="4">
        <v>10</v>
      </c>
      <c r="D768" s="4">
        <v>201649</v>
      </c>
    </row>
    <row r="769" spans="1:4" x14ac:dyDescent="0.25">
      <c r="A769" t="str">
        <f>T("   480540")</f>
        <v xml:space="preserve">   480540</v>
      </c>
      <c r="B769" t="str">
        <f>T("   PAPIER ET CARTON FILTRE")</f>
        <v xml:space="preserve">   PAPIER ET CARTON FILTRE</v>
      </c>
      <c r="C769" s="4">
        <v>9042</v>
      </c>
      <c r="D769" s="4">
        <v>2356864</v>
      </c>
    </row>
    <row r="770" spans="1:4" x14ac:dyDescent="0.25">
      <c r="A770" t="str">
        <f>T("   480700")</f>
        <v xml:space="preserve">   480700</v>
      </c>
      <c r="B770" t="str">
        <f>T("   PAPIERS ET CARTONS ASSEMBLES A PLAT PAR COLLAGE, NON COUCHES NI ENDUITS A LA SURFACE NI")</f>
        <v xml:space="preserve">   PAPIERS ET CARTONS ASSEMBLES A PLAT PAR COLLAGE, NON COUCHES NI ENDUITS A LA SURFACE NI</v>
      </c>
      <c r="C770" s="4">
        <v>3</v>
      </c>
      <c r="D770" s="4">
        <v>22959</v>
      </c>
    </row>
    <row r="771" spans="1:4" x14ac:dyDescent="0.25">
      <c r="A771" t="str">
        <f>T("   481141")</f>
        <v xml:space="preserve">   481141</v>
      </c>
      <c r="B771" t="str">
        <f>T("   AUTOADHESIFS")</f>
        <v xml:space="preserve">   AUTOADHESIFS</v>
      </c>
      <c r="C771" s="4">
        <v>1</v>
      </c>
      <c r="D771" s="4">
        <v>20564</v>
      </c>
    </row>
    <row r="772" spans="1:4" x14ac:dyDescent="0.25">
      <c r="A772" t="str">
        <f>T("   481200")</f>
        <v xml:space="preserve">   481200</v>
      </c>
      <c r="B772" t="str">
        <f>T("   BLOCS FILTRANTS ET PLAQUES FILTRANTES, EN PATE A PAPIER.")</f>
        <v xml:space="preserve">   BLOCS FILTRANTS ET PLAQUES FILTRANTES, EN PATE A PAPIER.</v>
      </c>
      <c r="C772" s="4">
        <v>45</v>
      </c>
      <c r="D772" s="4">
        <v>809048</v>
      </c>
    </row>
    <row r="773" spans="1:4" x14ac:dyDescent="0.25">
      <c r="A773" t="str">
        <f>T("   481620")</f>
        <v xml:space="preserve">   481620</v>
      </c>
      <c r="B773" t="str">
        <f>T("   PAPIERS DITS «AUTOCOPIANTS»")</f>
        <v xml:space="preserve">   PAPIERS DITS «AUTOCOPIANTS»</v>
      </c>
      <c r="C773" s="4">
        <v>13229</v>
      </c>
      <c r="D773" s="4">
        <v>10745282</v>
      </c>
    </row>
    <row r="774" spans="1:4" x14ac:dyDescent="0.25">
      <c r="A774" t="str">
        <f>T("   481810")</f>
        <v xml:space="preserve">   481810</v>
      </c>
      <c r="B774" t="str">
        <f>T("   Papier hygienique")</f>
        <v xml:space="preserve">   Papier hygienique</v>
      </c>
      <c r="C774" s="4">
        <v>2122</v>
      </c>
      <c r="D774" s="4">
        <v>1178105</v>
      </c>
    </row>
    <row r="775" spans="1:4" x14ac:dyDescent="0.25">
      <c r="A775" t="str">
        <f>T("   481890")</f>
        <v xml:space="preserve">   481890</v>
      </c>
      <c r="B775" t="str">
        <f>T("   AUTRES")</f>
        <v xml:space="preserve">   AUTRES</v>
      </c>
      <c r="C775" s="4">
        <v>22142</v>
      </c>
      <c r="D775" s="4">
        <v>4682461</v>
      </c>
    </row>
    <row r="776" spans="1:4" x14ac:dyDescent="0.25">
      <c r="A776" t="str">
        <f>T("   481910")</f>
        <v xml:space="preserve">   481910</v>
      </c>
      <c r="B776" t="str">
        <f>T("   BOITES ET CAISSES EN PAPIER OU CARTON ONDULE")</f>
        <v xml:space="preserve">   BOITES ET CAISSES EN PAPIER OU CARTON ONDULE</v>
      </c>
      <c r="C776" s="4">
        <v>7331</v>
      </c>
      <c r="D776" s="4">
        <v>3854421</v>
      </c>
    </row>
    <row r="777" spans="1:4" x14ac:dyDescent="0.25">
      <c r="A777" t="str">
        <f>T("   481920")</f>
        <v xml:space="preserve">   481920</v>
      </c>
      <c r="B777" t="str">
        <f>T("   BOITES ET CARTONNAGES, PLIANTS, EN PAPIER OU CARTON NON ONDULE")</f>
        <v xml:space="preserve">   BOITES ET CARTONNAGES, PLIANTS, EN PAPIER OU CARTON NON ONDULE</v>
      </c>
      <c r="C777" s="4">
        <v>13</v>
      </c>
      <c r="D777" s="4">
        <v>301086</v>
      </c>
    </row>
    <row r="778" spans="1:4" x14ac:dyDescent="0.25">
      <c r="A778" t="str">
        <f>T("   481940")</f>
        <v xml:space="preserve">   481940</v>
      </c>
      <c r="B778" t="str">
        <f>T("   AUTRES SACS; SACHETS, POCHETTES (AUTRES QUE CELLES POUR DISQUES) ET CORNETS")</f>
        <v xml:space="preserve">   AUTRES SACS; SACHETS, POCHETTES (AUTRES QUE CELLES POUR DISQUES) ET CORNETS</v>
      </c>
      <c r="C778" s="4">
        <v>4934</v>
      </c>
      <c r="D778" s="4">
        <v>10810831</v>
      </c>
    </row>
    <row r="779" spans="1:4" x14ac:dyDescent="0.25">
      <c r="A779" t="str">
        <f>T("   481960")</f>
        <v xml:space="preserve">   481960</v>
      </c>
      <c r="B779" t="str">
        <f>T("   CARTONNAGES DE BUREAU, DE MAGASIN OU SIMILAIRES")</f>
        <v xml:space="preserve">   CARTONNAGES DE BUREAU, DE MAGASIN OU SIMILAIRES</v>
      </c>
      <c r="C779" s="4">
        <v>127</v>
      </c>
      <c r="D779" s="4">
        <v>537887</v>
      </c>
    </row>
    <row r="780" spans="1:4" x14ac:dyDescent="0.25">
      <c r="A780" t="str">
        <f>T("   482010")</f>
        <v xml:space="preserve">   482010</v>
      </c>
      <c r="B780" t="str">
        <f>T("   REGISTRES, LIVRES COMPTABLES, CARNETS (DE NOTES, DE COMMANDES, DE QUITTANCES), BLOCS")</f>
        <v xml:space="preserve">   REGISTRES, LIVRES COMPTABLES, CARNETS (DE NOTES, DE COMMANDES, DE QUITTANCES), BLOCS</v>
      </c>
      <c r="C780" s="4">
        <v>1110</v>
      </c>
      <c r="D780" s="4">
        <v>1710766</v>
      </c>
    </row>
    <row r="781" spans="1:4" x14ac:dyDescent="0.25">
      <c r="A781" t="str">
        <f>T("   482110")</f>
        <v xml:space="preserve">   482110</v>
      </c>
      <c r="B781" t="str">
        <f>T("   IMPRIMEES")</f>
        <v xml:space="preserve">   IMPRIMEES</v>
      </c>
      <c r="C781" s="4">
        <v>2930</v>
      </c>
      <c r="D781" s="4">
        <v>9474640</v>
      </c>
    </row>
    <row r="782" spans="1:4" x14ac:dyDescent="0.25">
      <c r="A782" t="str">
        <f>T("   482190")</f>
        <v xml:space="preserve">   482190</v>
      </c>
      <c r="B782" t="str">
        <f>T("   AUTRES")</f>
        <v xml:space="preserve">   AUTRES</v>
      </c>
      <c r="C782" s="4">
        <v>1968</v>
      </c>
      <c r="D782" s="4">
        <v>6894468</v>
      </c>
    </row>
    <row r="783" spans="1:4" x14ac:dyDescent="0.25">
      <c r="A783" t="str">
        <f>T("   490110")</f>
        <v xml:space="preserve">   490110</v>
      </c>
      <c r="B783" t="str">
        <f>T("   EN FEUILLETS ISOLES, MEME PLIES")</f>
        <v xml:space="preserve">   EN FEUILLETS ISOLES, MEME PLIES</v>
      </c>
      <c r="C783" s="4">
        <v>1471</v>
      </c>
      <c r="D783" s="4">
        <v>272510</v>
      </c>
    </row>
    <row r="784" spans="1:4" x14ac:dyDescent="0.25">
      <c r="A784" t="str">
        <f>T("   490191")</f>
        <v xml:space="preserve">   490191</v>
      </c>
      <c r="B784" t="str">
        <f>T("   DICTIONNAIRES ET ENCYCLOPEDIES, MEME EN FASCICULES")</f>
        <v xml:space="preserve">   DICTIONNAIRES ET ENCYCLOPEDIES, MEME EN FASCICULES</v>
      </c>
      <c r="C784" s="4">
        <v>49</v>
      </c>
      <c r="D784" s="4">
        <v>603483</v>
      </c>
    </row>
    <row r="785" spans="1:4" x14ac:dyDescent="0.25">
      <c r="A785" t="str">
        <f>T("   490199")</f>
        <v xml:space="preserve">   490199</v>
      </c>
      <c r="B785" t="str">
        <f>T("   AUTRES")</f>
        <v xml:space="preserve">   AUTRES</v>
      </c>
      <c r="C785" s="4">
        <v>10121</v>
      </c>
      <c r="D785" s="4">
        <v>5640757</v>
      </c>
    </row>
    <row r="786" spans="1:4" x14ac:dyDescent="0.25">
      <c r="A786" t="str">
        <f>T("   490290")</f>
        <v xml:space="preserve">   490290</v>
      </c>
      <c r="B786" t="str">
        <f>T("   AUTRES")</f>
        <v xml:space="preserve">   AUTRES</v>
      </c>
      <c r="C786" s="4">
        <v>2502</v>
      </c>
      <c r="D786" s="4">
        <v>823080</v>
      </c>
    </row>
    <row r="787" spans="1:4" x14ac:dyDescent="0.25">
      <c r="A787" t="str">
        <f>T("   490599")</f>
        <v xml:space="preserve">   490599</v>
      </c>
      <c r="B787" t="str">
        <f>T("   AUTRES")</f>
        <v xml:space="preserve">   AUTRES</v>
      </c>
      <c r="C787" s="4">
        <v>30</v>
      </c>
      <c r="D787" s="4">
        <v>5740</v>
      </c>
    </row>
    <row r="788" spans="1:4" x14ac:dyDescent="0.25">
      <c r="A788" t="str">
        <f>T("   491000")</f>
        <v xml:space="preserve">   491000</v>
      </c>
      <c r="B788" t="str">
        <f>T("   CALENDRIERS DE TOUS GENRES, IMPRIMES, Y COMPRIS LES BLOCS DE CALENDRIERS A EFFEUILLER.")</f>
        <v xml:space="preserve">   CALENDRIERS DE TOUS GENRES, IMPRIMES, Y COMPRIS LES BLOCS DE CALENDRIERS A EFFEUILLER.</v>
      </c>
      <c r="C788" s="4">
        <v>522</v>
      </c>
      <c r="D788" s="4">
        <v>4342148</v>
      </c>
    </row>
    <row r="789" spans="1:4" x14ac:dyDescent="0.25">
      <c r="A789" t="str">
        <f>T("   491110")</f>
        <v xml:space="preserve">   491110</v>
      </c>
      <c r="B789" t="str">
        <f>T("   IMPRIMES PUBLICITAIRES, CATALOGUES COMMERCIAUX ET SIMILAIRES")</f>
        <v xml:space="preserve">   IMPRIMES PUBLICITAIRES, CATALOGUES COMMERCIAUX ET SIMILAIRES</v>
      </c>
      <c r="C789" s="4">
        <v>5865</v>
      </c>
      <c r="D789" s="4">
        <v>26304030</v>
      </c>
    </row>
    <row r="790" spans="1:4" x14ac:dyDescent="0.25">
      <c r="A790" t="str">
        <f>T("   491191")</f>
        <v xml:space="preserve">   491191</v>
      </c>
      <c r="B790" t="str">
        <f>T("   IMAGES, GRAVURES ET PHOTOGRAPHIES")</f>
        <v xml:space="preserve">   IMAGES, GRAVURES ET PHOTOGRAPHIES</v>
      </c>
      <c r="C790" s="4">
        <v>3</v>
      </c>
      <c r="D790" s="4">
        <v>101018</v>
      </c>
    </row>
    <row r="791" spans="1:4" x14ac:dyDescent="0.25">
      <c r="A791" t="str">
        <f>T("   491199")</f>
        <v xml:space="preserve">   491199</v>
      </c>
      <c r="B791" t="str">
        <f>T("   AUTRES")</f>
        <v xml:space="preserve">   AUTRES</v>
      </c>
      <c r="C791" s="4">
        <v>2713</v>
      </c>
      <c r="D791" s="4">
        <v>8211563</v>
      </c>
    </row>
    <row r="792" spans="1:4" x14ac:dyDescent="0.25">
      <c r="A792" t="str">
        <f>T("   520829")</f>
        <v xml:space="preserve">   520829</v>
      </c>
      <c r="B792" t="str">
        <f>T("   AUTRES TISSUS")</f>
        <v xml:space="preserve">   AUTRES TISSUS</v>
      </c>
      <c r="C792" s="4">
        <v>5502</v>
      </c>
      <c r="D792" s="4">
        <v>17000516</v>
      </c>
    </row>
    <row r="793" spans="1:4" x14ac:dyDescent="0.25">
      <c r="A793" t="str">
        <f>T("   520851")</f>
        <v xml:space="preserve">   520851</v>
      </c>
      <c r="B793" t="str">
        <f>T("   A ARMURE TOILE, D'UN POIDS N'EXCEDANT PAS 100 G/M²")</f>
        <v xml:space="preserve">   A ARMURE TOILE, D'UN POIDS N'EXCEDANT PAS 100 G/M²</v>
      </c>
      <c r="C793" s="4">
        <v>20498</v>
      </c>
      <c r="D793" s="4">
        <v>11980993</v>
      </c>
    </row>
    <row r="794" spans="1:4" x14ac:dyDescent="0.25">
      <c r="A794" t="str">
        <f>T("   520852")</f>
        <v xml:space="preserve">   520852</v>
      </c>
      <c r="B794" t="str">
        <f>T("   A ARMURE TOILE, D'UN POIDS EXCEDANT 100 G/M²")</f>
        <v xml:space="preserve">   A ARMURE TOILE, D'UN POIDS EXCEDANT 100 G/M²</v>
      </c>
      <c r="C794" s="4">
        <v>705146</v>
      </c>
      <c r="D794" s="4">
        <v>4983909166</v>
      </c>
    </row>
    <row r="795" spans="1:4" x14ac:dyDescent="0.25">
      <c r="A795" t="str">
        <f>T("   520859")</f>
        <v xml:space="preserve">   520859</v>
      </c>
      <c r="B795" t="str">
        <f>T("   AUTRES TISSUS")</f>
        <v xml:space="preserve">   AUTRES TISSUS</v>
      </c>
      <c r="C795" s="4">
        <v>2422</v>
      </c>
      <c r="D795" s="4">
        <v>7160459</v>
      </c>
    </row>
    <row r="796" spans="1:4" x14ac:dyDescent="0.25">
      <c r="A796" t="str">
        <f>T("   540720")</f>
        <v xml:space="preserve">   540720</v>
      </c>
      <c r="B796" t="str">
        <f>T("   TISSUS OBTENUS A PARTIR DE LAMES OU FORMES SIMILAIRES")</f>
        <v xml:space="preserve">   TISSUS OBTENUS A PARTIR DE LAMES OU FORMES SIMILAIRES</v>
      </c>
      <c r="C796" s="4">
        <v>51</v>
      </c>
      <c r="D796" s="4">
        <v>140000</v>
      </c>
    </row>
    <row r="797" spans="1:4" x14ac:dyDescent="0.25">
      <c r="A797" t="str">
        <f>T("   560110")</f>
        <v xml:space="preserve">   560110</v>
      </c>
      <c r="B797" t="str">
        <f>T("   SERVIETTES,TAMPONS HYGIENIQUES,COUCHES BEBES,ARTICLES D'HYGIENE EN OUATES")</f>
        <v xml:space="preserve">   SERVIETTES,TAMPONS HYGIENIQUES,COUCHES BEBES,ARTICLES D'HYGIENE EN OUATES</v>
      </c>
      <c r="C797" s="4">
        <v>544</v>
      </c>
      <c r="D797" s="4">
        <v>327980</v>
      </c>
    </row>
    <row r="798" spans="1:4" x14ac:dyDescent="0.25">
      <c r="A798" t="str">
        <f>T("   560394")</f>
        <v xml:space="preserve">   560394</v>
      </c>
      <c r="B798" t="str">
        <f>T("   D'UN POIDS SUPERIEUR A 150 G/M²")</f>
        <v xml:space="preserve">   D'UN POIDS SUPERIEUR A 150 G/M²</v>
      </c>
      <c r="C798" s="4">
        <v>305</v>
      </c>
      <c r="D798" s="4">
        <v>1973659</v>
      </c>
    </row>
    <row r="799" spans="1:4" x14ac:dyDescent="0.25">
      <c r="A799" t="str">
        <f>T("   570330")</f>
        <v xml:space="preserve">   570330</v>
      </c>
      <c r="B799" t="str">
        <f>T("   D'AUTRES MATIERES TEXTILES SYNTHETIQUES OU DE MATIERES TEXTILES ARTIFICIELLES")</f>
        <v xml:space="preserve">   D'AUTRES MATIERES TEXTILES SYNTHETIQUES OU DE MATIERES TEXTILES ARTIFICIELLES</v>
      </c>
      <c r="C799" s="4">
        <v>45896</v>
      </c>
      <c r="D799" s="4">
        <v>133797602</v>
      </c>
    </row>
    <row r="800" spans="1:4" x14ac:dyDescent="0.25">
      <c r="A800" t="str">
        <f>T("   570390")</f>
        <v xml:space="preserve">   570390</v>
      </c>
      <c r="B800" t="str">
        <f>T("   D'AUTRES MATIERES TEXTILES")</f>
        <v xml:space="preserve">   D'AUTRES MATIERES TEXTILES</v>
      </c>
      <c r="C800" s="4">
        <v>2703</v>
      </c>
      <c r="D800" s="4">
        <v>2356864</v>
      </c>
    </row>
    <row r="801" spans="1:4" x14ac:dyDescent="0.25">
      <c r="A801" t="str">
        <f>T("   570500")</f>
        <v xml:space="preserve">   570500</v>
      </c>
      <c r="B801" t="str">
        <f>T("   AUTRES TAPIS ET REVETEMENTS DE SOL EN MATIERES TEXTILES, MEME CONFECTIONNES.")</f>
        <v xml:space="preserve">   AUTRES TAPIS ET REVETEMENTS DE SOL EN MATIERES TEXTILES, MEME CONFECTIONNES.</v>
      </c>
      <c r="C801" s="4">
        <v>148103</v>
      </c>
      <c r="D801" s="4">
        <v>40553863</v>
      </c>
    </row>
    <row r="802" spans="1:4" x14ac:dyDescent="0.25">
      <c r="A802" t="str">
        <f>T("   580640")</f>
        <v xml:space="preserve">   580640</v>
      </c>
      <c r="B802" t="str">
        <f>T("   RUBANS SANS TRAME, EN FILS OU FIBRES PARALLELISES ET ENCOLLES (BOLDUCS)")</f>
        <v xml:space="preserve">   RUBANS SANS TRAME, EN FILS OU FIBRES PARALLELISES ET ENCOLLES (BOLDUCS)</v>
      </c>
      <c r="C802" s="4">
        <v>14</v>
      </c>
      <c r="D802" s="4">
        <v>2486089</v>
      </c>
    </row>
    <row r="803" spans="1:4" x14ac:dyDescent="0.25">
      <c r="A803" t="str">
        <f>T("   591132")</f>
        <v xml:space="preserve">   591132</v>
      </c>
      <c r="B803" t="str">
        <f>T("   D'UN POIDS AU M² EGAL OU SUPERIEUR A 650 G")</f>
        <v xml:space="preserve">   D'UN POIDS AU M² EGAL OU SUPERIEUR A 650 G</v>
      </c>
      <c r="C803" s="4">
        <v>163</v>
      </c>
      <c r="D803" s="4">
        <v>1926581</v>
      </c>
    </row>
    <row r="804" spans="1:4" x14ac:dyDescent="0.25">
      <c r="A804" t="str">
        <f>T("   610520")</f>
        <v xml:space="preserve">   610520</v>
      </c>
      <c r="B804" t="str">
        <f>T("   DE FIBRES SYNTHETIQUES OU ARTIFICIELLES")</f>
        <v xml:space="preserve">   DE FIBRES SYNTHETIQUES OU ARTIFICIELLES</v>
      </c>
      <c r="C804" s="4">
        <v>200</v>
      </c>
      <c r="D804" s="4">
        <v>50000</v>
      </c>
    </row>
    <row r="805" spans="1:4" x14ac:dyDescent="0.25">
      <c r="A805" t="str">
        <f>T("   610590")</f>
        <v xml:space="preserve">   610590</v>
      </c>
      <c r="B805" t="str">
        <f>T("   D'AUTRES MATIERES TEXTILES")</f>
        <v xml:space="preserve">   D'AUTRES MATIERES TEXTILES</v>
      </c>
      <c r="C805" s="4">
        <v>320</v>
      </c>
      <c r="D805" s="4">
        <v>61004</v>
      </c>
    </row>
    <row r="806" spans="1:4" x14ac:dyDescent="0.25">
      <c r="A806" t="str">
        <f>T("   610910")</f>
        <v xml:space="preserve">   610910</v>
      </c>
      <c r="B806" t="str">
        <f>T("   DE COTON")</f>
        <v xml:space="preserve">   DE COTON</v>
      </c>
      <c r="C806" s="4">
        <v>1798</v>
      </c>
      <c r="D806" s="4">
        <v>2581714</v>
      </c>
    </row>
    <row r="807" spans="1:4" x14ac:dyDescent="0.25">
      <c r="A807" t="str">
        <f>T("   610990")</f>
        <v xml:space="preserve">   610990</v>
      </c>
      <c r="B807" t="str">
        <f>T("   D'AUTRES MATIERES TEXTILES")</f>
        <v xml:space="preserve">   D'AUTRES MATIERES TEXTILES</v>
      </c>
      <c r="C807" s="4">
        <v>5021</v>
      </c>
      <c r="D807" s="4">
        <v>2362309</v>
      </c>
    </row>
    <row r="808" spans="1:4" x14ac:dyDescent="0.25">
      <c r="A808" t="str">
        <f>T("   611020")</f>
        <v xml:space="preserve">   611020</v>
      </c>
      <c r="B808" t="str">
        <f>T("   DE COTON")</f>
        <v xml:space="preserve">   DE COTON</v>
      </c>
      <c r="C808" s="4">
        <v>960</v>
      </c>
      <c r="D808" s="4">
        <v>2062634</v>
      </c>
    </row>
    <row r="809" spans="1:4" x14ac:dyDescent="0.25">
      <c r="A809" t="str">
        <f>T("   611710")</f>
        <v xml:space="preserve">   611710</v>
      </c>
      <c r="B809" t="str">
        <f>T("   CHALES, ECHARPES, FOULARDS, CACHENEZ, CACHECOL, MANTILLES, VOILES, VOILETTES ET ART")</f>
        <v xml:space="preserve">   CHALES, ECHARPES, FOULARDS, CACHENEZ, CACHECOL, MANTILLES, VOILES, VOILETTES ET ART</v>
      </c>
      <c r="C809" s="4">
        <v>213</v>
      </c>
      <c r="D809" s="4">
        <v>150000</v>
      </c>
    </row>
    <row r="810" spans="1:4" x14ac:dyDescent="0.25">
      <c r="A810" t="str">
        <f>T("   620319")</f>
        <v xml:space="preserve">   620319</v>
      </c>
      <c r="B810" t="str">
        <f>T("   D'AUTRES MATIERES TEXTILES")</f>
        <v xml:space="preserve">   D'AUTRES MATIERES TEXTILES</v>
      </c>
      <c r="C810" s="4">
        <v>3</v>
      </c>
      <c r="D810" s="4">
        <v>371280</v>
      </c>
    </row>
    <row r="811" spans="1:4" x14ac:dyDescent="0.25">
      <c r="A811" t="str">
        <f>T("   620349")</f>
        <v xml:space="preserve">   620349</v>
      </c>
      <c r="B811" t="str">
        <f>T("   D'AUTRES MATIERES TEXTILES")</f>
        <v xml:space="preserve">   D'AUTRES MATIERES TEXTILES</v>
      </c>
      <c r="C811" s="4">
        <v>442</v>
      </c>
      <c r="D811" s="4">
        <v>713773</v>
      </c>
    </row>
    <row r="812" spans="1:4" x14ac:dyDescent="0.25">
      <c r="A812" t="str">
        <f>T("   620412")</f>
        <v xml:space="preserve">   620412</v>
      </c>
      <c r="B812" t="str">
        <f>T("   DE COTON")</f>
        <v xml:space="preserve">   DE COTON</v>
      </c>
      <c r="C812" s="4">
        <v>195</v>
      </c>
      <c r="D812" s="4">
        <v>9000</v>
      </c>
    </row>
    <row r="813" spans="1:4" x14ac:dyDescent="0.25">
      <c r="A813" t="str">
        <f>T("   620429")</f>
        <v xml:space="preserve">   620429</v>
      </c>
      <c r="B813" t="str">
        <f>T("   D'AUTRES MATIERES TEXTILES")</f>
        <v xml:space="preserve">   D'AUTRES MATIERES TEXTILES</v>
      </c>
      <c r="C813" s="4">
        <v>641</v>
      </c>
      <c r="D813" s="4">
        <v>1000000</v>
      </c>
    </row>
    <row r="814" spans="1:4" x14ac:dyDescent="0.25">
      <c r="A814" t="str">
        <f>T("   620590")</f>
        <v xml:space="preserve">   620590</v>
      </c>
      <c r="B814" t="str">
        <f>T("   D'AUTRES MATIERES TEXTILES")</f>
        <v xml:space="preserve">   D'AUTRES MATIERES TEXTILES</v>
      </c>
      <c r="C814" s="4">
        <v>14401</v>
      </c>
      <c r="D814" s="4">
        <v>11186066</v>
      </c>
    </row>
    <row r="815" spans="1:4" x14ac:dyDescent="0.25">
      <c r="A815" t="str">
        <f>T("   620630")</f>
        <v xml:space="preserve">   620630</v>
      </c>
      <c r="B815" t="str">
        <f>T("   DE COTON")</f>
        <v xml:space="preserve">   DE COTON</v>
      </c>
      <c r="C815" s="4">
        <v>37</v>
      </c>
      <c r="D815" s="4">
        <v>6970584</v>
      </c>
    </row>
    <row r="816" spans="1:4" x14ac:dyDescent="0.25">
      <c r="A816" t="str">
        <f>T("   620799")</f>
        <v xml:space="preserve">   620799</v>
      </c>
      <c r="B816" t="str">
        <f>T("   D'AUTRES MATIERES TEXTILES")</f>
        <v xml:space="preserve">   D'AUTRES MATIERES TEXTILES</v>
      </c>
      <c r="C816" s="4">
        <v>2865</v>
      </c>
      <c r="D816" s="4">
        <v>2070866</v>
      </c>
    </row>
    <row r="817" spans="1:4" x14ac:dyDescent="0.25">
      <c r="A817" t="str">
        <f>T("   621040")</f>
        <v xml:space="preserve">   621040</v>
      </c>
      <c r="B817" t="str">
        <f>T("   AUTRES VETEMENTS POUR HOMMES OU GARCONNETS")</f>
        <v xml:space="preserve">   AUTRES VETEMENTS POUR HOMMES OU GARCONNETS</v>
      </c>
      <c r="C817" s="4">
        <v>708</v>
      </c>
      <c r="D817" s="4">
        <v>420000</v>
      </c>
    </row>
    <row r="818" spans="1:4" x14ac:dyDescent="0.25">
      <c r="A818" t="str">
        <f>T("   630239")</f>
        <v xml:space="preserve">   630239</v>
      </c>
      <c r="B818" t="str">
        <f>T("   D'AUTRES MATIERES TEXTILES")</f>
        <v xml:space="preserve">   D'AUTRES MATIERES TEXTILES</v>
      </c>
      <c r="C818" s="4">
        <v>605</v>
      </c>
      <c r="D818" s="4">
        <v>360778</v>
      </c>
    </row>
    <row r="819" spans="1:4" x14ac:dyDescent="0.25">
      <c r="A819" t="str">
        <f>T("   630299")</f>
        <v xml:space="preserve">   630299</v>
      </c>
      <c r="B819" t="str">
        <f>T("   D'AUTRES MATIERES TEXTILES")</f>
        <v xml:space="preserve">   D'AUTRES MATIERES TEXTILES</v>
      </c>
      <c r="C819" s="4">
        <v>4</v>
      </c>
      <c r="D819" s="4">
        <v>9184</v>
      </c>
    </row>
    <row r="820" spans="1:4" x14ac:dyDescent="0.25">
      <c r="A820" t="str">
        <f>T("   630533")</f>
        <v xml:space="preserve">   630533</v>
      </c>
      <c r="B820" t="str">
        <f>T("   AUTRES, OBTENUES A PARTIR DE LAMES OU FORMES SIMILAIRES DE POLYETHYLENE OU DE POLYPR")</f>
        <v xml:space="preserve">   AUTRES, OBTENUES A PARTIR DE LAMES OU FORMES SIMILAIRES DE POLYETHYLENE OU DE POLYPR</v>
      </c>
      <c r="C820" s="4">
        <v>73</v>
      </c>
      <c r="D820" s="4">
        <v>242705</v>
      </c>
    </row>
    <row r="821" spans="1:4" x14ac:dyDescent="0.25">
      <c r="A821" t="str">
        <f>T("   630612")</f>
        <v xml:space="preserve">   630612</v>
      </c>
      <c r="B821" t="str">
        <f>T("   DE FIBRES SYNTHETIQUES")</f>
        <v xml:space="preserve">   DE FIBRES SYNTHETIQUES</v>
      </c>
      <c r="C821" s="4">
        <v>7320</v>
      </c>
      <c r="D821" s="4">
        <v>7748200</v>
      </c>
    </row>
    <row r="822" spans="1:4" x14ac:dyDescent="0.25">
      <c r="A822" t="str">
        <f>T("   630639")</f>
        <v xml:space="preserve">   630639</v>
      </c>
      <c r="B822" t="str">
        <f>T("   VOILES D'AUTRES MATIERES TEXTILES")</f>
        <v xml:space="preserve">   VOILES D'AUTRES MATIERES TEXTILES</v>
      </c>
      <c r="C822" s="4">
        <v>20</v>
      </c>
      <c r="D822" s="4">
        <v>84341</v>
      </c>
    </row>
    <row r="823" spans="1:4" x14ac:dyDescent="0.25">
      <c r="A823" t="str">
        <f>T("   630641")</f>
        <v xml:space="preserve">   630641</v>
      </c>
      <c r="B823" t="str">
        <f>T("   MATELAS PNEUMATIQUES DE COTON")</f>
        <v xml:space="preserve">   MATELAS PNEUMATIQUES DE COTON</v>
      </c>
      <c r="C823" s="4">
        <v>95</v>
      </c>
      <c r="D823" s="4">
        <v>48061</v>
      </c>
    </row>
    <row r="824" spans="1:4" x14ac:dyDescent="0.25">
      <c r="A824" t="str">
        <f>T("   630649")</f>
        <v xml:space="preserve">   630649</v>
      </c>
      <c r="B824" t="str">
        <f>T("   MATELAS PNEUMATIQUES D'AUTRES MATIERES TEXTILES")</f>
        <v xml:space="preserve">   MATELAS PNEUMATIQUES D'AUTRES MATIERES TEXTILES</v>
      </c>
      <c r="C824" s="4">
        <v>2000</v>
      </c>
      <c r="D824" s="4">
        <v>1926555</v>
      </c>
    </row>
    <row r="825" spans="1:4" x14ac:dyDescent="0.25">
      <c r="A825" t="str">
        <f>T("   630710")</f>
        <v xml:space="preserve">   630710</v>
      </c>
      <c r="B825" t="str">
        <f>T("   SERPILLIERES OU WASSINGUES, LAVETTES, CHAMOISETTES ET ARTICLES D'ENTRETIEN SIMILAIRES")</f>
        <v xml:space="preserve">   SERPILLIERES OU WASSINGUES, LAVETTES, CHAMOISETTES ET ARTICLES D'ENTRETIEN SIMILAIRES</v>
      </c>
      <c r="C825" s="4">
        <v>55</v>
      </c>
      <c r="D825" s="4">
        <v>278784</v>
      </c>
    </row>
    <row r="826" spans="1:4" x14ac:dyDescent="0.25">
      <c r="A826" t="str">
        <f>T("   630790")</f>
        <v xml:space="preserve">   630790</v>
      </c>
      <c r="B826" t="str">
        <f>T("   AUTRES")</f>
        <v xml:space="preserve">   AUTRES</v>
      </c>
      <c r="C826" s="4">
        <v>679</v>
      </c>
      <c r="D826" s="4">
        <v>1474816</v>
      </c>
    </row>
    <row r="827" spans="1:4" x14ac:dyDescent="0.25">
      <c r="A827" t="str">
        <f>T("   630900")</f>
        <v xml:space="preserve">   630900</v>
      </c>
      <c r="B827" t="str">
        <f>T("   ARTICLES DE FRIPERIE.")</f>
        <v xml:space="preserve">   ARTICLES DE FRIPERIE.</v>
      </c>
      <c r="C827" s="4">
        <v>9057042</v>
      </c>
      <c r="D827" s="4">
        <v>5285483581</v>
      </c>
    </row>
    <row r="828" spans="1:4" x14ac:dyDescent="0.25">
      <c r="A828" t="str">
        <f>T("   631090")</f>
        <v xml:space="preserve">   631090</v>
      </c>
      <c r="B828" t="str">
        <f>T("   AUTRES")</f>
        <v xml:space="preserve">   AUTRES</v>
      </c>
      <c r="C828" s="4">
        <v>356583</v>
      </c>
      <c r="D828" s="4">
        <v>68975800</v>
      </c>
    </row>
    <row r="829" spans="1:4" x14ac:dyDescent="0.25">
      <c r="A829" t="str">
        <f>T("   640590")</f>
        <v xml:space="preserve">   640590</v>
      </c>
      <c r="B829" t="str">
        <f>T("   AUTRES")</f>
        <v xml:space="preserve">   AUTRES</v>
      </c>
      <c r="C829" s="4">
        <v>28715</v>
      </c>
      <c r="D829" s="4">
        <v>11299040</v>
      </c>
    </row>
    <row r="830" spans="1:4" x14ac:dyDescent="0.25">
      <c r="A830" t="str">
        <f>T("   650610")</f>
        <v xml:space="preserve">   650610</v>
      </c>
      <c r="B830" t="str">
        <f>T("   COIFFURES DE SECURITE")</f>
        <v xml:space="preserve">   COIFFURES DE SECURITE</v>
      </c>
      <c r="C830" s="4">
        <v>30</v>
      </c>
      <c r="D830" s="4">
        <v>842332</v>
      </c>
    </row>
    <row r="831" spans="1:4" x14ac:dyDescent="0.25">
      <c r="A831" t="str">
        <f>T("   650699")</f>
        <v xml:space="preserve">   650699</v>
      </c>
      <c r="B831" t="str">
        <f>T("   EN AUTRES MATIERES")</f>
        <v xml:space="preserve">   EN AUTRES MATIERES</v>
      </c>
      <c r="C831" s="4">
        <v>2675</v>
      </c>
      <c r="D831" s="4">
        <v>5184183</v>
      </c>
    </row>
    <row r="832" spans="1:4" x14ac:dyDescent="0.25">
      <c r="A832" t="str">
        <f>T("   680510")</f>
        <v xml:space="preserve">   680510</v>
      </c>
      <c r="B832" t="str">
        <f>T("   APPLIQUES SUR TISSUS EN MATIERES TEXTILES SEULEMENT")</f>
        <v xml:space="preserve">   APPLIQUES SUR TISSUS EN MATIERES TEXTILES SEULEMENT</v>
      </c>
      <c r="C832" s="4">
        <v>3</v>
      </c>
      <c r="D832" s="4">
        <v>158027</v>
      </c>
    </row>
    <row r="833" spans="1:4" x14ac:dyDescent="0.25">
      <c r="A833" t="str">
        <f>T("   680530")</f>
        <v xml:space="preserve">   680530</v>
      </c>
      <c r="B833" t="str">
        <f>T("   APPLIQUES SUR D'AUTRES MATIERES")</f>
        <v xml:space="preserve">   APPLIQUES SUR D'AUTRES MATIERES</v>
      </c>
      <c r="C833" s="4">
        <v>4</v>
      </c>
      <c r="D833" s="4">
        <v>353412</v>
      </c>
    </row>
    <row r="834" spans="1:4" x14ac:dyDescent="0.25">
      <c r="A834" t="str">
        <f>T("   680690")</f>
        <v xml:space="preserve">   680690</v>
      </c>
      <c r="B834" t="str">
        <f>T("   AUTRES")</f>
        <v xml:space="preserve">   AUTRES</v>
      </c>
      <c r="C834" s="4">
        <v>80</v>
      </c>
      <c r="D834" s="4">
        <v>849331</v>
      </c>
    </row>
    <row r="835" spans="1:4" x14ac:dyDescent="0.25">
      <c r="A835" t="str">
        <f>T("   680800")</f>
        <v xml:space="preserve">   680800</v>
      </c>
      <c r="B835" t="str">
        <f>T("   PANNEAUX, PLANCHES, CARREAUX, BLOCS ET ARTICLES SIMILAIRES, EN FIBRES VEGETALES, EN PAI")</f>
        <v xml:space="preserve">   PANNEAUX, PLANCHES, CARREAUX, BLOCS ET ARTICLES SIMILAIRES, EN FIBRES VEGETALES, EN PAI</v>
      </c>
      <c r="C835" s="4">
        <v>93957</v>
      </c>
      <c r="D835" s="4">
        <v>133754574</v>
      </c>
    </row>
    <row r="836" spans="1:4" x14ac:dyDescent="0.25">
      <c r="A836" t="str">
        <f>T("   690310")</f>
        <v xml:space="preserve">   690310</v>
      </c>
      <c r="B836" t="str">
        <f>T("   CONTENANT EN POIDS PLUS DE 50 % DE GRAPHITE OU D'AUTRE CARBONE OU D'UN MELANGE DE CES")</f>
        <v xml:space="preserve">   CONTENANT EN POIDS PLUS DE 50 % DE GRAPHITE OU D'AUTRE CARBONE OU D'UN MELANGE DE CES</v>
      </c>
      <c r="C836" s="4">
        <v>17</v>
      </c>
      <c r="D836" s="4">
        <v>5488292</v>
      </c>
    </row>
    <row r="837" spans="1:4" x14ac:dyDescent="0.25">
      <c r="A837" t="str">
        <f>T("   690790")</f>
        <v xml:space="preserve">   690790</v>
      </c>
      <c r="B837" t="str">
        <f>T("   AUTRES")</f>
        <v xml:space="preserve">   AUTRES</v>
      </c>
      <c r="C837" s="4">
        <v>1500</v>
      </c>
      <c r="D837" s="4">
        <v>1092298</v>
      </c>
    </row>
    <row r="838" spans="1:4" x14ac:dyDescent="0.25">
      <c r="A838" t="str">
        <f>T("   690890")</f>
        <v xml:space="preserve">   690890</v>
      </c>
      <c r="B838" t="str">
        <f>T("   AUTRES")</f>
        <v xml:space="preserve">   AUTRES</v>
      </c>
      <c r="C838" s="4">
        <v>115000</v>
      </c>
      <c r="D838" s="4">
        <v>13407611</v>
      </c>
    </row>
    <row r="839" spans="1:4" x14ac:dyDescent="0.25">
      <c r="A839" t="str">
        <f>T("   691190")</f>
        <v xml:space="preserve">   691190</v>
      </c>
      <c r="B839" t="str">
        <f>T("   AUTRES")</f>
        <v xml:space="preserve">   AUTRES</v>
      </c>
      <c r="C839" s="4">
        <v>1020</v>
      </c>
      <c r="D839" s="4">
        <v>623162</v>
      </c>
    </row>
    <row r="840" spans="1:4" x14ac:dyDescent="0.25">
      <c r="A840" t="str">
        <f>T("   700510")</f>
        <v xml:space="preserve">   700510</v>
      </c>
      <c r="B840" t="str">
        <f>T("   GLACE NON ARMEE, A COUCHE ABSORBANTE, REFLECHISSANTE OU NON REFLECHISSANTE")</f>
        <v xml:space="preserve">   GLACE NON ARMEE, A COUCHE ABSORBANTE, REFLECHISSANTE OU NON REFLECHISSANTE</v>
      </c>
      <c r="C840" s="4">
        <v>25953</v>
      </c>
      <c r="D840" s="4">
        <v>6061726</v>
      </c>
    </row>
    <row r="841" spans="1:4" x14ac:dyDescent="0.25">
      <c r="A841" t="str">
        <f>T("   700600")</f>
        <v xml:space="preserve">   700600</v>
      </c>
      <c r="B841" t="str">
        <f>T("   VERRE DES N°S 70.03, 70.04 OU 70.05, COURBE, BISEAUTE, GRAVE, PERCE, EMAILLE OU AUTREME")</f>
        <v xml:space="preserve">   VERRE DES N°S 70.03, 70.04 OU 70.05, COURBE, BISEAUTE, GRAVE, PERCE, EMAILLE OU AUTREME</v>
      </c>
      <c r="C841" s="4">
        <v>22622</v>
      </c>
      <c r="D841" s="4">
        <v>10865420</v>
      </c>
    </row>
    <row r="842" spans="1:4" x14ac:dyDescent="0.25">
      <c r="A842" t="str">
        <f>T("   700719")</f>
        <v xml:space="preserve">   700719</v>
      </c>
      <c r="B842" t="str">
        <f>T("   AUTRES")</f>
        <v xml:space="preserve">   AUTRES</v>
      </c>
      <c r="C842" s="4">
        <v>84</v>
      </c>
      <c r="D842" s="4">
        <v>1634161</v>
      </c>
    </row>
    <row r="843" spans="1:4" x14ac:dyDescent="0.25">
      <c r="A843" t="str">
        <f>T("   700729")</f>
        <v xml:space="preserve">   700729</v>
      </c>
      <c r="B843" t="str">
        <f>T("   AUTRES")</f>
        <v xml:space="preserve">   AUTRES</v>
      </c>
      <c r="C843" s="4">
        <v>22</v>
      </c>
      <c r="D843" s="4">
        <v>231967</v>
      </c>
    </row>
    <row r="844" spans="1:4" x14ac:dyDescent="0.25">
      <c r="A844" t="str">
        <f>T("   701337")</f>
        <v xml:space="preserve">   701337</v>
      </c>
      <c r="B844" t="str">
        <f>T("   AUTRES")</f>
        <v xml:space="preserve">   AUTRES</v>
      </c>
      <c r="C844" s="4">
        <v>45</v>
      </c>
      <c r="D844" s="4">
        <v>40014</v>
      </c>
    </row>
    <row r="845" spans="1:4" x14ac:dyDescent="0.25">
      <c r="A845" t="str">
        <f>T("   701690")</f>
        <v xml:space="preserve">   701690</v>
      </c>
      <c r="B845" t="str">
        <f>T("   AUTRES")</f>
        <v xml:space="preserve">   AUTRES</v>
      </c>
      <c r="C845" s="4">
        <v>22087</v>
      </c>
      <c r="D845" s="4">
        <v>6116900</v>
      </c>
    </row>
    <row r="846" spans="1:4" x14ac:dyDescent="0.25">
      <c r="A846" t="str">
        <f>T("   701710")</f>
        <v xml:space="preserve">   701710</v>
      </c>
      <c r="B846" t="str">
        <f>T("   EN QUARTZ OU EN AUTRE SILICE FONDUS")</f>
        <v xml:space="preserve">   EN QUARTZ OU EN AUTRE SILICE FONDUS</v>
      </c>
      <c r="C846" s="4">
        <v>0.5</v>
      </c>
      <c r="D846" s="4">
        <v>19206</v>
      </c>
    </row>
    <row r="847" spans="1:4" x14ac:dyDescent="0.25">
      <c r="A847" t="str">
        <f>T("   701720")</f>
        <v xml:space="preserve">   701720</v>
      </c>
      <c r="B847" t="str">
        <f>T("   EN AUTRE VERRE D'UN COEFFICIENT DE DILATATION LINEAIRE N'EXCEDANT PAS 5 X 106 PAR KE")</f>
        <v xml:space="preserve">   EN AUTRE VERRE D'UN COEFFICIENT DE DILATATION LINEAIRE N'EXCEDANT PAS 5 X 106 PAR KE</v>
      </c>
      <c r="C847" s="4">
        <v>0.57999999999999996</v>
      </c>
      <c r="D847" s="4">
        <v>151291</v>
      </c>
    </row>
    <row r="848" spans="1:4" x14ac:dyDescent="0.25">
      <c r="A848" t="str">
        <f>T("   701790")</f>
        <v xml:space="preserve">   701790</v>
      </c>
      <c r="B848" t="str">
        <f>T("   AUTRE")</f>
        <v xml:space="preserve">   AUTRE</v>
      </c>
      <c r="C848" s="4">
        <v>176</v>
      </c>
      <c r="D848" s="4">
        <v>862313</v>
      </c>
    </row>
    <row r="849" spans="1:4" x14ac:dyDescent="0.25">
      <c r="A849" t="str">
        <f>T("   702000")</f>
        <v xml:space="preserve">   702000</v>
      </c>
      <c r="B849" t="str">
        <f>T("   AUTRES OUVRAGES EN VERRE.")</f>
        <v xml:space="preserve">   AUTRES OUVRAGES EN VERRE.</v>
      </c>
      <c r="C849" s="4">
        <v>2395</v>
      </c>
      <c r="D849" s="4">
        <v>1410313</v>
      </c>
    </row>
    <row r="850" spans="1:4" x14ac:dyDescent="0.25">
      <c r="A850" t="str">
        <f>T("   711019")</f>
        <v xml:space="preserve">   711019</v>
      </c>
      <c r="B850" t="str">
        <f>T("   AUTRES")</f>
        <v xml:space="preserve">   AUTRES</v>
      </c>
      <c r="C850" s="4">
        <v>0.8</v>
      </c>
      <c r="D850" s="4">
        <v>1563441</v>
      </c>
    </row>
    <row r="851" spans="1:4" x14ac:dyDescent="0.25">
      <c r="A851" t="str">
        <f>T("   720853")</f>
        <v xml:space="preserve">   720853</v>
      </c>
      <c r="B851" t="str">
        <f>T("   D'UNE EPAISSEUR DE 3 MM OU PLUS MAIS INFERIEURE A 4,75 MM")</f>
        <v xml:space="preserve">   D'UNE EPAISSEUR DE 3 MM OU PLUS MAIS INFERIEURE A 4,75 MM</v>
      </c>
      <c r="C851" s="4">
        <v>23380</v>
      </c>
      <c r="D851" s="4">
        <v>9291667</v>
      </c>
    </row>
    <row r="852" spans="1:4" x14ac:dyDescent="0.25">
      <c r="A852" t="str">
        <f>T("   720917")</f>
        <v xml:space="preserve">   720917</v>
      </c>
      <c r="B852" t="str">
        <f>T("   D'UNE EPAISSEUR DE 0,5 MM OU PLUS MAIS N'EXCEDANT PAS 1 MM")</f>
        <v xml:space="preserve">   D'UNE EPAISSEUR DE 0,5 MM OU PLUS MAIS N'EXCEDANT PAS 1 MM</v>
      </c>
      <c r="C852" s="4">
        <v>1073730</v>
      </c>
      <c r="D852" s="4">
        <v>313304207</v>
      </c>
    </row>
    <row r="853" spans="1:4" x14ac:dyDescent="0.25">
      <c r="A853" t="str">
        <f>T("   721011")</f>
        <v xml:space="preserve">   721011</v>
      </c>
      <c r="B853" t="str">
        <f>T("   D'UNE EPAISSEUR DE 0,5 MM OU PLUS")</f>
        <v xml:space="preserve">   D'UNE EPAISSEUR DE 0,5 MM OU PLUS</v>
      </c>
      <c r="C853" s="4">
        <v>36011</v>
      </c>
      <c r="D853" s="4">
        <v>13643660</v>
      </c>
    </row>
    <row r="854" spans="1:4" x14ac:dyDescent="0.25">
      <c r="A854" t="str">
        <f>T("   721030")</f>
        <v xml:space="preserve">   721030</v>
      </c>
      <c r="B854" t="str">
        <f>T("   ZINGUES ELECTROLYTIQUEMENT")</f>
        <v xml:space="preserve">   ZINGUES ELECTROLYTIQUEMENT</v>
      </c>
      <c r="C854" s="4">
        <v>75604</v>
      </c>
      <c r="D854" s="4">
        <v>27352489</v>
      </c>
    </row>
    <row r="855" spans="1:4" x14ac:dyDescent="0.25">
      <c r="A855" t="str">
        <f>T("   721420")</f>
        <v xml:space="preserve">   721420</v>
      </c>
      <c r="B855" t="str">
        <f>T("   COMPORTANT DES INDENTATIONS, BOURRELETS, CREUX OU RELIEFS OBTENUS AU COURS DU LAMINAG")</f>
        <v xml:space="preserve">   COMPORTANT DES INDENTATIONS, BOURRELETS, CREUX OU RELIEFS OBTENUS AU COURS DU LAMINAG</v>
      </c>
      <c r="C855" s="4">
        <v>243909</v>
      </c>
      <c r="D855" s="4">
        <v>85460785</v>
      </c>
    </row>
    <row r="856" spans="1:4" x14ac:dyDescent="0.25">
      <c r="A856" t="str">
        <f>T("   721621")</f>
        <v xml:space="preserve">   721621</v>
      </c>
      <c r="B856" t="str">
        <f>T("   PROFILES EN L")</f>
        <v xml:space="preserve">   PROFILES EN L</v>
      </c>
      <c r="C856" s="4">
        <v>9524</v>
      </c>
      <c r="D856" s="4">
        <v>3182780</v>
      </c>
    </row>
    <row r="857" spans="1:4" x14ac:dyDescent="0.25">
      <c r="A857" t="str">
        <f>T("   721622")</f>
        <v xml:space="preserve">   721622</v>
      </c>
      <c r="B857" t="str">
        <f>T("   PROFILES EN T")</f>
        <v xml:space="preserve">   PROFILES EN T</v>
      </c>
      <c r="C857" s="4">
        <v>55147</v>
      </c>
      <c r="D857" s="4">
        <v>18922010</v>
      </c>
    </row>
    <row r="858" spans="1:4" x14ac:dyDescent="0.25">
      <c r="A858" t="str">
        <f>T("   721631")</f>
        <v xml:space="preserve">   721631</v>
      </c>
      <c r="B858" t="str">
        <f>T("   PROFILES EN U")</f>
        <v xml:space="preserve">   PROFILES EN U</v>
      </c>
      <c r="C858" s="4">
        <v>24000</v>
      </c>
      <c r="D858" s="4">
        <v>7854000</v>
      </c>
    </row>
    <row r="859" spans="1:4" x14ac:dyDescent="0.25">
      <c r="A859" t="str">
        <f>T("   721632")</f>
        <v xml:space="preserve">   721632</v>
      </c>
      <c r="B859" t="str">
        <f>T("   PROFILES EN I")</f>
        <v xml:space="preserve">   PROFILES EN I</v>
      </c>
      <c r="C859" s="4">
        <v>460000</v>
      </c>
      <c r="D859" s="4">
        <v>152336400</v>
      </c>
    </row>
    <row r="860" spans="1:4" x14ac:dyDescent="0.25">
      <c r="A860" t="str">
        <f>T("   721669")</f>
        <v xml:space="preserve">   721669</v>
      </c>
      <c r="B860" t="str">
        <f>T("   AUTRES")</f>
        <v xml:space="preserve">   AUTRES</v>
      </c>
      <c r="C860" s="4">
        <v>14808</v>
      </c>
      <c r="D860" s="4">
        <v>4601685</v>
      </c>
    </row>
    <row r="861" spans="1:4" x14ac:dyDescent="0.25">
      <c r="A861" t="str">
        <f>T("   721699")</f>
        <v xml:space="preserve">   721699</v>
      </c>
      <c r="B861" t="str">
        <f>T("   AUTRES")</f>
        <v xml:space="preserve">   AUTRES</v>
      </c>
      <c r="C861" s="4">
        <v>489488</v>
      </c>
      <c r="D861" s="4">
        <v>163350490</v>
      </c>
    </row>
    <row r="862" spans="1:4" x14ac:dyDescent="0.25">
      <c r="A862" t="str">
        <f>T("   721990")</f>
        <v xml:space="preserve">   721990</v>
      </c>
      <c r="B862" t="str">
        <f>T("   AUTRES")</f>
        <v xml:space="preserve">   AUTRES</v>
      </c>
      <c r="C862" s="4">
        <v>445198</v>
      </c>
      <c r="D862" s="4">
        <v>169579191</v>
      </c>
    </row>
    <row r="863" spans="1:4" x14ac:dyDescent="0.25">
      <c r="A863" t="str">
        <f>T("   730120")</f>
        <v xml:space="preserve">   730120</v>
      </c>
      <c r="B863" t="str">
        <f>T("   PROFILES")</f>
        <v xml:space="preserve">   PROFILES</v>
      </c>
      <c r="C863" s="4">
        <v>22613</v>
      </c>
      <c r="D863" s="4">
        <v>13254984</v>
      </c>
    </row>
    <row r="864" spans="1:4" x14ac:dyDescent="0.25">
      <c r="A864" t="str">
        <f>T("   730424")</f>
        <v xml:space="preserve">   730424</v>
      </c>
      <c r="B864" t="str">
        <f>T("   AUTRES, EN ACIERS INOXYDABLES")</f>
        <v xml:space="preserve">   AUTRES, EN ACIERS INOXYDABLES</v>
      </c>
      <c r="C864" s="4">
        <v>387</v>
      </c>
      <c r="D864" s="4">
        <v>1528229</v>
      </c>
    </row>
    <row r="865" spans="1:4" x14ac:dyDescent="0.25">
      <c r="A865" t="str">
        <f>T("   730531")</f>
        <v xml:space="preserve">   730531</v>
      </c>
      <c r="B865" t="str">
        <f>T("   SOUDES LONGITUDINALEMENT")</f>
        <v xml:space="preserve">   SOUDES LONGITUDINALEMENT</v>
      </c>
      <c r="C865" s="4">
        <v>12856</v>
      </c>
      <c r="D865" s="4">
        <v>2490000</v>
      </c>
    </row>
    <row r="866" spans="1:4" x14ac:dyDescent="0.25">
      <c r="A866" t="str">
        <f>T("   730640")</f>
        <v xml:space="preserve">   730640</v>
      </c>
      <c r="B866" t="str">
        <f>T("   AUTRES, SOUDES, DE SECTION CIRCULAIRE, EN ACIERS INOXYDABLES")</f>
        <v xml:space="preserve">   AUTRES, SOUDES, DE SECTION CIRCULAIRE, EN ACIERS INOXYDABLES</v>
      </c>
      <c r="C866" s="4">
        <v>63</v>
      </c>
      <c r="D866" s="4">
        <v>3238474</v>
      </c>
    </row>
    <row r="867" spans="1:4" x14ac:dyDescent="0.25">
      <c r="A867" t="str">
        <f>T("   730711")</f>
        <v xml:space="preserve">   730711</v>
      </c>
      <c r="B867" t="str">
        <f>T("   EN FONTE NON MALLEABLE")</f>
        <v xml:space="preserve">   EN FONTE NON MALLEABLE</v>
      </c>
      <c r="C867" s="4">
        <v>46666</v>
      </c>
      <c r="D867" s="4">
        <v>130430506</v>
      </c>
    </row>
    <row r="868" spans="1:4" x14ac:dyDescent="0.25">
      <c r="A868" t="str">
        <f>T("   730719")</f>
        <v xml:space="preserve">   730719</v>
      </c>
      <c r="B868" t="str">
        <f>T("   AUTRES")</f>
        <v xml:space="preserve">   AUTRES</v>
      </c>
      <c r="C868" s="4">
        <v>31.5</v>
      </c>
      <c r="D868" s="4">
        <v>1312463</v>
      </c>
    </row>
    <row r="869" spans="1:4" x14ac:dyDescent="0.25">
      <c r="A869" t="str">
        <f>T("   730721")</f>
        <v xml:space="preserve">   730721</v>
      </c>
      <c r="B869" t="str">
        <f>T("   BRIDES")</f>
        <v xml:space="preserve">   BRIDES</v>
      </c>
      <c r="C869" s="4">
        <v>5</v>
      </c>
      <c r="D869" s="4">
        <v>480307</v>
      </c>
    </row>
    <row r="870" spans="1:4" x14ac:dyDescent="0.25">
      <c r="A870" t="str">
        <f>T("   730729")</f>
        <v xml:space="preserve">   730729</v>
      </c>
      <c r="B870" t="str">
        <f>T("   AUTRES")</f>
        <v xml:space="preserve">   AUTRES</v>
      </c>
      <c r="C870" s="4">
        <v>307</v>
      </c>
      <c r="D870" s="4">
        <v>3414246</v>
      </c>
    </row>
    <row r="871" spans="1:4" x14ac:dyDescent="0.25">
      <c r="A871" t="str">
        <f>T("   730799")</f>
        <v xml:space="preserve">   730799</v>
      </c>
      <c r="B871" t="str">
        <f>T("   AUTRES")</f>
        <v xml:space="preserve">   AUTRES</v>
      </c>
      <c r="C871" s="4">
        <v>439</v>
      </c>
      <c r="D871" s="4">
        <v>10824868</v>
      </c>
    </row>
    <row r="872" spans="1:4" x14ac:dyDescent="0.25">
      <c r="A872" t="str">
        <f>T("   730820")</f>
        <v xml:space="preserve">   730820</v>
      </c>
      <c r="B872" t="str">
        <f>T("   TOURS ET PYLONES")</f>
        <v xml:space="preserve">   TOURS ET PYLONES</v>
      </c>
      <c r="C872" s="4">
        <v>25018</v>
      </c>
      <c r="D872" s="4">
        <v>39983630</v>
      </c>
    </row>
    <row r="873" spans="1:4" x14ac:dyDescent="0.25">
      <c r="A873" t="str">
        <f>T("   730890")</f>
        <v xml:space="preserve">   730890</v>
      </c>
      <c r="B873" t="str">
        <f>T("   AUTRES")</f>
        <v xml:space="preserve">   AUTRES</v>
      </c>
      <c r="C873" s="4">
        <v>20000.25</v>
      </c>
      <c r="D873" s="4">
        <v>9076743</v>
      </c>
    </row>
    <row r="874" spans="1:4" x14ac:dyDescent="0.25">
      <c r="A874" t="str">
        <f>T("   730900")</f>
        <v xml:space="preserve">   730900</v>
      </c>
      <c r="B874" t="str">
        <f>T("   RESERVOIRS, FOUDRES, CUVES ET RECIPIENTS SIMILAIRES POUR TOUTES MATIERES (A L'EXCEPTION")</f>
        <v xml:space="preserve">   RESERVOIRS, FOUDRES, CUVES ET RECIPIENTS SIMILAIRES POUR TOUTES MATIERES (A L'EXCEPTION</v>
      </c>
      <c r="C874" s="4">
        <v>136</v>
      </c>
      <c r="D874" s="4">
        <v>4084132</v>
      </c>
    </row>
    <row r="875" spans="1:4" x14ac:dyDescent="0.25">
      <c r="A875" t="str">
        <f>T("   731021")</f>
        <v xml:space="preserve">   731021</v>
      </c>
      <c r="B875" t="str">
        <f>T("   BOITES A FERMER PAR SOUDAGE OU SERTISSAGE")</f>
        <v xml:space="preserve">   BOITES A FERMER PAR SOUDAGE OU SERTISSAGE</v>
      </c>
      <c r="C875" s="4">
        <v>1034</v>
      </c>
      <c r="D875" s="4">
        <v>560131</v>
      </c>
    </row>
    <row r="876" spans="1:4" x14ac:dyDescent="0.25">
      <c r="A876" t="str">
        <f>T("   731100")</f>
        <v xml:space="preserve">   731100</v>
      </c>
      <c r="B876" t="str">
        <f>T("   RECIPIENTS POUR GAZ COMPRIMES OU LIQUEFIES, EN FONTE, FER OU ACIER.")</f>
        <v xml:space="preserve">   RECIPIENTS POUR GAZ COMPRIMES OU LIQUEFIES, EN FONTE, FER OU ACIER.</v>
      </c>
      <c r="C876" s="4">
        <v>12948</v>
      </c>
      <c r="D876" s="4">
        <v>49459384</v>
      </c>
    </row>
    <row r="877" spans="1:4" x14ac:dyDescent="0.25">
      <c r="A877" t="str">
        <f>T("   731290")</f>
        <v xml:space="preserve">   731290</v>
      </c>
      <c r="B877" t="str">
        <f>T("   AUTRES")</f>
        <v xml:space="preserve">   AUTRES</v>
      </c>
      <c r="C877" s="4">
        <v>3187</v>
      </c>
      <c r="D877" s="4">
        <v>7622919</v>
      </c>
    </row>
    <row r="878" spans="1:4" x14ac:dyDescent="0.25">
      <c r="A878" t="str">
        <f>T("   731412")</f>
        <v xml:space="preserve">   731412</v>
      </c>
      <c r="B878" t="str">
        <f>T("   TOILES METALLIQUES CONTINUES OU SANS FIN, POUR MACHINES, EN ACIERS INOXYDABLES")</f>
        <v xml:space="preserve">   TOILES METALLIQUES CONTINUES OU SANS FIN, POUR MACHINES, EN ACIERS INOXYDABLES</v>
      </c>
      <c r="C878" s="4">
        <v>631</v>
      </c>
      <c r="D878" s="4">
        <v>3626278</v>
      </c>
    </row>
    <row r="879" spans="1:4" x14ac:dyDescent="0.25">
      <c r="A879" t="str">
        <f>T("   731439")</f>
        <v xml:space="preserve">   731439</v>
      </c>
      <c r="B879" t="str">
        <f>T("   AUTRES")</f>
        <v xml:space="preserve">   AUTRES</v>
      </c>
      <c r="C879" s="4">
        <v>2000</v>
      </c>
      <c r="D879" s="4">
        <v>500000</v>
      </c>
    </row>
    <row r="880" spans="1:4" x14ac:dyDescent="0.25">
      <c r="A880" t="str">
        <f>T("   731450")</f>
        <v xml:space="preserve">   731450</v>
      </c>
      <c r="B880" t="str">
        <f>T("   TOLES ET BANDES DEPLOYEES")</f>
        <v xml:space="preserve">   TOLES ET BANDES DEPLOYEES</v>
      </c>
      <c r="C880" s="4">
        <v>72</v>
      </c>
      <c r="D880" s="4">
        <v>844128</v>
      </c>
    </row>
    <row r="881" spans="1:4" x14ac:dyDescent="0.25">
      <c r="A881" t="str">
        <f>T("   731512")</f>
        <v xml:space="preserve">   731512</v>
      </c>
      <c r="B881" t="str">
        <f>T("   AUTRES CHAINES")</f>
        <v xml:space="preserve">   AUTRES CHAINES</v>
      </c>
      <c r="C881" s="4">
        <v>1528</v>
      </c>
      <c r="D881" s="4">
        <v>7179863</v>
      </c>
    </row>
    <row r="882" spans="1:4" x14ac:dyDescent="0.25">
      <c r="A882" t="str">
        <f>T("   731582")</f>
        <v xml:space="preserve">   731582</v>
      </c>
      <c r="B882" t="str">
        <f>T("   AUTRES CHAINES, A MAILLONS SOUDES")</f>
        <v xml:space="preserve">   AUTRES CHAINES, A MAILLONS SOUDES</v>
      </c>
      <c r="C882" s="4">
        <v>7</v>
      </c>
      <c r="D882" s="4">
        <v>94085</v>
      </c>
    </row>
    <row r="883" spans="1:4" x14ac:dyDescent="0.25">
      <c r="A883" t="str">
        <f>T("   731589")</f>
        <v xml:space="preserve">   731589</v>
      </c>
      <c r="B883" t="str">
        <f>T("   AUTRES")</f>
        <v xml:space="preserve">   AUTRES</v>
      </c>
      <c r="C883" s="4">
        <v>1091</v>
      </c>
      <c r="D883" s="4">
        <v>2345195</v>
      </c>
    </row>
    <row r="884" spans="1:4" x14ac:dyDescent="0.25">
      <c r="A884" t="str">
        <f>T("   731600")</f>
        <v xml:space="preserve">   731600</v>
      </c>
      <c r="B884" t="str">
        <f>T("   ANCRES, GRAPPINS ET LEURS PARTIES, EN FONTE, FER OU ACIER.")</f>
        <v xml:space="preserve">   ANCRES, GRAPPINS ET LEURS PARTIES, EN FONTE, FER OU ACIER.</v>
      </c>
      <c r="C884" s="4">
        <v>45000</v>
      </c>
      <c r="D884" s="4">
        <v>124809509</v>
      </c>
    </row>
    <row r="885" spans="1:4" x14ac:dyDescent="0.25">
      <c r="A885" t="str">
        <f>T("   731815")</f>
        <v xml:space="preserve">   731815</v>
      </c>
      <c r="B885" t="str">
        <f>T("   AUTRES VIS ET BOULONS, MEME AVEC LEURS ECROUS OU RONDELLES")</f>
        <v xml:space="preserve">   AUTRES VIS ET BOULONS, MEME AVEC LEURS ECROUS OU RONDELLES</v>
      </c>
      <c r="C885" s="4">
        <v>3110.63</v>
      </c>
      <c r="D885" s="4">
        <v>13559006</v>
      </c>
    </row>
    <row r="886" spans="1:4" x14ac:dyDescent="0.25">
      <c r="A886" t="str">
        <f>T("   731819")</f>
        <v xml:space="preserve">   731819</v>
      </c>
      <c r="B886" t="str">
        <f>T("   AUTRES")</f>
        <v xml:space="preserve">   AUTRES</v>
      </c>
      <c r="C886" s="4">
        <v>15124</v>
      </c>
      <c r="D886" s="4">
        <v>3119500</v>
      </c>
    </row>
    <row r="887" spans="1:4" x14ac:dyDescent="0.25">
      <c r="A887" t="str">
        <f>T("   731821")</f>
        <v xml:space="preserve">   731821</v>
      </c>
      <c r="B887" t="str">
        <f>T("   RONDELLES DESTINEES A FAIRE RESSORT ET AUTRES RONDELLES DE BLOCAGE")</f>
        <v xml:space="preserve">   RONDELLES DESTINEES A FAIRE RESSORT ET AUTRES RONDELLES DE BLOCAGE</v>
      </c>
      <c r="C887" s="4">
        <v>212</v>
      </c>
      <c r="D887" s="4">
        <v>2372608</v>
      </c>
    </row>
    <row r="888" spans="1:4" x14ac:dyDescent="0.25">
      <c r="A888" t="str">
        <f>T("   731822")</f>
        <v xml:space="preserve">   731822</v>
      </c>
      <c r="B888" t="str">
        <f>T("   AUTRES RONDELLES")</f>
        <v xml:space="preserve">   AUTRES RONDELLES</v>
      </c>
      <c r="C888" s="4">
        <v>5</v>
      </c>
      <c r="D888" s="4">
        <v>191356</v>
      </c>
    </row>
    <row r="889" spans="1:4" x14ac:dyDescent="0.25">
      <c r="A889" t="str">
        <f>T("   731823")</f>
        <v xml:space="preserve">   731823</v>
      </c>
      <c r="B889" t="str">
        <f>T("   RIVETS")</f>
        <v xml:space="preserve">   RIVETS</v>
      </c>
      <c r="C889" s="4">
        <v>3</v>
      </c>
      <c r="D889" s="4">
        <v>802692</v>
      </c>
    </row>
    <row r="890" spans="1:4" x14ac:dyDescent="0.25">
      <c r="A890" t="str">
        <f>T("   731824")</f>
        <v xml:space="preserve">   731824</v>
      </c>
      <c r="B890" t="str">
        <f>T("   GOUPILLES, CHEVILLES ET CLAVETTES")</f>
        <v xml:space="preserve">   GOUPILLES, CHEVILLES ET CLAVETTES</v>
      </c>
      <c r="C890" s="4">
        <v>527</v>
      </c>
      <c r="D890" s="4">
        <v>4587358</v>
      </c>
    </row>
    <row r="891" spans="1:4" x14ac:dyDescent="0.25">
      <c r="A891" t="str">
        <f>T("   731829")</f>
        <v xml:space="preserve">   731829</v>
      </c>
      <c r="B891" t="str">
        <f>T("   AUTRES")</f>
        <v xml:space="preserve">   AUTRES</v>
      </c>
      <c r="C891" s="4">
        <v>5</v>
      </c>
      <c r="D891" s="4">
        <v>104744</v>
      </c>
    </row>
    <row r="892" spans="1:4" x14ac:dyDescent="0.25">
      <c r="A892" t="str">
        <f>T("   732090")</f>
        <v xml:space="preserve">   732090</v>
      </c>
      <c r="B892" t="str">
        <f>T("   AUTRES")</f>
        <v xml:space="preserve">   AUTRES</v>
      </c>
      <c r="C892" s="4">
        <v>12</v>
      </c>
      <c r="D892" s="4">
        <v>190871</v>
      </c>
    </row>
    <row r="893" spans="1:4" x14ac:dyDescent="0.25">
      <c r="A893" t="str">
        <f>T("   732111")</f>
        <v xml:space="preserve">   732111</v>
      </c>
      <c r="B893" t="str">
        <f>T("   A COMBUSTIBLES GAZEUX OU A GAZ ET AUTRES COMBUSTIBLES")</f>
        <v xml:space="preserve">   A COMBUSTIBLES GAZEUX OU A GAZ ET AUTRES COMBUSTIBLES</v>
      </c>
      <c r="C893" s="4">
        <v>54</v>
      </c>
      <c r="D893" s="4">
        <v>33100</v>
      </c>
    </row>
    <row r="894" spans="1:4" x14ac:dyDescent="0.25">
      <c r="A894" t="str">
        <f>T("   732393")</f>
        <v xml:space="preserve">   732393</v>
      </c>
      <c r="B894" t="str">
        <f>T("   EN ACIERS INOXYDABLES")</f>
        <v xml:space="preserve">   EN ACIERS INOXYDABLES</v>
      </c>
      <c r="C894" s="4">
        <v>4664</v>
      </c>
      <c r="D894" s="4">
        <v>864063</v>
      </c>
    </row>
    <row r="895" spans="1:4" x14ac:dyDescent="0.25">
      <c r="A895" t="str">
        <f>T("   732394")</f>
        <v xml:space="preserve">   732394</v>
      </c>
      <c r="B895" t="str">
        <f>T("   EN FER OU EN ACIER, EMAILLES")</f>
        <v xml:space="preserve">   EN FER OU EN ACIER, EMAILLES</v>
      </c>
      <c r="C895" s="4">
        <v>12600</v>
      </c>
      <c r="D895" s="4">
        <v>6439177</v>
      </c>
    </row>
    <row r="896" spans="1:4" x14ac:dyDescent="0.25">
      <c r="A896" t="str">
        <f>T("   732399")</f>
        <v xml:space="preserve">   732399</v>
      </c>
      <c r="B896" t="str">
        <f>T("   AUTRES")</f>
        <v xml:space="preserve">   AUTRES</v>
      </c>
      <c r="C896" s="4">
        <v>34308</v>
      </c>
      <c r="D896" s="4">
        <v>13596152</v>
      </c>
    </row>
    <row r="897" spans="1:4" x14ac:dyDescent="0.25">
      <c r="A897" t="str">
        <f>T("   732690")</f>
        <v xml:space="preserve">   732690</v>
      </c>
      <c r="B897" t="str">
        <f>T("   AUTRES")</f>
        <v xml:space="preserve">   AUTRES</v>
      </c>
      <c r="C897" s="4">
        <v>42104</v>
      </c>
      <c r="D897" s="4">
        <v>757530986</v>
      </c>
    </row>
    <row r="898" spans="1:4" x14ac:dyDescent="0.25">
      <c r="A898" t="str">
        <f>T("   741220")</f>
        <v xml:space="preserve">   741220</v>
      </c>
      <c r="B898" t="str">
        <f>T("   EN ALLIAGES DE CUIVRE")</f>
        <v xml:space="preserve">   EN ALLIAGES DE CUIVRE</v>
      </c>
      <c r="C898" s="4">
        <v>24</v>
      </c>
      <c r="D898" s="4">
        <v>1570564</v>
      </c>
    </row>
    <row r="899" spans="1:4" x14ac:dyDescent="0.25">
      <c r="A899" t="str">
        <f>T("   760421")</f>
        <v xml:space="preserve">   760421</v>
      </c>
      <c r="B899" t="str">
        <f>T("   PROFILES CREUX")</f>
        <v xml:space="preserve">   PROFILES CREUX</v>
      </c>
      <c r="C899" s="4">
        <v>2115</v>
      </c>
      <c r="D899" s="4">
        <v>7380206</v>
      </c>
    </row>
    <row r="900" spans="1:4" x14ac:dyDescent="0.25">
      <c r="A900" t="str">
        <f>T("   760900")</f>
        <v xml:space="preserve">   760900</v>
      </c>
      <c r="B900" t="str">
        <f>T("   ACCESSOIRES DE TUYAUTERIE (RACCORDS, COUDES, MANCHONS, PAR EXEMPLE), EN ALUMINIUM.")</f>
        <v xml:space="preserve">   ACCESSOIRES DE TUYAUTERIE (RACCORDS, COUDES, MANCHONS, PAR EXEMPLE), EN ALUMINIUM.</v>
      </c>
      <c r="C900" s="4">
        <v>30</v>
      </c>
      <c r="D900" s="4">
        <v>658799</v>
      </c>
    </row>
    <row r="901" spans="1:4" x14ac:dyDescent="0.25">
      <c r="A901" t="str">
        <f>T("   761090")</f>
        <v xml:space="preserve">   761090</v>
      </c>
      <c r="B901" t="str">
        <f>T("   AUTRES")</f>
        <v xml:space="preserve">   AUTRES</v>
      </c>
      <c r="C901" s="4">
        <v>9494</v>
      </c>
      <c r="D901" s="4">
        <v>6990800</v>
      </c>
    </row>
    <row r="902" spans="1:4" x14ac:dyDescent="0.25">
      <c r="A902" t="str">
        <f>T("   761100")</f>
        <v xml:space="preserve">   761100</v>
      </c>
      <c r="B902" t="str">
        <f>T("   RESERVOIRS, FOUDRES, CUVES ET RECIPIENTS SIMILAIRES POUR TOUTES MATIERES (A L'EXCEPTION")</f>
        <v xml:space="preserve">   RESERVOIRS, FOUDRES, CUVES ET RECIPIENTS SIMILAIRES POUR TOUTES MATIERES (A L'EXCEPTION</v>
      </c>
      <c r="C902" s="4">
        <v>3050</v>
      </c>
      <c r="D902" s="4">
        <v>2903279</v>
      </c>
    </row>
    <row r="903" spans="1:4" x14ac:dyDescent="0.25">
      <c r="A903" t="str">
        <f>T("   761290")</f>
        <v xml:space="preserve">   761290</v>
      </c>
      <c r="B903" t="str">
        <f>T("   AUTRES")</f>
        <v xml:space="preserve">   AUTRES</v>
      </c>
      <c r="C903" s="4">
        <v>2236</v>
      </c>
      <c r="D903" s="4">
        <v>700000</v>
      </c>
    </row>
    <row r="904" spans="1:4" x14ac:dyDescent="0.25">
      <c r="A904" t="str">
        <f>T("   761519")</f>
        <v xml:space="preserve">   761519</v>
      </c>
      <c r="B904" t="str">
        <f>T("   AUTRES ARTICLES DE MENAGES OU D'ECONOMIE DOMESTIQUE EN ALUMINIUM")</f>
        <v xml:space="preserve">   AUTRES ARTICLES DE MENAGES OU D'ECONOMIE DOMESTIQUE EN ALUMINIUM</v>
      </c>
      <c r="C904" s="4">
        <v>2730</v>
      </c>
      <c r="D904" s="4">
        <v>3327000</v>
      </c>
    </row>
    <row r="905" spans="1:4" x14ac:dyDescent="0.25">
      <c r="A905" t="str">
        <f>T("   761610")</f>
        <v xml:space="preserve">   761610</v>
      </c>
      <c r="B905" t="str">
        <f>T("   POINTES, CLOUS, CRAMPONS APPOINTES, VIS, BOULONS, ECROUS, CROCHETS A PAS DE VIS, RIVE")</f>
        <v xml:space="preserve">   POINTES, CLOUS, CRAMPONS APPOINTES, VIS, BOULONS, ECROUS, CROCHETS A PAS DE VIS, RIVE</v>
      </c>
      <c r="C905" s="4">
        <v>437</v>
      </c>
      <c r="D905" s="4">
        <v>619457</v>
      </c>
    </row>
    <row r="906" spans="1:4" x14ac:dyDescent="0.25">
      <c r="A906" t="str">
        <f>T("   761699")</f>
        <v xml:space="preserve">   761699</v>
      </c>
      <c r="B906" t="str">
        <f>T("   AUTRES")</f>
        <v xml:space="preserve">   AUTRES</v>
      </c>
      <c r="C906" s="4">
        <v>10.199999999999999</v>
      </c>
      <c r="D906" s="4">
        <v>506041</v>
      </c>
    </row>
    <row r="907" spans="1:4" x14ac:dyDescent="0.25">
      <c r="A907" t="str">
        <f>T("   810890")</f>
        <v xml:space="preserve">   810890</v>
      </c>
      <c r="B907" t="str">
        <f>T("   AUTRES")</f>
        <v xml:space="preserve">   AUTRES</v>
      </c>
      <c r="C907" s="4">
        <v>5</v>
      </c>
      <c r="D907" s="4">
        <v>117745</v>
      </c>
    </row>
    <row r="908" spans="1:4" x14ac:dyDescent="0.25">
      <c r="A908" t="str">
        <f>T("   820190")</f>
        <v xml:space="preserve">   820190</v>
      </c>
      <c r="B908" t="str">
        <f>T("   AUTRES OUTILS AGRICOLES, HORTICOLES OU FORESTIERS, A MAIN")</f>
        <v xml:space="preserve">   AUTRES OUTILS AGRICOLES, HORTICOLES OU FORESTIERS, A MAIN</v>
      </c>
      <c r="C908" s="4">
        <v>19250</v>
      </c>
      <c r="D908" s="4">
        <v>10879129</v>
      </c>
    </row>
    <row r="909" spans="1:4" x14ac:dyDescent="0.25">
      <c r="A909" t="str">
        <f>T("   820240")</f>
        <v xml:space="preserve">   820240</v>
      </c>
      <c r="B909" t="str">
        <f>T("   CHAINES DE SCIES, DITES COUPANTES")</f>
        <v xml:space="preserve">   CHAINES DE SCIES, DITES COUPANTES</v>
      </c>
      <c r="C909" s="4">
        <v>15</v>
      </c>
      <c r="D909" s="4">
        <v>458044</v>
      </c>
    </row>
    <row r="910" spans="1:4" x14ac:dyDescent="0.25">
      <c r="A910" t="str">
        <f>T("   820320")</f>
        <v xml:space="preserve">   820320</v>
      </c>
      <c r="B910" t="str">
        <f>T("   PINCES (MEME COUPANTES), TENAILLES, BRUCELLES ET OUTILS SIMILAIRES")</f>
        <v xml:space="preserve">   PINCES (MEME COUPANTES), TENAILLES, BRUCELLES ET OUTILS SIMILAIRES</v>
      </c>
      <c r="C910" s="4">
        <v>683</v>
      </c>
      <c r="D910" s="4">
        <v>12971534</v>
      </c>
    </row>
    <row r="911" spans="1:4" x14ac:dyDescent="0.25">
      <c r="A911" t="str">
        <f>T("   820420")</f>
        <v xml:space="preserve">   820420</v>
      </c>
      <c r="B911" t="str">
        <f>T("   DOUILLES DE SERRAGE INTERCHANGEABLES, MEME AVEC MANCHES")</f>
        <v xml:space="preserve">   DOUILLES DE SERRAGE INTERCHANGEABLES, MEME AVEC MANCHES</v>
      </c>
      <c r="C911" s="4">
        <v>4</v>
      </c>
      <c r="D911" s="4">
        <v>675114</v>
      </c>
    </row>
    <row r="912" spans="1:4" x14ac:dyDescent="0.25">
      <c r="A912" t="str">
        <f>T("   820559")</f>
        <v xml:space="preserve">   820559</v>
      </c>
      <c r="B912" t="str">
        <f>T("   AUTRES")</f>
        <v xml:space="preserve">   AUTRES</v>
      </c>
      <c r="C912" s="4">
        <v>57</v>
      </c>
      <c r="D912" s="4">
        <v>1896396</v>
      </c>
    </row>
    <row r="913" spans="1:4" x14ac:dyDescent="0.25">
      <c r="A913" t="str">
        <f>T("   820590")</f>
        <v xml:space="preserve">   820590</v>
      </c>
      <c r="B913" t="str">
        <f>T("   AUTRES, Y COMPRIS LES ASSORTIMENTS D'ARTICLES D'AU MOINS DEUX DES SOUSPOSITIONS DE L")</f>
        <v xml:space="preserve">   AUTRES, Y COMPRIS LES ASSORTIMENTS D'ARTICLES D'AU MOINS DEUX DES SOUSPOSITIONS DE L</v>
      </c>
      <c r="C913" s="4">
        <v>31</v>
      </c>
      <c r="D913" s="4">
        <v>399313</v>
      </c>
    </row>
    <row r="914" spans="1:4" x14ac:dyDescent="0.25">
      <c r="A914" t="str">
        <f>T("   820719")</f>
        <v xml:space="preserve">   820719</v>
      </c>
      <c r="B914" t="str">
        <f>T("   AUTRES, Y COMPRIS LES PARTIES")</f>
        <v xml:space="preserve">   AUTRES, Y COMPRIS LES PARTIES</v>
      </c>
      <c r="C914" s="4">
        <v>306</v>
      </c>
      <c r="D914" s="4">
        <v>2663198</v>
      </c>
    </row>
    <row r="915" spans="1:4" x14ac:dyDescent="0.25">
      <c r="A915" t="str">
        <f>T("   820770")</f>
        <v xml:space="preserve">   820770</v>
      </c>
      <c r="B915" t="str">
        <f>T("   OUTILS A FRAISER")</f>
        <v xml:space="preserve">   OUTILS A FRAISER</v>
      </c>
      <c r="C915" s="4">
        <v>4</v>
      </c>
      <c r="D915" s="4">
        <v>1137744</v>
      </c>
    </row>
    <row r="916" spans="1:4" x14ac:dyDescent="0.25">
      <c r="A916" t="str">
        <f>T("   820790")</f>
        <v xml:space="preserve">   820790</v>
      </c>
      <c r="B916" t="str">
        <f>T("   AUTRES OUTILS INTERCHANGEABLES")</f>
        <v xml:space="preserve">   AUTRES OUTILS INTERCHANGEABLES</v>
      </c>
      <c r="C916" s="4">
        <v>141</v>
      </c>
      <c r="D916" s="4">
        <v>3422065</v>
      </c>
    </row>
    <row r="917" spans="1:4" x14ac:dyDescent="0.25">
      <c r="A917" t="str">
        <f>T("   821192")</f>
        <v xml:space="preserve">   821192</v>
      </c>
      <c r="B917" t="str">
        <f>T("   AUTRES COUTEAUX A LAME FIXE")</f>
        <v xml:space="preserve">   AUTRES COUTEAUX A LAME FIXE</v>
      </c>
      <c r="C917" s="4">
        <v>573</v>
      </c>
      <c r="D917" s="4">
        <v>6401514</v>
      </c>
    </row>
    <row r="918" spans="1:4" x14ac:dyDescent="0.25">
      <c r="A918" t="str">
        <f>T("   821599")</f>
        <v xml:space="preserve">   821599</v>
      </c>
      <c r="B918" t="str">
        <f>T("   AUTRES")</f>
        <v xml:space="preserve">   AUTRES</v>
      </c>
      <c r="C918" s="4">
        <v>1414</v>
      </c>
      <c r="D918" s="4">
        <v>1292241</v>
      </c>
    </row>
    <row r="919" spans="1:4" x14ac:dyDescent="0.25">
      <c r="A919" t="str">
        <f>T("   830140")</f>
        <v xml:space="preserve">   830140</v>
      </c>
      <c r="B919" t="str">
        <f>T("   AUTRES SERRURES; VERROUS")</f>
        <v xml:space="preserve">   AUTRES SERRURES; VERROUS</v>
      </c>
      <c r="C919" s="4">
        <v>9</v>
      </c>
      <c r="D919" s="4">
        <v>192574</v>
      </c>
    </row>
    <row r="920" spans="1:4" x14ac:dyDescent="0.25">
      <c r="A920" t="str">
        <f>T("   830249")</f>
        <v xml:space="preserve">   830249</v>
      </c>
      <c r="B920" t="str">
        <f>T("   AUTRES")</f>
        <v xml:space="preserve">   AUTRES</v>
      </c>
      <c r="C920" s="4">
        <v>399</v>
      </c>
      <c r="D920" s="4">
        <v>852207</v>
      </c>
    </row>
    <row r="921" spans="1:4" x14ac:dyDescent="0.25">
      <c r="A921" t="str">
        <f>T("   830629")</f>
        <v xml:space="preserve">   830629</v>
      </c>
      <c r="B921" t="str">
        <f>T("   AUTRES")</f>
        <v xml:space="preserve">   AUTRES</v>
      </c>
      <c r="C921" s="4">
        <v>43</v>
      </c>
      <c r="D921" s="4">
        <v>495296</v>
      </c>
    </row>
    <row r="922" spans="1:4" x14ac:dyDescent="0.25">
      <c r="A922" t="str">
        <f>T("   830710")</f>
        <v xml:space="preserve">   830710</v>
      </c>
      <c r="B922" t="str">
        <f>T("   EN FER OU EN ACIER")</f>
        <v xml:space="preserve">   EN FER OU EN ACIER</v>
      </c>
      <c r="C922" s="4">
        <v>41</v>
      </c>
      <c r="D922" s="4">
        <v>1682170</v>
      </c>
    </row>
    <row r="923" spans="1:4" x14ac:dyDescent="0.25">
      <c r="A923" t="str">
        <f>T("   830890")</f>
        <v xml:space="preserve">   830890</v>
      </c>
      <c r="B923" t="str">
        <f>T("   AUTRES, Y COMPRIS LES PARTIES")</f>
        <v xml:space="preserve">   AUTRES, Y COMPRIS LES PARTIES</v>
      </c>
      <c r="C923" s="4">
        <v>3232</v>
      </c>
      <c r="D923" s="4">
        <v>6941072</v>
      </c>
    </row>
    <row r="924" spans="1:4" x14ac:dyDescent="0.25">
      <c r="A924" t="str">
        <f>T("   831000")</f>
        <v xml:space="preserve">   831000</v>
      </c>
      <c r="B924" t="str">
        <f>T("   PLAQUES INDICATRICES, PLAQUESENSEIGNES, PLAQUESADRESSES ET PLAQUES SIMILAIRES, CHIFFR")</f>
        <v xml:space="preserve">   PLAQUES INDICATRICES, PLAQUESENSEIGNES, PLAQUESADRESSES ET PLAQUES SIMILAIRES, CHIFFR</v>
      </c>
      <c r="C924" s="4">
        <v>75</v>
      </c>
      <c r="D924" s="4">
        <v>104954</v>
      </c>
    </row>
    <row r="925" spans="1:4" x14ac:dyDescent="0.25">
      <c r="A925" t="str">
        <f>T("   840290")</f>
        <v xml:space="preserve">   840290</v>
      </c>
      <c r="B925" t="str">
        <f>T("   PARTIES")</f>
        <v xml:space="preserve">   PARTIES</v>
      </c>
      <c r="C925" s="4">
        <v>9</v>
      </c>
      <c r="D925" s="4">
        <v>9636160</v>
      </c>
    </row>
    <row r="926" spans="1:4" x14ac:dyDescent="0.25">
      <c r="A926" t="str">
        <f>T("   840490")</f>
        <v xml:space="preserve">   840490</v>
      </c>
      <c r="B926" t="str">
        <f>T("   PARTIES")</f>
        <v xml:space="preserve">   PARTIES</v>
      </c>
      <c r="C926" s="4">
        <v>150</v>
      </c>
      <c r="D926" s="4">
        <v>1828816</v>
      </c>
    </row>
    <row r="927" spans="1:4" x14ac:dyDescent="0.25">
      <c r="A927" t="str">
        <f>T("   840790")</f>
        <v xml:space="preserve">   840790</v>
      </c>
      <c r="B927" t="str">
        <f>T("   AUTRES MOTEURS")</f>
        <v xml:space="preserve">   AUTRES MOTEURS</v>
      </c>
      <c r="C927" s="4">
        <v>2000</v>
      </c>
      <c r="D927" s="4">
        <v>1050000</v>
      </c>
    </row>
    <row r="928" spans="1:4" x14ac:dyDescent="0.25">
      <c r="A928" t="str">
        <f>T("   840820")</f>
        <v xml:space="preserve">   840820</v>
      </c>
      <c r="B928" t="str">
        <f>T("   MOTEURS DES TYPES UTILISES POUR LA PROPULSION DE VEHICULES DU CHAPITRE 87")</f>
        <v xml:space="preserve">   MOTEURS DES TYPES UTILISES POUR LA PROPULSION DE VEHICULES DU CHAPITRE 87</v>
      </c>
      <c r="C928" s="4">
        <v>20860</v>
      </c>
      <c r="D928" s="4">
        <v>2387559</v>
      </c>
    </row>
    <row r="929" spans="1:4" x14ac:dyDescent="0.25">
      <c r="A929" t="str">
        <f>T("   840890")</f>
        <v xml:space="preserve">   840890</v>
      </c>
      <c r="B929" t="str">
        <f>T("   AUTRES MOTEURS")</f>
        <v xml:space="preserve">   AUTRES MOTEURS</v>
      </c>
      <c r="C929" s="4">
        <v>1580</v>
      </c>
      <c r="D929" s="4">
        <v>406995</v>
      </c>
    </row>
    <row r="930" spans="1:4" x14ac:dyDescent="0.25">
      <c r="A930" t="str">
        <f>T("   840991")</f>
        <v xml:space="preserve">   840991</v>
      </c>
      <c r="B930" t="str">
        <f>T("   RECONNAISSABLES COMME ETANT EXCLUSIVEMENT OU PRINCIPALEMENT DESTINEES AUX MOTEURS A")</f>
        <v xml:space="preserve">   RECONNAISSABLES COMME ETANT EXCLUSIVEMENT OU PRINCIPALEMENT DESTINEES AUX MOTEURS A</v>
      </c>
      <c r="C930" s="4">
        <v>1</v>
      </c>
      <c r="D930" s="4">
        <v>50000</v>
      </c>
    </row>
    <row r="931" spans="1:4" x14ac:dyDescent="0.25">
      <c r="A931" t="str">
        <f>T("   840999")</f>
        <v xml:space="preserve">   840999</v>
      </c>
      <c r="B931" t="str">
        <f>T("   AUTRES")</f>
        <v xml:space="preserve">   AUTRES</v>
      </c>
      <c r="C931" s="4">
        <v>2094.5</v>
      </c>
      <c r="D931" s="4">
        <v>16464813</v>
      </c>
    </row>
    <row r="932" spans="1:4" x14ac:dyDescent="0.25">
      <c r="A932" t="str">
        <f>T("   841231")</f>
        <v xml:space="preserve">   841231</v>
      </c>
      <c r="B932" t="str">
        <f>T("   A MOUVEMENT RECTILIGNE (CYLINDRES)")</f>
        <v xml:space="preserve">   A MOUVEMENT RECTILIGNE (CYLINDRES)</v>
      </c>
      <c r="C932" s="4">
        <v>68</v>
      </c>
      <c r="D932" s="4">
        <v>3132151</v>
      </c>
    </row>
    <row r="933" spans="1:4" x14ac:dyDescent="0.25">
      <c r="A933" t="str">
        <f>T("   841290")</f>
        <v xml:space="preserve">   841290</v>
      </c>
      <c r="B933" t="str">
        <f>T("   PARTIES")</f>
        <v xml:space="preserve">   PARTIES</v>
      </c>
      <c r="C933" s="4">
        <v>1006</v>
      </c>
      <c r="D933" s="4">
        <v>14597208</v>
      </c>
    </row>
    <row r="934" spans="1:4" x14ac:dyDescent="0.25">
      <c r="A934" t="str">
        <f>T("   841319")</f>
        <v xml:space="preserve">   841319</v>
      </c>
      <c r="B934" t="str">
        <f>T("   AUTRES")</f>
        <v xml:space="preserve">   AUTRES</v>
      </c>
      <c r="C934" s="4">
        <v>5107</v>
      </c>
      <c r="D934" s="4">
        <v>15114222</v>
      </c>
    </row>
    <row r="935" spans="1:4" x14ac:dyDescent="0.25">
      <c r="A935" t="str">
        <f>T("   841320")</f>
        <v xml:space="preserve">   841320</v>
      </c>
      <c r="B935" t="str">
        <f>T("   POMPES ACTIONNEES A LA MAIN, AUTRES QUE CELLES DES N°S 8413.11 OU 8413.19")</f>
        <v xml:space="preserve">   POMPES ACTIONNEES A LA MAIN, AUTRES QUE CELLES DES N°S 8413.11 OU 8413.19</v>
      </c>
      <c r="C935" s="4">
        <v>67</v>
      </c>
      <c r="D935" s="4">
        <v>116105</v>
      </c>
    </row>
    <row r="936" spans="1:4" x14ac:dyDescent="0.25">
      <c r="A936" t="str">
        <f>T("   841330")</f>
        <v xml:space="preserve">   841330</v>
      </c>
      <c r="B936" t="str">
        <f>T("   POMPES A CARBURANT, A HUILE OU A LIQUIDE DE REFROIDISSEMENT POUR MOTEURS A ALLUMAGE P")</f>
        <v xml:space="preserve">   POMPES A CARBURANT, A HUILE OU A LIQUIDE DE REFROIDISSEMENT POUR MOTEURS A ALLUMAGE P</v>
      </c>
      <c r="C936" s="4">
        <v>185.8</v>
      </c>
      <c r="D936" s="4">
        <v>9753620</v>
      </c>
    </row>
    <row r="937" spans="1:4" x14ac:dyDescent="0.25">
      <c r="A937" t="str">
        <f>T("   841350")</f>
        <v xml:space="preserve">   841350</v>
      </c>
      <c r="B937" t="str">
        <f>T("   Autres pompes volumetriques alternatives")</f>
        <v xml:space="preserve">   Autres pompes volumetriques alternatives</v>
      </c>
      <c r="C937" s="4">
        <v>263</v>
      </c>
      <c r="D937" s="4">
        <v>18935796</v>
      </c>
    </row>
    <row r="938" spans="1:4" x14ac:dyDescent="0.25">
      <c r="A938" t="str">
        <f>T("   841360")</f>
        <v xml:space="preserve">   841360</v>
      </c>
      <c r="B938" t="str">
        <f>T("   Autres pompes volumetriques rotatives")</f>
        <v xml:space="preserve">   Autres pompes volumetriques rotatives</v>
      </c>
      <c r="C938" s="4">
        <v>398</v>
      </c>
      <c r="D938" s="4">
        <v>10270668</v>
      </c>
    </row>
    <row r="939" spans="1:4" x14ac:dyDescent="0.25">
      <c r="A939" t="str">
        <f>T("   841370")</f>
        <v xml:space="preserve">   841370</v>
      </c>
      <c r="B939" t="str">
        <f>T("   Autres pompes centrifuges")</f>
        <v xml:space="preserve">   Autres pompes centrifuges</v>
      </c>
      <c r="C939" s="4">
        <v>8005</v>
      </c>
      <c r="D939" s="4">
        <v>96135157</v>
      </c>
    </row>
    <row r="940" spans="1:4" x14ac:dyDescent="0.25">
      <c r="A940" t="str">
        <f>T("   841381")</f>
        <v xml:space="preserve">   841381</v>
      </c>
      <c r="B940" t="str">
        <f>T("   POMPES")</f>
        <v xml:space="preserve">   POMPES</v>
      </c>
      <c r="C940" s="4">
        <v>1392</v>
      </c>
      <c r="D940" s="4">
        <v>27453718</v>
      </c>
    </row>
    <row r="941" spans="1:4" x14ac:dyDescent="0.25">
      <c r="A941" t="str">
        <f>T("   841391")</f>
        <v xml:space="preserve">   841391</v>
      </c>
      <c r="B941" t="str">
        <f>T("   DE POMPES")</f>
        <v xml:space="preserve">   DE POMPES</v>
      </c>
      <c r="C941" s="4">
        <v>102</v>
      </c>
      <c r="D941" s="4">
        <v>14449047</v>
      </c>
    </row>
    <row r="942" spans="1:4" x14ac:dyDescent="0.25">
      <c r="A942" t="str">
        <f>T("   841420")</f>
        <v xml:space="preserve">   841420</v>
      </c>
      <c r="B942" t="str">
        <f>T("   POMPES A AIR, A MAIN OU A PIED")</f>
        <v xml:space="preserve">   POMPES A AIR, A MAIN OU A PIED</v>
      </c>
      <c r="C942" s="4">
        <v>37</v>
      </c>
      <c r="D942" s="4">
        <v>424500</v>
      </c>
    </row>
    <row r="943" spans="1:4" x14ac:dyDescent="0.25">
      <c r="A943" t="str">
        <f>T("   841430")</f>
        <v xml:space="preserve">   841430</v>
      </c>
      <c r="B943" t="str">
        <f>T("   COMPRESSEURS DES TYPES UTILISES DANS LES EQUIPEMENTS FRIGORIFIQUES")</f>
        <v xml:space="preserve">   COMPRESSEURS DES TYPES UTILISES DANS LES EQUIPEMENTS FRIGORIFIQUES</v>
      </c>
      <c r="C943" s="4">
        <v>3039</v>
      </c>
      <c r="D943" s="4">
        <v>4063115</v>
      </c>
    </row>
    <row r="944" spans="1:4" x14ac:dyDescent="0.25">
      <c r="A944" t="str">
        <f>T("   841440")</f>
        <v xml:space="preserve">   841440</v>
      </c>
      <c r="B944" t="str">
        <f>T("   COMPRESSEURS D'AIR MONTES SUR CHASSIS A ROUES ET REMORQUABLES")</f>
        <v xml:space="preserve">   COMPRESSEURS D'AIR MONTES SUR CHASSIS A ROUES ET REMORQUABLES</v>
      </c>
      <c r="C944" s="4">
        <v>4949</v>
      </c>
      <c r="D944" s="4">
        <v>19191906</v>
      </c>
    </row>
    <row r="945" spans="1:4" x14ac:dyDescent="0.25">
      <c r="A945" t="str">
        <f>T("   841459")</f>
        <v xml:space="preserve">   841459</v>
      </c>
      <c r="B945" t="str">
        <f>T("   AUTRES")</f>
        <v xml:space="preserve">   AUTRES</v>
      </c>
      <c r="C945" s="4">
        <v>159</v>
      </c>
      <c r="D945" s="4">
        <v>3852905</v>
      </c>
    </row>
    <row r="946" spans="1:4" x14ac:dyDescent="0.25">
      <c r="A946" t="str">
        <f>T("   841480")</f>
        <v xml:space="preserve">   841480</v>
      </c>
      <c r="B946" t="str">
        <f>T("   AUTRES")</f>
        <v xml:space="preserve">   AUTRES</v>
      </c>
      <c r="C946" s="4">
        <v>7362</v>
      </c>
      <c r="D946" s="4">
        <v>125797711</v>
      </c>
    </row>
    <row r="947" spans="1:4" x14ac:dyDescent="0.25">
      <c r="A947" t="str">
        <f>T("   841490")</f>
        <v xml:space="preserve">   841490</v>
      </c>
      <c r="B947" t="str">
        <f>T("   PARTIES")</f>
        <v xml:space="preserve">   PARTIES</v>
      </c>
      <c r="C947" s="4">
        <v>1398.1</v>
      </c>
      <c r="D947" s="4">
        <v>29414427</v>
      </c>
    </row>
    <row r="948" spans="1:4" x14ac:dyDescent="0.25">
      <c r="A948" t="str">
        <f>T("   841510")</f>
        <v xml:space="preserve">   841510</v>
      </c>
      <c r="B948" t="str">
        <f>T("   DU TYPE MURAL OU POUR FENETRES, FORMANT UN SEUL CORPS OU DU TYPE «SPLITSYSTEM» (SYST")</f>
        <v xml:space="preserve">   DU TYPE MURAL OU POUR FENETRES, FORMANT UN SEUL CORPS OU DU TYPE «SPLITSYSTEM» (SYST</v>
      </c>
      <c r="C948" s="4">
        <v>11892</v>
      </c>
      <c r="D948" s="4">
        <v>160916282</v>
      </c>
    </row>
    <row r="949" spans="1:4" x14ac:dyDescent="0.25">
      <c r="A949" t="str">
        <f>T("   841590")</f>
        <v xml:space="preserve">   841590</v>
      </c>
      <c r="B949" t="str">
        <f>T("   PARTIES")</f>
        <v xml:space="preserve">   PARTIES</v>
      </c>
      <c r="C949" s="4">
        <v>196</v>
      </c>
      <c r="D949" s="4">
        <v>643925</v>
      </c>
    </row>
    <row r="950" spans="1:4" x14ac:dyDescent="0.25">
      <c r="A950" t="str">
        <f>T("   841690")</f>
        <v xml:space="preserve">   841690</v>
      </c>
      <c r="B950" t="str">
        <f>T("   PARTIES")</f>
        <v xml:space="preserve">   PARTIES</v>
      </c>
      <c r="C950" s="4">
        <v>2</v>
      </c>
      <c r="D950" s="4">
        <v>229540</v>
      </c>
    </row>
    <row r="951" spans="1:4" x14ac:dyDescent="0.25">
      <c r="A951" t="str">
        <f>T("   841780")</f>
        <v xml:space="preserve">   841780</v>
      </c>
      <c r="B951" t="str">
        <f>T("   AUTRES")</f>
        <v xml:space="preserve">   AUTRES</v>
      </c>
      <c r="C951" s="4">
        <v>28</v>
      </c>
      <c r="D951" s="4">
        <v>210000</v>
      </c>
    </row>
    <row r="952" spans="1:4" x14ac:dyDescent="0.25">
      <c r="A952" t="str">
        <f>T("   841829")</f>
        <v xml:space="preserve">   841829</v>
      </c>
      <c r="B952" t="str">
        <f>T("   AUTRES")</f>
        <v xml:space="preserve">   AUTRES</v>
      </c>
      <c r="C952" s="4">
        <v>59777</v>
      </c>
      <c r="D952" s="4">
        <v>34975938</v>
      </c>
    </row>
    <row r="953" spans="1:4" x14ac:dyDescent="0.25">
      <c r="A953" t="str">
        <f>T("   841869")</f>
        <v xml:space="preserve">   841869</v>
      </c>
      <c r="B953" t="str">
        <f>T("   AUTRES")</f>
        <v xml:space="preserve">   AUTRES</v>
      </c>
      <c r="C953" s="4">
        <v>22936</v>
      </c>
      <c r="D953" s="4">
        <v>52120163</v>
      </c>
    </row>
    <row r="954" spans="1:4" x14ac:dyDescent="0.25">
      <c r="A954" t="str">
        <f>T("   841891")</f>
        <v xml:space="preserve">   841891</v>
      </c>
      <c r="B954" t="str">
        <f>T("   Meubles concus pour recevoir un equipement pour la production du froid")</f>
        <v xml:space="preserve">   Meubles concus pour recevoir un equipement pour la production du froid</v>
      </c>
      <c r="C954" s="4">
        <v>8000</v>
      </c>
      <c r="D954" s="4">
        <v>5371656</v>
      </c>
    </row>
    <row r="955" spans="1:4" x14ac:dyDescent="0.25">
      <c r="A955" t="str">
        <f>T("   841899")</f>
        <v xml:space="preserve">   841899</v>
      </c>
      <c r="B955" t="str">
        <f>T("   AUTRES")</f>
        <v xml:space="preserve">   AUTRES</v>
      </c>
      <c r="C955" s="4">
        <v>23407</v>
      </c>
      <c r="D955" s="4">
        <v>69484468</v>
      </c>
    </row>
    <row r="956" spans="1:4" x14ac:dyDescent="0.25">
      <c r="A956" t="str">
        <f>T("   841939")</f>
        <v xml:space="preserve">   841939</v>
      </c>
      <c r="B956" t="str">
        <f>T("   AUTRES")</f>
        <v xml:space="preserve">   AUTRES</v>
      </c>
      <c r="C956" s="4">
        <v>100</v>
      </c>
      <c r="D956" s="4">
        <v>709501</v>
      </c>
    </row>
    <row r="957" spans="1:4" x14ac:dyDescent="0.25">
      <c r="A957" t="str">
        <f>T("   841950")</f>
        <v xml:space="preserve">   841950</v>
      </c>
      <c r="B957" t="str">
        <f>T("   Echangeurs de chaleur")</f>
        <v xml:space="preserve">   Echangeurs de chaleur</v>
      </c>
      <c r="C957" s="4">
        <v>27822</v>
      </c>
      <c r="D957" s="4">
        <v>191775598</v>
      </c>
    </row>
    <row r="958" spans="1:4" x14ac:dyDescent="0.25">
      <c r="A958" t="str">
        <f>T("   842119")</f>
        <v xml:space="preserve">   842119</v>
      </c>
      <c r="B958" t="str">
        <f>T("   AUTRES")</f>
        <v xml:space="preserve">   AUTRES</v>
      </c>
      <c r="C958" s="4">
        <v>459</v>
      </c>
      <c r="D958" s="4">
        <v>1753801</v>
      </c>
    </row>
    <row r="959" spans="1:4" x14ac:dyDescent="0.25">
      <c r="A959" t="str">
        <f>T("   842122")</f>
        <v xml:space="preserve">   842122</v>
      </c>
      <c r="B959" t="str">
        <f>T("   POUR LA FILTRATION OU L'EPURATION DES BOISSONS AUTRES QUE L'EAU")</f>
        <v xml:space="preserve">   POUR LA FILTRATION OU L'EPURATION DES BOISSONS AUTRES QUE L'EAU</v>
      </c>
      <c r="C959" s="4">
        <v>4747</v>
      </c>
      <c r="D959" s="4">
        <v>95903976</v>
      </c>
    </row>
    <row r="960" spans="1:4" x14ac:dyDescent="0.25">
      <c r="A960" t="str">
        <f>T("   842123")</f>
        <v xml:space="preserve">   842123</v>
      </c>
      <c r="B960" t="str">
        <f>T("   POUR LA FILTRATION DES HUILES MINERALES DANS LES MOTEURS A ALLUMAGE PAR ETINCELLES O")</f>
        <v xml:space="preserve">   POUR LA FILTRATION DES HUILES MINERALES DANS LES MOTEURS A ALLUMAGE PAR ETINCELLES O</v>
      </c>
      <c r="C960" s="4">
        <v>17647.7</v>
      </c>
      <c r="D960" s="4">
        <v>481542290</v>
      </c>
    </row>
    <row r="961" spans="1:4" x14ac:dyDescent="0.25">
      <c r="A961" t="str">
        <f>T("   842129")</f>
        <v xml:space="preserve">   842129</v>
      </c>
      <c r="B961" t="str">
        <f>T("   AUTRES")</f>
        <v xml:space="preserve">   AUTRES</v>
      </c>
      <c r="C961" s="4">
        <v>1408</v>
      </c>
      <c r="D961" s="4">
        <v>13080047</v>
      </c>
    </row>
    <row r="962" spans="1:4" x14ac:dyDescent="0.25">
      <c r="A962" t="str">
        <f>T("   842131")</f>
        <v xml:space="preserve">   842131</v>
      </c>
      <c r="B962" t="str">
        <f>T("   FILTRES D'ENTREE D'AIR POUR MOTEURS A ALLUMAGE PAR ETINCELLES OU PAR COMPRESSION")</f>
        <v xml:space="preserve">   FILTRES D'ENTREE D'AIR POUR MOTEURS A ALLUMAGE PAR ETINCELLES OU PAR COMPRESSION</v>
      </c>
      <c r="C962" s="4">
        <v>22812</v>
      </c>
      <c r="D962" s="4">
        <v>123257718</v>
      </c>
    </row>
    <row r="963" spans="1:4" x14ac:dyDescent="0.25">
      <c r="A963" t="str">
        <f>T("   842139")</f>
        <v xml:space="preserve">   842139</v>
      </c>
      <c r="B963" t="str">
        <f>T("   AUTRES")</f>
        <v xml:space="preserve">   AUTRES</v>
      </c>
      <c r="C963" s="4">
        <v>11668</v>
      </c>
      <c r="D963" s="4">
        <v>16492831</v>
      </c>
    </row>
    <row r="964" spans="1:4" x14ac:dyDescent="0.25">
      <c r="A964" t="str">
        <f>T("   842199")</f>
        <v xml:space="preserve">   842199</v>
      </c>
      <c r="B964" t="str">
        <f>T("   AUTRES")</f>
        <v xml:space="preserve">   AUTRES</v>
      </c>
      <c r="C964" s="4">
        <v>13286</v>
      </c>
      <c r="D964" s="4">
        <v>23139266</v>
      </c>
    </row>
    <row r="965" spans="1:4" x14ac:dyDescent="0.25">
      <c r="A965" t="str">
        <f>T("   842211")</f>
        <v xml:space="preserve">   842211</v>
      </c>
      <c r="B965" t="str">
        <f>T("   DE TYPE MENAGER")</f>
        <v xml:space="preserve">   DE TYPE MENAGER</v>
      </c>
      <c r="C965" s="4">
        <v>100</v>
      </c>
      <c r="D965" s="4">
        <v>65538</v>
      </c>
    </row>
    <row r="966" spans="1:4" x14ac:dyDescent="0.25">
      <c r="A966" t="str">
        <f>T("   842220")</f>
        <v xml:space="preserve">   842220</v>
      </c>
      <c r="B966" t="str">
        <f>T("   MACHINES ET APPAREILS SERVANT A NETTOYER OU A SECHER LES BOUTEILLES OU AUTRES RECIPIE")</f>
        <v xml:space="preserve">   MACHINES ET APPAREILS SERVANT A NETTOYER OU A SECHER LES BOUTEILLES OU AUTRES RECIPIE</v>
      </c>
      <c r="C966" s="4">
        <v>600</v>
      </c>
      <c r="D966" s="4">
        <v>3444445</v>
      </c>
    </row>
    <row r="967" spans="1:4" x14ac:dyDescent="0.25">
      <c r="A967" t="str">
        <f>T("   842290")</f>
        <v xml:space="preserve">   842290</v>
      </c>
      <c r="B967" t="str">
        <f>T("   PARTIES")</f>
        <v xml:space="preserve">   PARTIES</v>
      </c>
      <c r="C967" s="4">
        <v>17933.3</v>
      </c>
      <c r="D967" s="4">
        <v>717747013</v>
      </c>
    </row>
    <row r="968" spans="1:4" x14ac:dyDescent="0.25">
      <c r="A968" t="str">
        <f>T("   842381")</f>
        <v xml:space="preserve">   842381</v>
      </c>
      <c r="B968" t="str">
        <f>T("   D'UNE PORTEE N'EXCEDANT PAS 30 KG")</f>
        <v xml:space="preserve">   D'UNE PORTEE N'EXCEDANT PAS 30 KG</v>
      </c>
      <c r="C968" s="4">
        <v>9</v>
      </c>
      <c r="D968" s="4">
        <v>203348</v>
      </c>
    </row>
    <row r="969" spans="1:4" x14ac:dyDescent="0.25">
      <c r="A969" t="str">
        <f>T("   842389")</f>
        <v xml:space="preserve">   842389</v>
      </c>
      <c r="B969" t="str">
        <f>T("   AUTRES")</f>
        <v xml:space="preserve">   AUTRES</v>
      </c>
      <c r="C969" s="4">
        <v>8500</v>
      </c>
      <c r="D969" s="4">
        <v>6839039</v>
      </c>
    </row>
    <row r="970" spans="1:4" x14ac:dyDescent="0.25">
      <c r="A970" t="str">
        <f>T("   842390")</f>
        <v xml:space="preserve">   842390</v>
      </c>
      <c r="B970" t="str">
        <f>T("   POIDS POUR TOUTES BALANCES; PARTIES D'APPAREILS OU INSTRUMENTS DE PESAGE")</f>
        <v xml:space="preserve">   POIDS POUR TOUTES BALANCES; PARTIES D'APPAREILS OU INSTRUMENTS DE PESAGE</v>
      </c>
      <c r="C970" s="4">
        <v>32</v>
      </c>
      <c r="D970" s="4">
        <v>112133</v>
      </c>
    </row>
    <row r="971" spans="1:4" x14ac:dyDescent="0.25">
      <c r="A971" t="str">
        <f>T("   842489")</f>
        <v xml:space="preserve">   842489</v>
      </c>
      <c r="B971" t="str">
        <f>T("   AUTRES")</f>
        <v xml:space="preserve">   AUTRES</v>
      </c>
      <c r="C971" s="4">
        <v>1622</v>
      </c>
      <c r="D971" s="4">
        <v>1975057</v>
      </c>
    </row>
    <row r="972" spans="1:4" x14ac:dyDescent="0.25">
      <c r="A972" t="str">
        <f>T("   842490")</f>
        <v xml:space="preserve">   842490</v>
      </c>
      <c r="B972" t="str">
        <f>T("   PARTIES")</f>
        <v xml:space="preserve">   PARTIES</v>
      </c>
      <c r="C972" s="4">
        <v>630</v>
      </c>
      <c r="D972" s="4">
        <v>7274137</v>
      </c>
    </row>
    <row r="973" spans="1:4" x14ac:dyDescent="0.25">
      <c r="A973" t="str">
        <f>T("   842539")</f>
        <v xml:space="preserve">   842539</v>
      </c>
      <c r="B973" t="str">
        <f>T("   AUTRES")</f>
        <v xml:space="preserve">   AUTRES</v>
      </c>
      <c r="C973" s="4">
        <v>300.5</v>
      </c>
      <c r="D973" s="4">
        <v>2818504</v>
      </c>
    </row>
    <row r="974" spans="1:4" x14ac:dyDescent="0.25">
      <c r="A974" t="str">
        <f>T("   842542")</f>
        <v xml:space="preserve">   842542</v>
      </c>
      <c r="B974" t="str">
        <f>T("   AUTRES CRICS ET VERINS, HYDRAULIQUES")</f>
        <v xml:space="preserve">   AUTRES CRICS ET VERINS, HYDRAULIQUES</v>
      </c>
      <c r="C974" s="4">
        <v>238</v>
      </c>
      <c r="D974" s="4">
        <v>3608856</v>
      </c>
    </row>
    <row r="975" spans="1:4" x14ac:dyDescent="0.25">
      <c r="A975" t="str">
        <f>T("   842649")</f>
        <v xml:space="preserve">   842649</v>
      </c>
      <c r="B975" t="str">
        <f>T("   AUTRES")</f>
        <v xml:space="preserve">   AUTRES</v>
      </c>
      <c r="C975" s="4">
        <v>10231</v>
      </c>
      <c r="D975" s="4">
        <v>60997720</v>
      </c>
    </row>
    <row r="976" spans="1:4" x14ac:dyDescent="0.25">
      <c r="A976" t="str">
        <f>T("   842720")</f>
        <v xml:space="preserve">   842720</v>
      </c>
      <c r="B976" t="str">
        <f>T("   AUTRES CHARIOTS AUTOPROPULSES")</f>
        <v xml:space="preserve">   AUTRES CHARIOTS AUTOPROPULSES</v>
      </c>
      <c r="C976" s="4">
        <v>69090</v>
      </c>
      <c r="D976" s="4">
        <v>32246994</v>
      </c>
    </row>
    <row r="977" spans="1:4" x14ac:dyDescent="0.25">
      <c r="A977" t="str">
        <f>T("   842790")</f>
        <v xml:space="preserve">   842790</v>
      </c>
      <c r="B977" t="str">
        <f>T("   AUTRES CHARIOTS")</f>
        <v xml:space="preserve">   AUTRES CHARIOTS</v>
      </c>
      <c r="C977" s="4">
        <v>7217</v>
      </c>
      <c r="D977" s="4">
        <v>4827105</v>
      </c>
    </row>
    <row r="978" spans="1:4" x14ac:dyDescent="0.25">
      <c r="A978" t="str">
        <f>T("   842820")</f>
        <v xml:space="preserve">   842820</v>
      </c>
      <c r="B978" t="str">
        <f>T("   APPAREILS ELEVATEURS OU TRANSPORTEURS, PNEUMATIQUES")</f>
        <v xml:space="preserve">   APPAREILS ELEVATEURS OU TRANSPORTEURS, PNEUMATIQUES</v>
      </c>
      <c r="C978" s="4">
        <v>2530</v>
      </c>
      <c r="D978" s="4">
        <v>36265092</v>
      </c>
    </row>
    <row r="979" spans="1:4" x14ac:dyDescent="0.25">
      <c r="A979" t="str">
        <f>T("   842890")</f>
        <v xml:space="preserve">   842890</v>
      </c>
      <c r="B979" t="str">
        <f>T("   AUTRES MACHINES ET APPAREILS")</f>
        <v xml:space="preserve">   AUTRES MACHINES ET APPAREILS</v>
      </c>
      <c r="C979" s="4">
        <v>1773</v>
      </c>
      <c r="D979" s="4">
        <v>11704740</v>
      </c>
    </row>
    <row r="980" spans="1:4" x14ac:dyDescent="0.25">
      <c r="A980" t="str">
        <f>T("   842911")</f>
        <v xml:space="preserve">   842911</v>
      </c>
      <c r="B980" t="str">
        <f>T("   A CHENILLES")</f>
        <v xml:space="preserve">   A CHENILLES</v>
      </c>
      <c r="C980" s="4">
        <v>83655</v>
      </c>
      <c r="D980" s="4">
        <v>23503969</v>
      </c>
    </row>
    <row r="981" spans="1:4" x14ac:dyDescent="0.25">
      <c r="A981" t="str">
        <f>T("   842920")</f>
        <v xml:space="preserve">   842920</v>
      </c>
      <c r="B981" t="str">
        <f>T("   NIVELEUSES")</f>
        <v xml:space="preserve">   NIVELEUSES</v>
      </c>
      <c r="C981" s="4">
        <v>220600</v>
      </c>
      <c r="D981" s="4">
        <v>168261149</v>
      </c>
    </row>
    <row r="982" spans="1:4" x14ac:dyDescent="0.25">
      <c r="A982" t="str">
        <f>T("   842940")</f>
        <v xml:space="preserve">   842940</v>
      </c>
      <c r="B982" t="str">
        <f>T("   COMPACTEUSES ET ROULEAUX COMPRESSEURS")</f>
        <v xml:space="preserve">   COMPACTEUSES ET ROULEAUX COMPRESSEURS</v>
      </c>
      <c r="C982" s="4">
        <v>167366</v>
      </c>
      <c r="D982" s="4">
        <v>134326832</v>
      </c>
    </row>
    <row r="983" spans="1:4" x14ac:dyDescent="0.25">
      <c r="A983" t="str">
        <f>T("   842951")</f>
        <v xml:space="preserve">   842951</v>
      </c>
      <c r="B983" t="str">
        <f>T("   CHARGEUSES ET CHARGEUSESPELLETEUSES A CHARGEMENT FRONTAL")</f>
        <v xml:space="preserve">   CHARGEUSES ET CHARGEUSESPELLETEUSES A CHARGEMENT FRONTAL</v>
      </c>
      <c r="C983" s="4">
        <v>287274</v>
      </c>
      <c r="D983" s="4">
        <v>200975572</v>
      </c>
    </row>
    <row r="984" spans="1:4" x14ac:dyDescent="0.25">
      <c r="A984" t="str">
        <f>T("   842959")</f>
        <v xml:space="preserve">   842959</v>
      </c>
      <c r="B984" t="str">
        <f>T("   AUTRES")</f>
        <v xml:space="preserve">   AUTRES</v>
      </c>
      <c r="C984" s="4">
        <v>137428</v>
      </c>
      <c r="D984" s="4">
        <v>409620552</v>
      </c>
    </row>
    <row r="985" spans="1:4" x14ac:dyDescent="0.25">
      <c r="A985" t="str">
        <f>T("   843069")</f>
        <v xml:space="preserve">   843069</v>
      </c>
      <c r="B985" t="str">
        <f>T("   AUTRES")</f>
        <v xml:space="preserve">   AUTRES</v>
      </c>
      <c r="C985" s="4">
        <v>45</v>
      </c>
      <c r="D985" s="4">
        <v>4486478</v>
      </c>
    </row>
    <row r="986" spans="1:4" x14ac:dyDescent="0.25">
      <c r="A986" t="str">
        <f>T("   843139")</f>
        <v xml:space="preserve">   843139</v>
      </c>
      <c r="B986" t="str">
        <f>T("   AUTRES")</f>
        <v xml:space="preserve">   AUTRES</v>
      </c>
      <c r="C986" s="4">
        <v>1645</v>
      </c>
      <c r="D986" s="4">
        <v>24348347</v>
      </c>
    </row>
    <row r="987" spans="1:4" x14ac:dyDescent="0.25">
      <c r="A987" t="str">
        <f>T("   843141")</f>
        <v xml:space="preserve">   843141</v>
      </c>
      <c r="B987" t="str">
        <f>T("   GODETS, BENNES, BENNESPRENEUSES, PELLES, GRAPPINS ET PINCES")</f>
        <v xml:space="preserve">   GODETS, BENNES, BENNESPRENEUSES, PELLES, GRAPPINS ET PINCES</v>
      </c>
      <c r="C987" s="4">
        <v>103710</v>
      </c>
      <c r="D987" s="4">
        <v>179459642</v>
      </c>
    </row>
    <row r="988" spans="1:4" x14ac:dyDescent="0.25">
      <c r="A988" t="str">
        <f>T("   843143")</f>
        <v xml:space="preserve">   843143</v>
      </c>
      <c r="B988" t="str">
        <f>T("   PARTIES DE MACHINES DE SONDAGE OU DE FORAGE DES N°S 8430.41 OU 8430.49")</f>
        <v xml:space="preserve">   PARTIES DE MACHINES DE SONDAGE OU DE FORAGE DES N°S 8430.41 OU 8430.49</v>
      </c>
      <c r="C988" s="4">
        <v>1546</v>
      </c>
      <c r="D988" s="4">
        <v>19709001</v>
      </c>
    </row>
    <row r="989" spans="1:4" x14ac:dyDescent="0.25">
      <c r="A989" t="str">
        <f>T("   843149")</f>
        <v xml:space="preserve">   843149</v>
      </c>
      <c r="B989" t="str">
        <f>T("   AUTRES")</f>
        <v xml:space="preserve">   AUTRES</v>
      </c>
      <c r="C989" s="4">
        <v>35327.14</v>
      </c>
      <c r="D989" s="4">
        <v>189636272</v>
      </c>
    </row>
    <row r="990" spans="1:4" x14ac:dyDescent="0.25">
      <c r="A990" t="str">
        <f>T("   843280")</f>
        <v xml:space="preserve">   843280</v>
      </c>
      <c r="B990" t="str">
        <f>T("   AUTRES MACHINES, APPAREILS ET ENGINS")</f>
        <v xml:space="preserve">   AUTRES MACHINES, APPAREILS ET ENGINS</v>
      </c>
      <c r="C990" s="4">
        <v>24</v>
      </c>
      <c r="D990" s="4">
        <v>400309</v>
      </c>
    </row>
    <row r="991" spans="1:4" x14ac:dyDescent="0.25">
      <c r="A991" t="str">
        <f>T("   843290")</f>
        <v xml:space="preserve">   843290</v>
      </c>
      <c r="B991" t="str">
        <f>T("   PARTIES")</f>
        <v xml:space="preserve">   PARTIES</v>
      </c>
      <c r="C991" s="4">
        <v>88</v>
      </c>
      <c r="D991" s="4">
        <v>1035826</v>
      </c>
    </row>
    <row r="992" spans="1:4" x14ac:dyDescent="0.25">
      <c r="A992" t="str">
        <f>T("   843319")</f>
        <v xml:space="preserve">   843319</v>
      </c>
      <c r="B992" t="str">
        <f>T("   AUTRES")</f>
        <v xml:space="preserve">   AUTRES</v>
      </c>
      <c r="C992" s="4">
        <v>20</v>
      </c>
      <c r="D992" s="4">
        <v>40000</v>
      </c>
    </row>
    <row r="993" spans="1:4" x14ac:dyDescent="0.25">
      <c r="A993" t="str">
        <f>T("   843621")</f>
        <v xml:space="preserve">   843621</v>
      </c>
      <c r="B993" t="str">
        <f>T("   Couveuses et eleveuses")</f>
        <v xml:space="preserve">   Couveuses et eleveuses</v>
      </c>
      <c r="C993" s="4">
        <v>40</v>
      </c>
      <c r="D993" s="4">
        <v>499000</v>
      </c>
    </row>
    <row r="994" spans="1:4" x14ac:dyDescent="0.25">
      <c r="A994" t="str">
        <f>T("   843680")</f>
        <v xml:space="preserve">   843680</v>
      </c>
      <c r="B994" t="str">
        <f>T("   AUTRES MACHINES ET APPAREILS")</f>
        <v xml:space="preserve">   AUTRES MACHINES ET APPAREILS</v>
      </c>
      <c r="C994" s="4">
        <v>102</v>
      </c>
      <c r="D994" s="4">
        <v>5239152</v>
      </c>
    </row>
    <row r="995" spans="1:4" x14ac:dyDescent="0.25">
      <c r="A995" t="str">
        <f>T("   843840")</f>
        <v xml:space="preserve">   843840</v>
      </c>
      <c r="B995" t="str">
        <f>T("   Machines et appareils pour la brasserie")</f>
        <v xml:space="preserve">   Machines et appareils pour la brasserie</v>
      </c>
      <c r="C995" s="4">
        <v>107172</v>
      </c>
      <c r="D995" s="4">
        <v>1090588862</v>
      </c>
    </row>
    <row r="996" spans="1:4" x14ac:dyDescent="0.25">
      <c r="A996" t="str">
        <f>T("   844319")</f>
        <v xml:space="preserve">   844319</v>
      </c>
      <c r="B996" t="str">
        <f>T("   AUTRES")</f>
        <v xml:space="preserve">   AUTRES</v>
      </c>
      <c r="C996" s="4">
        <v>20</v>
      </c>
      <c r="D996" s="4">
        <v>1447048</v>
      </c>
    </row>
    <row r="997" spans="1:4" x14ac:dyDescent="0.25">
      <c r="A997" t="str">
        <f>T("   844391")</f>
        <v xml:space="preserve">   844391</v>
      </c>
      <c r="B997" t="str">
        <f>T("   PARTIES ET ACCESSOIRES DE MACHINES ET D’APPAREILS SERVANT A L’IMPRESSION AU MOYEN DE")</f>
        <v xml:space="preserve">   PARTIES ET ACCESSOIRES DE MACHINES ET D’APPAREILS SERVANT A L’IMPRESSION AU MOYEN DE</v>
      </c>
      <c r="C997" s="4">
        <v>10</v>
      </c>
      <c r="D997" s="4">
        <v>100000</v>
      </c>
    </row>
    <row r="998" spans="1:4" x14ac:dyDescent="0.25">
      <c r="A998" t="str">
        <f>T("   845180")</f>
        <v xml:space="preserve">   845180</v>
      </c>
      <c r="B998" t="str">
        <f>T("   AUTRES MACHINES ET APPAREILS")</f>
        <v xml:space="preserve">   AUTRES MACHINES ET APPAREILS</v>
      </c>
      <c r="C998" s="4">
        <v>492</v>
      </c>
      <c r="D998" s="4">
        <v>3170320</v>
      </c>
    </row>
    <row r="999" spans="1:4" x14ac:dyDescent="0.25">
      <c r="A999" t="str">
        <f>T("   846190")</f>
        <v xml:space="preserve">   846190</v>
      </c>
      <c r="B999" t="str">
        <f>T("   AUTRES")</f>
        <v xml:space="preserve">   AUTRES</v>
      </c>
      <c r="C999" s="4">
        <v>2450</v>
      </c>
      <c r="D999" s="4">
        <v>745000</v>
      </c>
    </row>
    <row r="1000" spans="1:4" x14ac:dyDescent="0.25">
      <c r="A1000" t="str">
        <f>T("   846299")</f>
        <v xml:space="preserve">   846299</v>
      </c>
      <c r="B1000" t="str">
        <f>T("   AUTRES")</f>
        <v xml:space="preserve">   AUTRES</v>
      </c>
      <c r="C1000" s="4">
        <v>115</v>
      </c>
      <c r="D1000" s="4">
        <v>257442</v>
      </c>
    </row>
    <row r="1001" spans="1:4" x14ac:dyDescent="0.25">
      <c r="A1001" t="str">
        <f>T("   846390")</f>
        <v xml:space="preserve">   846390</v>
      </c>
      <c r="B1001" t="str">
        <f>T("   AUTRES")</f>
        <v xml:space="preserve">   AUTRES</v>
      </c>
      <c r="C1001" s="4">
        <v>2530</v>
      </c>
      <c r="D1001" s="4">
        <v>968853</v>
      </c>
    </row>
    <row r="1002" spans="1:4" x14ac:dyDescent="0.25">
      <c r="A1002" t="str">
        <f>T("   846591")</f>
        <v xml:space="preserve">   846591</v>
      </c>
      <c r="B1002" t="str">
        <f>T("   MACHINES A SCIER")</f>
        <v xml:space="preserve">   MACHINES A SCIER</v>
      </c>
      <c r="C1002" s="4">
        <v>49680</v>
      </c>
      <c r="D1002" s="4">
        <v>29316329</v>
      </c>
    </row>
    <row r="1003" spans="1:4" x14ac:dyDescent="0.25">
      <c r="A1003" t="str">
        <f>T("   846599")</f>
        <v xml:space="preserve">   846599</v>
      </c>
      <c r="B1003" t="str">
        <f>T("   AUTRES")</f>
        <v xml:space="preserve">   AUTRES</v>
      </c>
      <c r="C1003" s="4">
        <v>9100</v>
      </c>
      <c r="D1003" s="4">
        <v>5161749</v>
      </c>
    </row>
    <row r="1004" spans="1:4" x14ac:dyDescent="0.25">
      <c r="A1004" t="str">
        <f>T("   846610")</f>
        <v xml:space="preserve">   846610</v>
      </c>
      <c r="B1004" t="str">
        <f>T("   PORTEOUTILS ET FILIERES A DECLENCHEMENT AUTOMATIQUE")</f>
        <v xml:space="preserve">   PORTEOUTILS ET FILIERES A DECLENCHEMENT AUTOMATIQUE</v>
      </c>
      <c r="C1004" s="4">
        <v>0.25</v>
      </c>
      <c r="D1004" s="4">
        <v>700637</v>
      </c>
    </row>
    <row r="1005" spans="1:4" x14ac:dyDescent="0.25">
      <c r="A1005" t="str">
        <f>T("   846630")</f>
        <v xml:space="preserve">   846630</v>
      </c>
      <c r="B1005" t="str">
        <f>T("   DISPOSITIFS DIVISEURS ET AUTRES DISPOSITIFS SPECIAUX SE MONTANT SUR MACHINESOUTILS")</f>
        <v xml:space="preserve">   DISPOSITIFS DIVISEURS ET AUTRES DISPOSITIFS SPECIAUX SE MONTANT SUR MACHINESOUTILS</v>
      </c>
      <c r="C1005" s="4">
        <v>882</v>
      </c>
      <c r="D1005" s="4">
        <v>15633495</v>
      </c>
    </row>
    <row r="1006" spans="1:4" x14ac:dyDescent="0.25">
      <c r="A1006" t="str">
        <f>T("   846711")</f>
        <v xml:space="preserve">   846711</v>
      </c>
      <c r="B1006" t="str">
        <f>T("   ROTATIFS (MEME A PERCUSSION)")</f>
        <v xml:space="preserve">   ROTATIFS (MEME A PERCUSSION)</v>
      </c>
      <c r="C1006" s="4">
        <v>23</v>
      </c>
      <c r="D1006" s="4">
        <v>1920651</v>
      </c>
    </row>
    <row r="1007" spans="1:4" x14ac:dyDescent="0.25">
      <c r="A1007" t="str">
        <f>T("   846729")</f>
        <v xml:space="preserve">   846729</v>
      </c>
      <c r="B1007" t="str">
        <f>T("   AUTRES")</f>
        <v xml:space="preserve">   AUTRES</v>
      </c>
      <c r="C1007" s="4">
        <v>13.5</v>
      </c>
      <c r="D1007" s="4">
        <v>6176742</v>
      </c>
    </row>
    <row r="1008" spans="1:4" x14ac:dyDescent="0.25">
      <c r="A1008" t="str">
        <f>T("   846810")</f>
        <v xml:space="preserve">   846810</v>
      </c>
      <c r="B1008" t="str">
        <f>T("   CHALUMEAUX GUIDES A LA MAIN")</f>
        <v xml:space="preserve">   CHALUMEAUX GUIDES A LA MAIN</v>
      </c>
      <c r="C1008" s="4">
        <v>1</v>
      </c>
      <c r="D1008" s="4">
        <v>489077</v>
      </c>
    </row>
    <row r="1009" spans="1:4" x14ac:dyDescent="0.25">
      <c r="A1009" t="str">
        <f>T("   847130")</f>
        <v xml:space="preserve">   847130</v>
      </c>
      <c r="B1009" t="str">
        <f>T("   MACHINES AUTOMATIQUES DE TRAITEMENT DE L'INFORMATION PORTATIVES, D'UN POIDS N'EXCEDAN")</f>
        <v xml:space="preserve">   MACHINES AUTOMATIQUES DE TRAITEMENT DE L'INFORMATION PORTATIVES, D'UN POIDS N'EXCEDAN</v>
      </c>
      <c r="C1009" s="4">
        <v>102</v>
      </c>
      <c r="D1009" s="4">
        <v>5889373</v>
      </c>
    </row>
    <row r="1010" spans="1:4" x14ac:dyDescent="0.25">
      <c r="A1010" t="str">
        <f>T("   847149")</f>
        <v xml:space="preserve">   847149</v>
      </c>
      <c r="B1010" t="str">
        <f>T("   AUTRES, SE PRESENTANT SOUS FORME DE SYSTEMES")</f>
        <v xml:space="preserve">   AUTRES, SE PRESENTANT SOUS FORME DE SYSTEMES</v>
      </c>
      <c r="C1010" s="4">
        <v>2600</v>
      </c>
      <c r="D1010" s="4">
        <v>888170</v>
      </c>
    </row>
    <row r="1011" spans="1:4" x14ac:dyDescent="0.25">
      <c r="A1011" t="str">
        <f>T("   847180")</f>
        <v xml:space="preserve">   847180</v>
      </c>
      <c r="B1011" t="str">
        <f>T("   AUTRES UNITES DE MACHINES AUTOMATIQUES DE TRAITEMENT DE L'INFORMATION")</f>
        <v xml:space="preserve">   AUTRES UNITES DE MACHINES AUTOMATIQUES DE TRAITEMENT DE L'INFORMATION</v>
      </c>
      <c r="C1011" s="4">
        <v>32753</v>
      </c>
      <c r="D1011" s="4">
        <v>136670567</v>
      </c>
    </row>
    <row r="1012" spans="1:4" x14ac:dyDescent="0.25">
      <c r="A1012" t="str">
        <f>T("   847190")</f>
        <v xml:space="preserve">   847190</v>
      </c>
      <c r="B1012" t="str">
        <f>T("   AUTRES")</f>
        <v xml:space="preserve">   AUTRES</v>
      </c>
      <c r="C1012" s="4">
        <v>5780.5</v>
      </c>
      <c r="D1012" s="4">
        <v>24883563</v>
      </c>
    </row>
    <row r="1013" spans="1:4" x14ac:dyDescent="0.25">
      <c r="A1013" t="str">
        <f>T("   847290")</f>
        <v xml:space="preserve">   847290</v>
      </c>
      <c r="B1013" t="str">
        <f>T("   AUTRES")</f>
        <v xml:space="preserve">   AUTRES</v>
      </c>
      <c r="C1013" s="4">
        <v>202</v>
      </c>
      <c r="D1013" s="4">
        <v>637931</v>
      </c>
    </row>
    <row r="1014" spans="1:4" x14ac:dyDescent="0.25">
      <c r="A1014" t="str">
        <f>T("   847330")</f>
        <v xml:space="preserve">   847330</v>
      </c>
      <c r="B1014" t="str">
        <f>T("   PARTIES ET ACCESSOIRES DES MACHINES DU N° 84.71")</f>
        <v xml:space="preserve">   PARTIES ET ACCESSOIRES DES MACHINES DU N° 84.71</v>
      </c>
      <c r="C1014" s="4">
        <v>789</v>
      </c>
      <c r="D1014" s="4">
        <v>3188556</v>
      </c>
    </row>
    <row r="1015" spans="1:4" x14ac:dyDescent="0.25">
      <c r="A1015" t="str">
        <f>T("   847410")</f>
        <v xml:space="preserve">   847410</v>
      </c>
      <c r="B1015" t="str">
        <f>T("   MACHINES ET APPAREILS A TRIER, CRIBLER, SEPARER OU LAVER")</f>
        <v xml:space="preserve">   MACHINES ET APPAREILS A TRIER, CRIBLER, SEPARER OU LAVER</v>
      </c>
      <c r="C1015" s="4">
        <v>214000</v>
      </c>
      <c r="D1015" s="4">
        <v>29999674</v>
      </c>
    </row>
    <row r="1016" spans="1:4" x14ac:dyDescent="0.25">
      <c r="A1016" t="str">
        <f>T("   847490")</f>
        <v xml:space="preserve">   847490</v>
      </c>
      <c r="B1016" t="str">
        <f>T("   PARTIES")</f>
        <v xml:space="preserve">   PARTIES</v>
      </c>
      <c r="C1016" s="4">
        <v>1226</v>
      </c>
      <c r="D1016" s="4">
        <v>9962721</v>
      </c>
    </row>
    <row r="1017" spans="1:4" x14ac:dyDescent="0.25">
      <c r="A1017" t="str">
        <f>T("   847730")</f>
        <v xml:space="preserve">   847730</v>
      </c>
      <c r="B1017" t="str">
        <f>T("   MACHINES A MOULER PAR SOUFFLAGE")</f>
        <v xml:space="preserve">   MACHINES A MOULER PAR SOUFFLAGE</v>
      </c>
      <c r="C1017" s="4">
        <v>1500</v>
      </c>
      <c r="D1017" s="4">
        <v>3124795</v>
      </c>
    </row>
    <row r="1018" spans="1:4" x14ac:dyDescent="0.25">
      <c r="A1018" t="str">
        <f>T("   847780")</f>
        <v xml:space="preserve">   847780</v>
      </c>
      <c r="B1018" t="str">
        <f>T("   AUTRES MACHINES ET APPAREILS")</f>
        <v xml:space="preserve">   AUTRES MACHINES ET APPAREILS</v>
      </c>
      <c r="C1018" s="4">
        <v>14900</v>
      </c>
      <c r="D1018" s="4">
        <v>281279702</v>
      </c>
    </row>
    <row r="1019" spans="1:4" x14ac:dyDescent="0.25">
      <c r="A1019" t="str">
        <f>T("   847790")</f>
        <v xml:space="preserve">   847790</v>
      </c>
      <c r="B1019" t="str">
        <f>T("   PARTIES")</f>
        <v xml:space="preserve">   PARTIES</v>
      </c>
      <c r="C1019" s="4">
        <v>569</v>
      </c>
      <c r="D1019" s="4">
        <v>3716703</v>
      </c>
    </row>
    <row r="1020" spans="1:4" x14ac:dyDescent="0.25">
      <c r="A1020" t="str">
        <f>T("   847910")</f>
        <v xml:space="preserve">   847910</v>
      </c>
      <c r="B1020" t="str">
        <f>T("   MACHINES ET APPAREILS POUR LES TRAVAUX PUBLICS, LE BATIMENT OU LES TRAVAUX ANALOGUES")</f>
        <v xml:space="preserve">   MACHINES ET APPAREILS POUR LES TRAVAUX PUBLICS, LE BATIMENT OU LES TRAVAUX ANALOGUES</v>
      </c>
      <c r="C1020" s="4">
        <v>9000</v>
      </c>
      <c r="D1020" s="4">
        <v>8500000</v>
      </c>
    </row>
    <row r="1021" spans="1:4" x14ac:dyDescent="0.25">
      <c r="A1021" t="str">
        <f>T("   847920")</f>
        <v xml:space="preserve">   847920</v>
      </c>
      <c r="B1021" t="str">
        <f>T("   MACHINES ET APPAREILS POUR L'EXTRACTION OU LA PREPARATION DES HUILES OU GRAISSES VEGE")</f>
        <v xml:space="preserve">   MACHINES ET APPAREILS POUR L'EXTRACTION OU LA PREPARATION DES HUILES OU GRAISSES VEGE</v>
      </c>
      <c r="C1021" s="4">
        <v>1</v>
      </c>
      <c r="D1021" s="4">
        <v>3254</v>
      </c>
    </row>
    <row r="1022" spans="1:4" x14ac:dyDescent="0.25">
      <c r="A1022" t="str">
        <f>T("   847989")</f>
        <v xml:space="preserve">   847989</v>
      </c>
      <c r="B1022" t="str">
        <f>T("   AUTRES")</f>
        <v xml:space="preserve">   AUTRES</v>
      </c>
      <c r="C1022" s="4">
        <v>29989</v>
      </c>
      <c r="D1022" s="4">
        <v>31760791</v>
      </c>
    </row>
    <row r="1023" spans="1:4" x14ac:dyDescent="0.25">
      <c r="A1023" t="str">
        <f>T("   848120")</f>
        <v xml:space="preserve">   848120</v>
      </c>
      <c r="B1023" t="str">
        <f>T("   VALVES POUR TRANSMISSIONS OLEOHYDRAULIQUES OU PNEUMATIQUES")</f>
        <v xml:space="preserve">   VALVES POUR TRANSMISSIONS OLEOHYDRAULIQUES OU PNEUMATIQUES</v>
      </c>
      <c r="C1023" s="4">
        <v>172.8</v>
      </c>
      <c r="D1023" s="4">
        <v>5177271</v>
      </c>
    </row>
    <row r="1024" spans="1:4" x14ac:dyDescent="0.25">
      <c r="A1024" t="str">
        <f>T("   848130")</f>
        <v xml:space="preserve">   848130</v>
      </c>
      <c r="B1024" t="str">
        <f>T("   Clapets et soupapes de retenue")</f>
        <v xml:space="preserve">   Clapets et soupapes de retenue</v>
      </c>
      <c r="C1024" s="4">
        <v>145</v>
      </c>
      <c r="D1024" s="4">
        <v>1731859</v>
      </c>
    </row>
    <row r="1025" spans="1:4" x14ac:dyDescent="0.25">
      <c r="A1025" t="str">
        <f>T("   848180")</f>
        <v xml:space="preserve">   848180</v>
      </c>
      <c r="B1025" t="str">
        <f>T("   Autres articles de robinetterie et organes similaires")</f>
        <v xml:space="preserve">   Autres articles de robinetterie et organes similaires</v>
      </c>
      <c r="C1025" s="4">
        <v>7099.19</v>
      </c>
      <c r="D1025" s="4">
        <v>202394984</v>
      </c>
    </row>
    <row r="1026" spans="1:4" x14ac:dyDescent="0.25">
      <c r="A1026" t="str">
        <f>T("   848190")</f>
        <v xml:space="preserve">   848190</v>
      </c>
      <c r="B1026" t="str">
        <f>T("   PARTIES")</f>
        <v xml:space="preserve">   PARTIES</v>
      </c>
      <c r="C1026" s="4">
        <v>5</v>
      </c>
      <c r="D1026" s="4">
        <v>642487</v>
      </c>
    </row>
    <row r="1027" spans="1:4" x14ac:dyDescent="0.25">
      <c r="A1027" t="str">
        <f>T("   848210")</f>
        <v xml:space="preserve">   848210</v>
      </c>
      <c r="B1027" t="str">
        <f>T("   ROULEMENTS A BILLES")</f>
        <v xml:space="preserve">   ROULEMENTS A BILLES</v>
      </c>
      <c r="C1027" s="4">
        <v>23</v>
      </c>
      <c r="D1027" s="4">
        <v>760271</v>
      </c>
    </row>
    <row r="1028" spans="1:4" x14ac:dyDescent="0.25">
      <c r="A1028" t="str">
        <f>T("   848250")</f>
        <v xml:space="preserve">   848250</v>
      </c>
      <c r="B1028" t="str">
        <f>T("   ROULEMENTS A ROULEAUX CYLINDRIQUES")</f>
        <v xml:space="preserve">   ROULEMENTS A ROULEAUX CYLINDRIQUES</v>
      </c>
      <c r="C1028" s="4">
        <v>34</v>
      </c>
      <c r="D1028" s="4">
        <v>530613</v>
      </c>
    </row>
    <row r="1029" spans="1:4" x14ac:dyDescent="0.25">
      <c r="A1029" t="str">
        <f>T("   848280")</f>
        <v xml:space="preserve">   848280</v>
      </c>
      <c r="B1029" t="str">
        <f>T("   AUTRES, Y COMPRIS LES ROULEMENTS COMBINES")</f>
        <v xml:space="preserve">   AUTRES, Y COMPRIS LES ROULEMENTS COMBINES</v>
      </c>
      <c r="C1029" s="4">
        <v>252</v>
      </c>
      <c r="D1029" s="4">
        <v>2765388</v>
      </c>
    </row>
    <row r="1030" spans="1:4" x14ac:dyDescent="0.25">
      <c r="A1030" t="str">
        <f>T("   848299")</f>
        <v xml:space="preserve">   848299</v>
      </c>
      <c r="B1030" t="str">
        <f>T("   AUTRES")</f>
        <v xml:space="preserve">   AUTRES</v>
      </c>
      <c r="C1030" s="4">
        <v>103</v>
      </c>
      <c r="D1030" s="4">
        <v>1209649</v>
      </c>
    </row>
    <row r="1031" spans="1:4" x14ac:dyDescent="0.25">
      <c r="A1031" t="str">
        <f>T("   848310")</f>
        <v xml:space="preserve">   848310</v>
      </c>
      <c r="B1031" t="str">
        <f>T("   ARBRES DE TRANSMISSION (Y COMPRIS LES ARBRES A CAMES ET LES VILEBREQUINS) ET MANIVELL")</f>
        <v xml:space="preserve">   ARBRES DE TRANSMISSION (Y COMPRIS LES ARBRES A CAMES ET LES VILEBREQUINS) ET MANIVELL</v>
      </c>
      <c r="C1031" s="4">
        <v>16</v>
      </c>
      <c r="D1031" s="4">
        <v>1872648</v>
      </c>
    </row>
    <row r="1032" spans="1:4" x14ac:dyDescent="0.25">
      <c r="A1032" t="str">
        <f>T("   848340")</f>
        <v xml:space="preserve">   848340</v>
      </c>
      <c r="B1032" t="str">
        <f>T("   ENGRENAGES ET ROUES DE FRICTION, AUTRES QUE LES ROUES DENTEES ET AUTRES ORGANES ELEME")</f>
        <v xml:space="preserve">   ENGRENAGES ET ROUES DE FRICTION, AUTRES QUE LES ROUES DENTEES ET AUTRES ORGANES ELEME</v>
      </c>
      <c r="C1032" s="4">
        <v>2</v>
      </c>
      <c r="D1032" s="4">
        <v>8491403</v>
      </c>
    </row>
    <row r="1033" spans="1:4" x14ac:dyDescent="0.25">
      <c r="A1033" t="str">
        <f>T("   848350")</f>
        <v xml:space="preserve">   848350</v>
      </c>
      <c r="B1033" t="str">
        <f>T("   VOLANTS ET POULIES, Y COMPRIS LES POULIES A MOUFLES")</f>
        <v xml:space="preserve">   VOLANTS ET POULIES, Y COMPRIS LES POULIES A MOUFLES</v>
      </c>
      <c r="C1033" s="4">
        <v>823</v>
      </c>
      <c r="D1033" s="4">
        <v>3870820</v>
      </c>
    </row>
    <row r="1034" spans="1:4" x14ac:dyDescent="0.25">
      <c r="A1034" t="str">
        <f>T("   848360")</f>
        <v xml:space="preserve">   848360</v>
      </c>
      <c r="B1034" t="str">
        <f>T("   EMBRAYAGES ET ORGANES D'ACCOUPLEMENT, Y COMPRIS LES JOINTS D'ARTICULATION")</f>
        <v xml:space="preserve">   EMBRAYAGES ET ORGANES D'ACCOUPLEMENT, Y COMPRIS LES JOINTS D'ARTICULATION</v>
      </c>
      <c r="C1034" s="4">
        <v>200</v>
      </c>
      <c r="D1034" s="4">
        <v>3017056</v>
      </c>
    </row>
    <row r="1035" spans="1:4" x14ac:dyDescent="0.25">
      <c r="A1035" t="str">
        <f>T("   848390")</f>
        <v xml:space="preserve">   848390</v>
      </c>
      <c r="B1035" t="str">
        <f>T("   ROUES DENTEES ET AUTRES ORGANES ELEMENTAIRES DE TRANSMISSION PRESENTES SEPAREMENT; PA")</f>
        <v xml:space="preserve">   ROUES DENTEES ET AUTRES ORGANES ELEMENTAIRES DE TRANSMISSION PRESENTES SEPAREMENT; PA</v>
      </c>
      <c r="C1035" s="4">
        <v>339.89</v>
      </c>
      <c r="D1035" s="4">
        <v>6075325</v>
      </c>
    </row>
    <row r="1036" spans="1:4" x14ac:dyDescent="0.25">
      <c r="A1036" t="str">
        <f>T("   848410")</f>
        <v xml:space="preserve">   848410</v>
      </c>
      <c r="B1036" t="str">
        <f>T("   JOINTS METALLOPLASTIQUES")</f>
        <v xml:space="preserve">   JOINTS METALLOPLASTIQUES</v>
      </c>
      <c r="C1036" s="4">
        <v>2</v>
      </c>
      <c r="D1036" s="4">
        <v>736480</v>
      </c>
    </row>
    <row r="1037" spans="1:4" x14ac:dyDescent="0.25">
      <c r="A1037" t="str">
        <f>T("   848420")</f>
        <v xml:space="preserve">   848420</v>
      </c>
      <c r="B1037" t="str">
        <f>T("   JOINTS D'ETANCHEITE MECANIQUES")</f>
        <v xml:space="preserve">   JOINTS D'ETANCHEITE MECANIQUES</v>
      </c>
      <c r="C1037" s="4">
        <v>3</v>
      </c>
      <c r="D1037" s="4">
        <v>935295</v>
      </c>
    </row>
    <row r="1038" spans="1:4" x14ac:dyDescent="0.25">
      <c r="A1038" t="str">
        <f>T("   848490")</f>
        <v xml:space="preserve">   848490</v>
      </c>
      <c r="B1038" t="str">
        <f>T("   AUTRES")</f>
        <v xml:space="preserve">   AUTRES</v>
      </c>
      <c r="C1038" s="4">
        <v>2332.5</v>
      </c>
      <c r="D1038" s="4">
        <v>46622692</v>
      </c>
    </row>
    <row r="1039" spans="1:4" x14ac:dyDescent="0.25">
      <c r="A1039" t="str">
        <f>T("   848630")</f>
        <v xml:space="preserve">   848630</v>
      </c>
      <c r="B1039" t="str">
        <f>T("   MACHINES ET APPAREILS POUR LA FABRICATION DE DISPOSITIFS D'AFFICHAGE A ECRAN PLAT")</f>
        <v xml:space="preserve">   MACHINES ET APPAREILS POUR LA FABRICATION DE DISPOSITIFS D'AFFICHAGE A ECRAN PLAT</v>
      </c>
      <c r="C1039" s="4">
        <v>500</v>
      </c>
      <c r="D1039" s="4">
        <v>131000</v>
      </c>
    </row>
    <row r="1040" spans="1:4" x14ac:dyDescent="0.25">
      <c r="A1040" t="str">
        <f>T("   850140")</f>
        <v xml:space="preserve">   850140</v>
      </c>
      <c r="B1040" t="str">
        <f>T("   AUTRES MOTEURS A COURANT ALTERNATIF, MONOPHASES")</f>
        <v xml:space="preserve">   AUTRES MOTEURS A COURANT ALTERNATIF, MONOPHASES</v>
      </c>
      <c r="C1040" s="4">
        <v>6</v>
      </c>
      <c r="D1040" s="4">
        <v>1842585</v>
      </c>
    </row>
    <row r="1041" spans="1:4" x14ac:dyDescent="0.25">
      <c r="A1041" t="str">
        <f>T("   850211")</f>
        <v xml:space="preserve">   850211</v>
      </c>
      <c r="B1041" t="str">
        <f>T("   D'UNE PUISSANCE N'EXCEDANT PAS 75 KVA")</f>
        <v xml:space="preserve">   D'UNE PUISSANCE N'EXCEDANT PAS 75 KVA</v>
      </c>
      <c r="C1041" s="4">
        <v>11473</v>
      </c>
      <c r="D1041" s="4">
        <v>3291774</v>
      </c>
    </row>
    <row r="1042" spans="1:4" x14ac:dyDescent="0.25">
      <c r="A1042" t="str">
        <f>T("   850213")</f>
        <v xml:space="preserve">   850213</v>
      </c>
      <c r="B1042" t="str">
        <f>T("   D'UNE PUISSANCE EXCEDANT 375 KVA")</f>
        <v xml:space="preserve">   D'UNE PUISSANCE EXCEDANT 375 KVA</v>
      </c>
      <c r="C1042" s="4">
        <v>62000</v>
      </c>
      <c r="D1042" s="4">
        <v>679574560</v>
      </c>
    </row>
    <row r="1043" spans="1:4" x14ac:dyDescent="0.25">
      <c r="A1043" t="str">
        <f>T("   850239")</f>
        <v xml:space="preserve">   850239</v>
      </c>
      <c r="B1043" t="str">
        <f>T("   AUTRES")</f>
        <v xml:space="preserve">   AUTRES</v>
      </c>
      <c r="C1043" s="4">
        <v>6080</v>
      </c>
      <c r="D1043" s="4">
        <v>8050900</v>
      </c>
    </row>
    <row r="1044" spans="1:4" x14ac:dyDescent="0.25">
      <c r="A1044" t="str">
        <f>T("   850300")</f>
        <v xml:space="preserve">   850300</v>
      </c>
      <c r="B1044" t="str">
        <f>T("   PARTIES RECONNAISSABLES COMME ETANT EXCLUSIVEMENT OU PRINCIPALEMENT DESTINEES AUX MACHI")</f>
        <v xml:space="preserve">   PARTIES RECONNAISSABLES COMME ETANT EXCLUSIVEMENT OU PRINCIPALEMENT DESTINEES AUX MACHI</v>
      </c>
      <c r="C1044" s="4">
        <v>23558.7</v>
      </c>
      <c r="D1044" s="4">
        <v>103818545</v>
      </c>
    </row>
    <row r="1045" spans="1:4" x14ac:dyDescent="0.25">
      <c r="A1045" t="str">
        <f>T("   850410")</f>
        <v xml:space="preserve">   850410</v>
      </c>
      <c r="B1045" t="str">
        <f>T("   BALLASTS POUR LAMPES OU TUBES A DECHARGE")</f>
        <v xml:space="preserve">   BALLASTS POUR LAMPES OU TUBES A DECHARGE</v>
      </c>
      <c r="C1045" s="4">
        <v>2</v>
      </c>
      <c r="D1045" s="4">
        <v>520248</v>
      </c>
    </row>
    <row r="1046" spans="1:4" x14ac:dyDescent="0.25">
      <c r="A1046" t="str">
        <f>T("   850421")</f>
        <v xml:space="preserve">   850421</v>
      </c>
      <c r="B1046" t="str">
        <f>T("   D'UNE PUISSANCE N'EXCEDANT PAS 650 KVA")</f>
        <v xml:space="preserve">   D'UNE PUISSANCE N'EXCEDANT PAS 650 KVA</v>
      </c>
      <c r="C1046" s="4">
        <v>538</v>
      </c>
      <c r="D1046" s="4">
        <v>6014498</v>
      </c>
    </row>
    <row r="1047" spans="1:4" x14ac:dyDescent="0.25">
      <c r="A1047" t="str">
        <f>T("   850422")</f>
        <v xml:space="preserve">   850422</v>
      </c>
      <c r="B1047" t="str">
        <f>T("   D'UNE PUISSANCE EXCEDANT 650 KVA MAIS N'EXCEDANT PAS 10.000 KVA")</f>
        <v xml:space="preserve">   D'UNE PUISSANCE EXCEDANT 650 KVA MAIS N'EXCEDANT PAS 10.000 KVA</v>
      </c>
      <c r="C1047" s="4">
        <v>40000</v>
      </c>
      <c r="D1047" s="4">
        <v>459172000</v>
      </c>
    </row>
    <row r="1048" spans="1:4" x14ac:dyDescent="0.25">
      <c r="A1048" t="str">
        <f>T("   850440")</f>
        <v xml:space="preserve">   850440</v>
      </c>
      <c r="B1048" t="str">
        <f>T("   CONVERTISSEURS STATIQUES")</f>
        <v xml:space="preserve">   CONVERTISSEURS STATIQUES</v>
      </c>
      <c r="C1048" s="4">
        <v>2338</v>
      </c>
      <c r="D1048" s="4">
        <v>21334789</v>
      </c>
    </row>
    <row r="1049" spans="1:4" x14ac:dyDescent="0.25">
      <c r="A1049" t="str">
        <f>T("   850490")</f>
        <v xml:space="preserve">   850490</v>
      </c>
      <c r="B1049" t="str">
        <f>T("   PARTIES")</f>
        <v xml:space="preserve">   PARTIES</v>
      </c>
      <c r="C1049" s="4">
        <v>909</v>
      </c>
      <c r="D1049" s="4">
        <v>10323373</v>
      </c>
    </row>
    <row r="1050" spans="1:4" x14ac:dyDescent="0.25">
      <c r="A1050" t="str">
        <f>T("   850610")</f>
        <v xml:space="preserve">   850610</v>
      </c>
      <c r="B1050" t="str">
        <f>T("   AU BIOXYDE DE MANGANESE")</f>
        <v xml:space="preserve">   AU BIOXYDE DE MANGANESE</v>
      </c>
      <c r="C1050" s="4">
        <v>205</v>
      </c>
      <c r="D1050" s="4">
        <v>1598575</v>
      </c>
    </row>
    <row r="1051" spans="1:4" x14ac:dyDescent="0.25">
      <c r="A1051" t="str">
        <f>T("   850710")</f>
        <v xml:space="preserve">   850710</v>
      </c>
      <c r="B1051" t="str">
        <f>T("   AU PLOMB, DES TYPES UTILISES POUR LE DEMARRAGE DES MOTEURS A PISTON")</f>
        <v xml:space="preserve">   AU PLOMB, DES TYPES UTILISES POUR LE DEMARRAGE DES MOTEURS A PISTON</v>
      </c>
      <c r="C1051" s="4">
        <v>17905</v>
      </c>
      <c r="D1051" s="4">
        <v>5128053</v>
      </c>
    </row>
    <row r="1052" spans="1:4" x14ac:dyDescent="0.25">
      <c r="A1052" t="str">
        <f>T("   850780")</f>
        <v xml:space="preserve">   850780</v>
      </c>
      <c r="B1052" t="str">
        <f>T("   AUTRES ACCUMULATEURS")</f>
        <v xml:space="preserve">   AUTRES ACCUMULATEURS</v>
      </c>
      <c r="C1052" s="4">
        <v>3708</v>
      </c>
      <c r="D1052" s="4">
        <v>31281657</v>
      </c>
    </row>
    <row r="1053" spans="1:4" x14ac:dyDescent="0.25">
      <c r="A1053" t="str">
        <f>T("   850790")</f>
        <v xml:space="preserve">   850790</v>
      </c>
      <c r="B1053" t="str">
        <f>T("   PARTIES")</f>
        <v xml:space="preserve">   PARTIES</v>
      </c>
      <c r="C1053" s="4">
        <v>13</v>
      </c>
      <c r="D1053" s="4">
        <v>1199095</v>
      </c>
    </row>
    <row r="1054" spans="1:4" x14ac:dyDescent="0.25">
      <c r="A1054" t="str">
        <f>T("   850980")</f>
        <v xml:space="preserve">   850980</v>
      </c>
      <c r="B1054" t="str">
        <f>T("   AUTRES APPAREILS")</f>
        <v xml:space="preserve">   AUTRES APPAREILS</v>
      </c>
      <c r="C1054" s="4">
        <v>4330</v>
      </c>
      <c r="D1054" s="4">
        <v>1829219</v>
      </c>
    </row>
    <row r="1055" spans="1:4" x14ac:dyDescent="0.25">
      <c r="A1055" t="str">
        <f>T("   851130")</f>
        <v xml:space="preserve">   851130</v>
      </c>
      <c r="B1055" t="str">
        <f>T("   DISTRIBUTEURS; BOBINES D'ALLUMAGE")</f>
        <v xml:space="preserve">   DISTRIBUTEURS; BOBINES D'ALLUMAGE</v>
      </c>
      <c r="C1055" s="4">
        <v>1</v>
      </c>
      <c r="D1055" s="4">
        <v>210196</v>
      </c>
    </row>
    <row r="1056" spans="1:4" x14ac:dyDescent="0.25">
      <c r="A1056" t="str">
        <f>T("   851140")</f>
        <v xml:space="preserve">   851140</v>
      </c>
      <c r="B1056" t="str">
        <f>T("   Demarreurs, meme fonctionnant comme generatrices")</f>
        <v xml:space="preserve">   Demarreurs, meme fonctionnant comme generatrices</v>
      </c>
      <c r="C1056" s="4">
        <v>21</v>
      </c>
      <c r="D1056" s="4">
        <v>2039120</v>
      </c>
    </row>
    <row r="1057" spans="1:4" x14ac:dyDescent="0.25">
      <c r="A1057" t="str">
        <f>T("   851150")</f>
        <v xml:space="preserve">   851150</v>
      </c>
      <c r="B1057" t="str">
        <f>T("   AUTRES GENERATRICES")</f>
        <v xml:space="preserve">   AUTRES GENERATRICES</v>
      </c>
      <c r="C1057" s="4">
        <v>74</v>
      </c>
      <c r="D1057" s="4">
        <v>1926470</v>
      </c>
    </row>
    <row r="1058" spans="1:4" x14ac:dyDescent="0.25">
      <c r="A1058" t="str">
        <f>T("   851180")</f>
        <v xml:space="preserve">   851180</v>
      </c>
      <c r="B1058" t="str">
        <f>T("   AUTRES APPAREILS ET DISPOSITIFS")</f>
        <v xml:space="preserve">   AUTRES APPAREILS ET DISPOSITIFS</v>
      </c>
      <c r="C1058" s="4">
        <v>89</v>
      </c>
      <c r="D1058" s="4">
        <v>830951</v>
      </c>
    </row>
    <row r="1059" spans="1:4" x14ac:dyDescent="0.25">
      <c r="A1059" t="str">
        <f>T("   851230")</f>
        <v xml:space="preserve">   851230</v>
      </c>
      <c r="B1059" t="str">
        <f>T("   APPAREILS DE SIGNALISATION ACOUSTIQUE")</f>
        <v xml:space="preserve">   APPAREILS DE SIGNALISATION ACOUSTIQUE</v>
      </c>
      <c r="C1059" s="4">
        <v>4</v>
      </c>
      <c r="D1059" s="4">
        <v>67773</v>
      </c>
    </row>
    <row r="1060" spans="1:4" x14ac:dyDescent="0.25">
      <c r="A1060" t="str">
        <f>T("   851240")</f>
        <v xml:space="preserve">   851240</v>
      </c>
      <c r="B1060" t="str">
        <f>T("   ESSUIEGLACES, DEGIVREURS ET DISPOSITIFS ANTIBUEE")</f>
        <v xml:space="preserve">   ESSUIEGLACES, DEGIVREURS ET DISPOSITIFS ANTIBUEE</v>
      </c>
      <c r="C1060" s="4">
        <v>14</v>
      </c>
      <c r="D1060" s="4">
        <v>193548</v>
      </c>
    </row>
    <row r="1061" spans="1:4" x14ac:dyDescent="0.25">
      <c r="A1061" t="str">
        <f>T("   851310")</f>
        <v xml:space="preserve">   851310</v>
      </c>
      <c r="B1061" t="str">
        <f>T("   LAMPES")</f>
        <v xml:space="preserve">   LAMPES</v>
      </c>
      <c r="C1061" s="4">
        <v>232</v>
      </c>
      <c r="D1061" s="4">
        <v>655383</v>
      </c>
    </row>
    <row r="1062" spans="1:4" x14ac:dyDescent="0.25">
      <c r="A1062" t="str">
        <f>T("   851529")</f>
        <v xml:space="preserve">   851529</v>
      </c>
      <c r="B1062" t="str">
        <f>T("   AUTRES")</f>
        <v xml:space="preserve">   AUTRES</v>
      </c>
      <c r="C1062" s="4">
        <v>635</v>
      </c>
      <c r="D1062" s="4">
        <v>656960</v>
      </c>
    </row>
    <row r="1063" spans="1:4" x14ac:dyDescent="0.25">
      <c r="A1063" t="str">
        <f>T("   851539")</f>
        <v xml:space="preserve">   851539</v>
      </c>
      <c r="B1063" t="str">
        <f>T("   AUTRES")</f>
        <v xml:space="preserve">   AUTRES</v>
      </c>
      <c r="C1063" s="4">
        <v>69</v>
      </c>
      <c r="D1063" s="4">
        <v>1812319</v>
      </c>
    </row>
    <row r="1064" spans="1:4" x14ac:dyDescent="0.25">
      <c r="A1064" t="str">
        <f>T("   851679")</f>
        <v xml:space="preserve">   851679</v>
      </c>
      <c r="B1064" t="str">
        <f>T("   AUTRES")</f>
        <v xml:space="preserve">   AUTRES</v>
      </c>
      <c r="C1064" s="4">
        <v>2000</v>
      </c>
      <c r="D1064" s="4">
        <v>635625</v>
      </c>
    </row>
    <row r="1065" spans="1:4" x14ac:dyDescent="0.25">
      <c r="A1065" t="str">
        <f>T("   851680")</f>
        <v xml:space="preserve">   851680</v>
      </c>
      <c r="B1065" t="str">
        <f>T("   Resistances chauffantes")</f>
        <v xml:space="preserve">   Resistances chauffantes</v>
      </c>
      <c r="C1065" s="4">
        <v>0.75</v>
      </c>
      <c r="D1065" s="4">
        <v>172098</v>
      </c>
    </row>
    <row r="1066" spans="1:4" x14ac:dyDescent="0.25">
      <c r="A1066" t="str">
        <f>T("   851712")</f>
        <v xml:space="preserve">   851712</v>
      </c>
      <c r="B1066" t="str">
        <f>T("   TELEPHONES POUR RESEAUX CELLULAIRES ET POUR AUTRES RESEAUX SANS FIL")</f>
        <v xml:space="preserve">   TELEPHONES POUR RESEAUX CELLULAIRES ET POUR AUTRES RESEAUX SANS FIL</v>
      </c>
      <c r="C1066" s="4">
        <v>40079</v>
      </c>
      <c r="D1066" s="4">
        <v>490456437</v>
      </c>
    </row>
    <row r="1067" spans="1:4" x14ac:dyDescent="0.25">
      <c r="A1067" t="str">
        <f>T("   851761")</f>
        <v xml:space="preserve">   851761</v>
      </c>
      <c r="B1067" t="str">
        <f>T("   STATIONS DE BASE")</f>
        <v xml:space="preserve">   STATIONS DE BASE</v>
      </c>
      <c r="C1067" s="4">
        <v>4563</v>
      </c>
      <c r="D1067" s="4">
        <v>81294184</v>
      </c>
    </row>
    <row r="1068" spans="1:4" x14ac:dyDescent="0.25">
      <c r="A1068" t="str">
        <f>T("   851769")</f>
        <v xml:space="preserve">   851769</v>
      </c>
      <c r="B1068" t="str">
        <f>T("   AUTRES")</f>
        <v xml:space="preserve">   AUTRES</v>
      </c>
      <c r="C1068" s="4">
        <v>178</v>
      </c>
      <c r="D1068" s="4">
        <v>3579910</v>
      </c>
    </row>
    <row r="1069" spans="1:4" x14ac:dyDescent="0.25">
      <c r="A1069" t="str">
        <f>T("   851830")</f>
        <v xml:space="preserve">   851830</v>
      </c>
      <c r="B1069" t="str">
        <f>T("   CASQUES D'ECOUTE ET ECOUTEURS, MEME COMBINES AVEC UN MICROPHONE, ET ENSEMBLES OU ASSO")</f>
        <v xml:space="preserve">   CASQUES D'ECOUTE ET ECOUTEURS, MEME COMBINES AVEC UN MICROPHONE, ET ENSEMBLES OU ASSO</v>
      </c>
      <c r="C1069" s="4">
        <v>8</v>
      </c>
      <c r="D1069" s="4">
        <v>100000</v>
      </c>
    </row>
    <row r="1070" spans="1:4" x14ac:dyDescent="0.25">
      <c r="A1070" t="str">
        <f>T("   852359")</f>
        <v xml:space="preserve">   852359</v>
      </c>
      <c r="B1070" t="str">
        <f>T("   AUTRES")</f>
        <v xml:space="preserve">   AUTRES</v>
      </c>
      <c r="C1070" s="4">
        <v>29</v>
      </c>
      <c r="D1070" s="4">
        <v>379397</v>
      </c>
    </row>
    <row r="1071" spans="1:4" x14ac:dyDescent="0.25">
      <c r="A1071" t="str">
        <f>T("   852380")</f>
        <v xml:space="preserve">   852380</v>
      </c>
      <c r="B1071" t="str">
        <f>T("   AUTRES")</f>
        <v xml:space="preserve">   AUTRES</v>
      </c>
      <c r="C1071" s="4">
        <v>15</v>
      </c>
      <c r="D1071" s="4">
        <v>1039113</v>
      </c>
    </row>
    <row r="1072" spans="1:4" x14ac:dyDescent="0.25">
      <c r="A1072" t="str">
        <f>T("   852490")</f>
        <v xml:space="preserve">   852490</v>
      </c>
      <c r="B1072" t="str">
        <f>T("   AUTRES SUPPORTS DU N 85.24 ENREGISTRES, PRODUITS DU CHAPITRE 37 EXCLUS")</f>
        <v xml:space="preserve">   AUTRES SUPPORTS DU N 85.24 ENREGISTRES, PRODUITS DU CHAPITRE 37 EXCLUS</v>
      </c>
      <c r="C1072" s="4">
        <v>65</v>
      </c>
      <c r="D1072" s="4">
        <v>162000</v>
      </c>
    </row>
    <row r="1073" spans="1:4" x14ac:dyDescent="0.25">
      <c r="A1073" t="str">
        <f>T("   852550")</f>
        <v xml:space="preserve">   852550</v>
      </c>
      <c r="B1073" t="str">
        <f>T("   APPAREILS D'EMISSION")</f>
        <v xml:space="preserve">   APPAREILS D'EMISSION</v>
      </c>
      <c r="C1073" s="4">
        <v>115</v>
      </c>
      <c r="D1073" s="4">
        <v>145000</v>
      </c>
    </row>
    <row r="1074" spans="1:4" x14ac:dyDescent="0.25">
      <c r="A1074" t="str">
        <f>T("   852580")</f>
        <v xml:space="preserve">   852580</v>
      </c>
      <c r="B1074" t="str">
        <f>T("   CAMERAS DE TELEVISION, APPAREILS PHOTOGRAPHIQUES NUMERIQUES ET CAMESCOPES")</f>
        <v xml:space="preserve">   CAMERAS DE TELEVISION, APPAREILS PHOTOGRAPHIQUES NUMERIQUES ET CAMESCOPES</v>
      </c>
      <c r="C1074" s="4">
        <v>800</v>
      </c>
      <c r="D1074" s="4">
        <v>3343428</v>
      </c>
    </row>
    <row r="1075" spans="1:4" x14ac:dyDescent="0.25">
      <c r="A1075" t="str">
        <f>T("   852713")</f>
        <v xml:space="preserve">   852713</v>
      </c>
      <c r="B1075" t="str">
        <f>T("   AUTRES APPAREILS COMBINES A UN APPAREIL D'ENREGISTREMENT OU DE REPRODUCTION DU SON")</f>
        <v xml:space="preserve">   AUTRES APPAREILS COMBINES A UN APPAREIL D'ENREGISTREMENT OU DE REPRODUCTION DU SON</v>
      </c>
      <c r="C1075" s="4">
        <v>129</v>
      </c>
      <c r="D1075" s="4">
        <v>423094</v>
      </c>
    </row>
    <row r="1076" spans="1:4" x14ac:dyDescent="0.25">
      <c r="A1076" t="str">
        <f>T("   852849")</f>
        <v xml:space="preserve">   852849</v>
      </c>
      <c r="B1076" t="str">
        <f>T("   AUTRES")</f>
        <v xml:space="preserve">   AUTRES</v>
      </c>
      <c r="C1076" s="4">
        <v>3913</v>
      </c>
      <c r="D1076" s="4">
        <v>2208912</v>
      </c>
    </row>
    <row r="1077" spans="1:4" x14ac:dyDescent="0.25">
      <c r="A1077" t="str">
        <f>T("   852871")</f>
        <v xml:space="preserve">   852871</v>
      </c>
      <c r="B1077" t="str">
        <f>T("   NON CONCUS POUR INCORPORER UN DISPOSITIF D'AFFICHAGE OU UN ECRAN VIDEO")</f>
        <v xml:space="preserve">   NON CONCUS POUR INCORPORER UN DISPOSITIF D'AFFICHAGE OU UN ECRAN VIDEO</v>
      </c>
      <c r="C1077" s="4">
        <v>475</v>
      </c>
      <c r="D1077" s="4">
        <v>9652678</v>
      </c>
    </row>
    <row r="1078" spans="1:4" x14ac:dyDescent="0.25">
      <c r="A1078" t="str">
        <f>T("   852910")</f>
        <v xml:space="preserve">   852910</v>
      </c>
      <c r="B1078" t="str">
        <f>T("   ANTENNES ET REFLECTEURS D’ANTENNES DE TOUS TYPES; PARTIES RECONNAISSABLES COMME ETANT")</f>
        <v xml:space="preserve">   ANTENNES ET REFLECTEURS D’ANTENNES DE TOUS TYPES; PARTIES RECONNAISSABLES COMME ETANT</v>
      </c>
      <c r="C1078" s="4">
        <v>1532</v>
      </c>
      <c r="D1078" s="4">
        <v>10879162</v>
      </c>
    </row>
    <row r="1079" spans="1:4" x14ac:dyDescent="0.25">
      <c r="A1079" t="str">
        <f>T("   852990")</f>
        <v xml:space="preserve">   852990</v>
      </c>
      <c r="B1079" t="str">
        <f>T("   AUTRES")</f>
        <v xml:space="preserve">   AUTRES</v>
      </c>
      <c r="C1079" s="4">
        <v>330</v>
      </c>
      <c r="D1079" s="4">
        <v>624999</v>
      </c>
    </row>
    <row r="1080" spans="1:4" x14ac:dyDescent="0.25">
      <c r="A1080" t="str">
        <f>T("   853120")</f>
        <v xml:space="preserve">   853120</v>
      </c>
      <c r="B1080" t="str">
        <f>T("   PANNEAUX INDICATEURS INCORPORANT DES DISPOSITIFS A CRISTAUX LIQUIDES (LCD) OU A DIODE")</f>
        <v xml:space="preserve">   PANNEAUX INDICATEURS INCORPORANT DES DISPOSITIFS A CRISTAUX LIQUIDES (LCD) OU A DIODE</v>
      </c>
      <c r="C1080" s="4">
        <v>80</v>
      </c>
      <c r="D1080" s="4">
        <v>5150776</v>
      </c>
    </row>
    <row r="1081" spans="1:4" x14ac:dyDescent="0.25">
      <c r="A1081" t="str">
        <f>T("   853180")</f>
        <v xml:space="preserve">   853180</v>
      </c>
      <c r="B1081" t="str">
        <f>T("   AUTRES APPAREILS")</f>
        <v xml:space="preserve">   AUTRES APPAREILS</v>
      </c>
      <c r="C1081" s="4">
        <v>18</v>
      </c>
      <c r="D1081" s="4">
        <v>3601831</v>
      </c>
    </row>
    <row r="1082" spans="1:4" x14ac:dyDescent="0.25">
      <c r="A1082" t="str">
        <f>T("   853190")</f>
        <v xml:space="preserve">   853190</v>
      </c>
      <c r="B1082" t="str">
        <f>T("   PARTIES")</f>
        <v xml:space="preserve">   PARTIES</v>
      </c>
      <c r="C1082" s="4">
        <v>2</v>
      </c>
      <c r="D1082" s="4">
        <v>770202</v>
      </c>
    </row>
    <row r="1083" spans="1:4" x14ac:dyDescent="0.25">
      <c r="A1083" t="str">
        <f>T("   853229")</f>
        <v xml:space="preserve">   853229</v>
      </c>
      <c r="B1083" t="str">
        <f>T("   AUTRES")</f>
        <v xml:space="preserve">   AUTRES</v>
      </c>
      <c r="C1083" s="4">
        <v>2</v>
      </c>
      <c r="D1083" s="4">
        <v>800724</v>
      </c>
    </row>
    <row r="1084" spans="1:4" x14ac:dyDescent="0.25">
      <c r="A1084" t="str">
        <f>T("   853329")</f>
        <v xml:space="preserve">   853329</v>
      </c>
      <c r="B1084" t="str">
        <f>T("   AUTRES")</f>
        <v xml:space="preserve">   AUTRES</v>
      </c>
      <c r="C1084" s="4">
        <v>1</v>
      </c>
      <c r="D1084" s="4">
        <v>25051</v>
      </c>
    </row>
    <row r="1085" spans="1:4" x14ac:dyDescent="0.25">
      <c r="A1085" t="str">
        <f>T("   853339")</f>
        <v xml:space="preserve">   853339</v>
      </c>
      <c r="B1085" t="str">
        <f>T("   AUTRES")</f>
        <v xml:space="preserve">   AUTRES</v>
      </c>
      <c r="C1085" s="4">
        <v>1</v>
      </c>
      <c r="D1085" s="4">
        <v>381132</v>
      </c>
    </row>
    <row r="1086" spans="1:4" x14ac:dyDescent="0.25">
      <c r="A1086" t="str">
        <f>T("   853510")</f>
        <v xml:space="preserve">   853510</v>
      </c>
      <c r="B1086" t="str">
        <f>T("   FUSIBLES ET COUPECIRCUIT A FUSIBLES")</f>
        <v xml:space="preserve">   FUSIBLES ET COUPECIRCUIT A FUSIBLES</v>
      </c>
      <c r="C1086" s="4">
        <v>1284</v>
      </c>
      <c r="D1086" s="4">
        <v>16221235</v>
      </c>
    </row>
    <row r="1087" spans="1:4" x14ac:dyDescent="0.25">
      <c r="A1087" t="str">
        <f>T("   853529")</f>
        <v xml:space="preserve">   853529</v>
      </c>
      <c r="B1087" t="str">
        <f>T("   AUTRES")</f>
        <v xml:space="preserve">   AUTRES</v>
      </c>
      <c r="C1087" s="4">
        <v>2446</v>
      </c>
      <c r="D1087" s="4">
        <v>26824179</v>
      </c>
    </row>
    <row r="1088" spans="1:4" x14ac:dyDescent="0.25">
      <c r="A1088" t="str">
        <f>T("   853540")</f>
        <v xml:space="preserve">   853540</v>
      </c>
      <c r="B1088" t="str">
        <f>T("   PARAFOUDRES, LIMITEURS DE TENSION ET PARASURTENSEURS")</f>
        <v xml:space="preserve">   PARAFOUDRES, LIMITEURS DE TENSION ET PARASURTENSEURS</v>
      </c>
      <c r="C1088" s="4">
        <v>711</v>
      </c>
      <c r="D1088" s="4">
        <v>15154340</v>
      </c>
    </row>
    <row r="1089" spans="1:4" x14ac:dyDescent="0.25">
      <c r="A1089" t="str">
        <f>T("   853590")</f>
        <v xml:space="preserve">   853590</v>
      </c>
      <c r="B1089" t="str">
        <f>T("   AUTRES")</f>
        <v xml:space="preserve">   AUTRES</v>
      </c>
      <c r="C1089" s="4">
        <v>2</v>
      </c>
      <c r="D1089" s="4">
        <v>1760124</v>
      </c>
    </row>
    <row r="1090" spans="1:4" x14ac:dyDescent="0.25">
      <c r="A1090" t="str">
        <f>T("   853620")</f>
        <v xml:space="preserve">   853620</v>
      </c>
      <c r="B1090" t="str">
        <f>T("   DISJONCTEURS")</f>
        <v xml:space="preserve">   DISJONCTEURS</v>
      </c>
      <c r="C1090" s="4">
        <v>2071</v>
      </c>
      <c r="D1090" s="4">
        <v>5539490</v>
      </c>
    </row>
    <row r="1091" spans="1:4" x14ac:dyDescent="0.25">
      <c r="A1091" t="str">
        <f>T("   853630")</f>
        <v xml:space="preserve">   853630</v>
      </c>
      <c r="B1091" t="str">
        <f>T("   AUTRES APPAREILS POUR LA PROTECTION DES CIRCUITS ELECTRIQUES")</f>
        <v xml:space="preserve">   AUTRES APPAREILS POUR LA PROTECTION DES CIRCUITS ELECTRIQUES</v>
      </c>
      <c r="C1091" s="4">
        <v>1093</v>
      </c>
      <c r="D1091" s="4">
        <v>10020157</v>
      </c>
    </row>
    <row r="1092" spans="1:4" x14ac:dyDescent="0.25">
      <c r="A1092" t="str">
        <f>T("   853649")</f>
        <v xml:space="preserve">   853649</v>
      </c>
      <c r="B1092" t="str">
        <f>T("   AUTRES")</f>
        <v xml:space="preserve">   AUTRES</v>
      </c>
      <c r="C1092" s="4">
        <v>18</v>
      </c>
      <c r="D1092" s="4">
        <v>2279094</v>
      </c>
    </row>
    <row r="1093" spans="1:4" x14ac:dyDescent="0.25">
      <c r="A1093" t="str">
        <f>T("   853650")</f>
        <v xml:space="preserve">   853650</v>
      </c>
      <c r="B1093" t="str">
        <f>T("   AUTRES INTERRUPTEURS, SECTIONNEURS ET COMMUTATEURS")</f>
        <v xml:space="preserve">   AUTRES INTERRUPTEURS, SECTIONNEURS ET COMMUTATEURS</v>
      </c>
      <c r="C1093" s="4">
        <v>50.5</v>
      </c>
      <c r="D1093" s="4">
        <v>3047916</v>
      </c>
    </row>
    <row r="1094" spans="1:4" x14ac:dyDescent="0.25">
      <c r="A1094" t="str">
        <f>T("   853661")</f>
        <v xml:space="preserve">   853661</v>
      </c>
      <c r="B1094" t="str">
        <f>T("   DOUILLES POUR LAMPES")</f>
        <v xml:space="preserve">   DOUILLES POUR LAMPES</v>
      </c>
      <c r="C1094" s="4">
        <v>2</v>
      </c>
      <c r="D1094" s="4">
        <v>117686</v>
      </c>
    </row>
    <row r="1095" spans="1:4" x14ac:dyDescent="0.25">
      <c r="A1095" t="str">
        <f>T("   853669")</f>
        <v xml:space="preserve">   853669</v>
      </c>
      <c r="B1095" t="str">
        <f>T("   AUTRES")</f>
        <v xml:space="preserve">   AUTRES</v>
      </c>
      <c r="C1095" s="4">
        <v>497.5</v>
      </c>
      <c r="D1095" s="4">
        <v>9527415</v>
      </c>
    </row>
    <row r="1096" spans="1:4" x14ac:dyDescent="0.25">
      <c r="A1096" t="str">
        <f>T("   853670")</f>
        <v xml:space="preserve">   853670</v>
      </c>
      <c r="B1096" t="str">
        <f>T("   CONNECTEURS POUR FIBRES OPTIQUES, FAISCEAUX OU CABLES DE FIBRES OPTIQUES")</f>
        <v xml:space="preserve">   CONNECTEURS POUR FIBRES OPTIQUES, FAISCEAUX OU CABLES DE FIBRES OPTIQUES</v>
      </c>
      <c r="C1096" s="4">
        <v>44</v>
      </c>
      <c r="D1096" s="4">
        <v>704567</v>
      </c>
    </row>
    <row r="1097" spans="1:4" x14ac:dyDescent="0.25">
      <c r="A1097" t="str">
        <f>T("   853690")</f>
        <v xml:space="preserve">   853690</v>
      </c>
      <c r="B1097" t="str">
        <f>T("   AUTRES APPAREILS")</f>
        <v xml:space="preserve">   AUTRES APPAREILS</v>
      </c>
      <c r="C1097" s="4">
        <v>14200</v>
      </c>
      <c r="D1097" s="4">
        <v>233555657</v>
      </c>
    </row>
    <row r="1098" spans="1:4" x14ac:dyDescent="0.25">
      <c r="A1098" t="str">
        <f>T("   853710")</f>
        <v xml:space="preserve">   853710</v>
      </c>
      <c r="B1098" t="str">
        <f>T("   POUR UNE TENSION N'EXCEDANT PAS 1.000 V")</f>
        <v xml:space="preserve">   POUR UNE TENSION N'EXCEDANT PAS 1.000 V</v>
      </c>
      <c r="C1098" s="4">
        <v>3445.1</v>
      </c>
      <c r="D1098" s="4">
        <v>55268291</v>
      </c>
    </row>
    <row r="1099" spans="1:4" x14ac:dyDescent="0.25">
      <c r="A1099" t="str">
        <f>T("   853810")</f>
        <v xml:space="preserve">   853810</v>
      </c>
      <c r="B1099" t="str">
        <f>T("   TABLEAUX, PANNEAUX, CONSOLES, PUPITRES, ARMOIRES ET AUTRES SUPPORTS DU N° 85.37, DEPO")</f>
        <v xml:space="preserve">   TABLEAUX, PANNEAUX, CONSOLES, PUPITRES, ARMOIRES ET AUTRES SUPPORTS DU N° 85.37, DEPO</v>
      </c>
      <c r="C1099" s="4">
        <v>35766.5</v>
      </c>
      <c r="D1099" s="4">
        <v>648089083</v>
      </c>
    </row>
    <row r="1100" spans="1:4" x14ac:dyDescent="0.25">
      <c r="A1100" t="str">
        <f>T("   853890")</f>
        <v xml:space="preserve">   853890</v>
      </c>
      <c r="B1100" t="str">
        <f>T("   AUTRES")</f>
        <v xml:space="preserve">   AUTRES</v>
      </c>
      <c r="C1100" s="4">
        <v>453.5</v>
      </c>
      <c r="D1100" s="4">
        <v>2271524</v>
      </c>
    </row>
    <row r="1101" spans="1:4" x14ac:dyDescent="0.25">
      <c r="A1101" t="str">
        <f>T("   853931")</f>
        <v xml:space="preserve">   853931</v>
      </c>
      <c r="B1101" t="str">
        <f>T("   FLUORESCENTS, A CATHODE CHAUDE")</f>
        <v xml:space="preserve">   FLUORESCENTS, A CATHODE CHAUDE</v>
      </c>
      <c r="C1101" s="4">
        <v>2249</v>
      </c>
      <c r="D1101" s="4">
        <v>57355486</v>
      </c>
    </row>
    <row r="1102" spans="1:4" x14ac:dyDescent="0.25">
      <c r="A1102" t="str">
        <f>T("   853939")</f>
        <v xml:space="preserve">   853939</v>
      </c>
      <c r="B1102" t="str">
        <f>T("   AUTRES")</f>
        <v xml:space="preserve">   AUTRES</v>
      </c>
      <c r="C1102" s="4">
        <v>7</v>
      </c>
      <c r="D1102" s="4">
        <v>568529</v>
      </c>
    </row>
    <row r="1103" spans="1:4" x14ac:dyDescent="0.25">
      <c r="A1103" t="str">
        <f>T("   853949")</f>
        <v xml:space="preserve">   853949</v>
      </c>
      <c r="B1103" t="str">
        <f>T("   AUTRES")</f>
        <v xml:space="preserve">   AUTRES</v>
      </c>
      <c r="C1103" s="4">
        <v>18</v>
      </c>
      <c r="D1103" s="4">
        <v>1059480</v>
      </c>
    </row>
    <row r="1104" spans="1:4" x14ac:dyDescent="0.25">
      <c r="A1104" t="str">
        <f>T("   854140")</f>
        <v xml:space="preserve">   854140</v>
      </c>
      <c r="B1104" t="str">
        <f>T("   DISPOSITIFS PHOTOSENSIBLES A SEMICONDUCTEUR, Y COMPRIS LES CELLULES PHOTOVOLTAIQUES")</f>
        <v xml:space="preserve">   DISPOSITIFS PHOTOSENSIBLES A SEMICONDUCTEUR, Y COMPRIS LES CELLULES PHOTOVOLTAIQUES</v>
      </c>
      <c r="C1104" s="4">
        <v>2630</v>
      </c>
      <c r="D1104" s="4">
        <v>9850549</v>
      </c>
    </row>
    <row r="1105" spans="1:4" x14ac:dyDescent="0.25">
      <c r="A1105" t="str">
        <f>T("   854150")</f>
        <v xml:space="preserve">   854150</v>
      </c>
      <c r="B1105" t="str">
        <f>T("   AUTRES DISPOSITIFS A SEMICONDUCTEUR")</f>
        <v xml:space="preserve">   AUTRES DISPOSITIFS A SEMICONDUCTEUR</v>
      </c>
      <c r="C1105" s="4">
        <v>9</v>
      </c>
      <c r="D1105" s="4">
        <v>266628</v>
      </c>
    </row>
    <row r="1106" spans="1:4" x14ac:dyDescent="0.25">
      <c r="A1106" t="str">
        <f>T("   854231")</f>
        <v xml:space="preserve">   854231</v>
      </c>
      <c r="B1106" t="str">
        <f>T("   PROCESSEURS ET CONTROLEURS, MEME COMBINES AVEC DES MEMOIRES, DES CONVERTISSEURS, DES")</f>
        <v xml:space="preserve">   PROCESSEURS ET CONTROLEURS, MEME COMBINES AVEC DES MEMOIRES, DES CONVERTISSEURS, DES</v>
      </c>
      <c r="C1106" s="4">
        <v>22</v>
      </c>
      <c r="D1106" s="4">
        <v>3686495</v>
      </c>
    </row>
    <row r="1107" spans="1:4" x14ac:dyDescent="0.25">
      <c r="A1107" t="str">
        <f>T("   854370")</f>
        <v xml:space="preserve">   854370</v>
      </c>
      <c r="B1107" t="str">
        <f>T("   AUTRES MACHINES ET APPAREILS")</f>
        <v xml:space="preserve">   AUTRES MACHINES ET APPAREILS</v>
      </c>
      <c r="C1107" s="4">
        <v>2</v>
      </c>
      <c r="D1107" s="4">
        <v>883578</v>
      </c>
    </row>
    <row r="1108" spans="1:4" x14ac:dyDescent="0.25">
      <c r="A1108" t="str">
        <f>T("   854390")</f>
        <v xml:space="preserve">   854390</v>
      </c>
      <c r="B1108" t="str">
        <f>T("   PARTIES")</f>
        <v xml:space="preserve">   PARTIES</v>
      </c>
      <c r="C1108" s="4">
        <v>4</v>
      </c>
      <c r="D1108" s="4">
        <v>54769</v>
      </c>
    </row>
    <row r="1109" spans="1:4" x14ac:dyDescent="0.25">
      <c r="A1109" t="str">
        <f>T("   854419")</f>
        <v xml:space="preserve">   854419</v>
      </c>
      <c r="B1109" t="str">
        <f>T("   AUTRES")</f>
        <v xml:space="preserve">   AUTRES</v>
      </c>
      <c r="C1109" s="4">
        <v>133</v>
      </c>
      <c r="D1109" s="4">
        <v>1609897</v>
      </c>
    </row>
    <row r="1110" spans="1:4" x14ac:dyDescent="0.25">
      <c r="A1110" t="str">
        <f>T("   854420")</f>
        <v xml:space="preserve">   854420</v>
      </c>
      <c r="B1110" t="str">
        <f>T("   Cables coaxiaux et autres conducteurs electriques coaxiaux")</f>
        <v xml:space="preserve">   Cables coaxiaux et autres conducteurs electriques coaxiaux</v>
      </c>
      <c r="C1110" s="4">
        <v>6054</v>
      </c>
      <c r="D1110" s="4">
        <v>114116224</v>
      </c>
    </row>
    <row r="1111" spans="1:4" x14ac:dyDescent="0.25">
      <c r="A1111" t="str">
        <f>T("   854442")</f>
        <v xml:space="preserve">   854442</v>
      </c>
      <c r="B1111" t="str">
        <f>T("   MUNIS DE PIECES DE CONNEXION")</f>
        <v xml:space="preserve">   MUNIS DE PIECES DE CONNEXION</v>
      </c>
      <c r="C1111" s="4">
        <v>354</v>
      </c>
      <c r="D1111" s="4">
        <v>5372224</v>
      </c>
    </row>
    <row r="1112" spans="1:4" x14ac:dyDescent="0.25">
      <c r="A1112" t="str">
        <f>T("   854449")</f>
        <v xml:space="preserve">   854449</v>
      </c>
      <c r="B1112" t="str">
        <f>T("   AUTRES")</f>
        <v xml:space="preserve">   AUTRES</v>
      </c>
      <c r="C1112" s="4">
        <v>16621.400000000001</v>
      </c>
      <c r="D1112" s="4">
        <v>348355743</v>
      </c>
    </row>
    <row r="1113" spans="1:4" x14ac:dyDescent="0.25">
      <c r="A1113" t="str">
        <f>T("   854460")</f>
        <v xml:space="preserve">   854460</v>
      </c>
      <c r="B1113" t="str">
        <f>T("   AUTRES CONDUCTEURS ELECTRIQUES, POUR TENSIONS EXCEDANT 1.000 V")</f>
        <v xml:space="preserve">   AUTRES CONDUCTEURS ELECTRIQUES, POUR TENSIONS EXCEDANT 1.000 V</v>
      </c>
      <c r="C1113" s="4">
        <v>531</v>
      </c>
      <c r="D1113" s="4">
        <v>1287335</v>
      </c>
    </row>
    <row r="1114" spans="1:4" x14ac:dyDescent="0.25">
      <c r="A1114" t="str">
        <f>T("   854470")</f>
        <v xml:space="preserve">   854470</v>
      </c>
      <c r="B1114" t="str">
        <f>T("   Cables de fibres optiques")</f>
        <v xml:space="preserve">   Cables de fibres optiques</v>
      </c>
      <c r="C1114" s="4">
        <v>23</v>
      </c>
      <c r="D1114" s="4">
        <v>443855</v>
      </c>
    </row>
    <row r="1115" spans="1:4" x14ac:dyDescent="0.25">
      <c r="A1115" t="str">
        <f>T("   854520")</f>
        <v xml:space="preserve">   854520</v>
      </c>
      <c r="B1115" t="str">
        <f>T("   BALAIS")</f>
        <v xml:space="preserve">   BALAIS</v>
      </c>
      <c r="C1115" s="4">
        <v>16</v>
      </c>
      <c r="D1115" s="4">
        <v>2140079</v>
      </c>
    </row>
    <row r="1116" spans="1:4" x14ac:dyDescent="0.25">
      <c r="A1116" t="str">
        <f>T("   854590")</f>
        <v xml:space="preserve">   854590</v>
      </c>
      <c r="B1116" t="str">
        <f>T("   AUTRES")</f>
        <v xml:space="preserve">   AUTRES</v>
      </c>
      <c r="C1116" s="4">
        <v>15</v>
      </c>
      <c r="D1116" s="4">
        <v>825991</v>
      </c>
    </row>
    <row r="1117" spans="1:4" x14ac:dyDescent="0.25">
      <c r="A1117" t="str">
        <f>T("   860400")</f>
        <v xml:space="preserve">   860400</v>
      </c>
      <c r="B1117" t="str">
        <f>T("   VEHICULES POUR L'ENTRETIEN OU LE SERVICE DES VOIES FERREES OU SIMILAIRES, MEME AUTOPROP")</f>
        <v xml:space="preserve">   VEHICULES POUR L'ENTRETIEN OU LE SERVICE DES VOIES FERREES OU SIMILAIRES, MEME AUTOPROP</v>
      </c>
      <c r="C1117" s="4">
        <v>28000</v>
      </c>
      <c r="D1117" s="4">
        <v>77605316</v>
      </c>
    </row>
    <row r="1118" spans="1:4" x14ac:dyDescent="0.25">
      <c r="A1118" t="str">
        <f>T("   860900")</f>
        <v xml:space="preserve">   860900</v>
      </c>
      <c r="B1118" t="str">
        <f>T("   CADRES ET CONTENEURS (Y COMPRIS LES CONTENEURSCITERNES ET LES CONTENEURSRESERVOIRS) S")</f>
        <v xml:space="preserve">   CADRES ET CONTENEURS (Y COMPRIS LES CONTENEURSCITERNES ET LES CONTENEURSRESERVOIRS) S</v>
      </c>
      <c r="C1118" s="4">
        <v>3900</v>
      </c>
      <c r="D1118" s="4">
        <v>1157113</v>
      </c>
    </row>
    <row r="1119" spans="1:4" x14ac:dyDescent="0.25">
      <c r="A1119" t="str">
        <f>T("   870110")</f>
        <v xml:space="preserve">   870110</v>
      </c>
      <c r="B1119" t="str">
        <f>T("   Motoculteurs")</f>
        <v xml:space="preserve">   Motoculteurs</v>
      </c>
      <c r="C1119" s="4">
        <v>9600</v>
      </c>
      <c r="D1119" s="4">
        <v>4509047</v>
      </c>
    </row>
    <row r="1120" spans="1:4" x14ac:dyDescent="0.25">
      <c r="A1120" t="str">
        <f>T("   870120")</f>
        <v xml:space="preserve">   870120</v>
      </c>
      <c r="B1120" t="str">
        <f>T("   TRACTEURS ROUTIERS POUR SEMIREMORQUES")</f>
        <v xml:space="preserve">   TRACTEURS ROUTIERS POUR SEMIREMORQUES</v>
      </c>
      <c r="C1120" s="4">
        <v>2174281</v>
      </c>
      <c r="D1120" s="4">
        <v>772609043</v>
      </c>
    </row>
    <row r="1121" spans="1:4" x14ac:dyDescent="0.25">
      <c r="A1121" t="str">
        <f>T("   870130")</f>
        <v xml:space="preserve">   870130</v>
      </c>
      <c r="B1121" t="str">
        <f>T("   TRACTEURS A CHENILLES")</f>
        <v xml:space="preserve">   TRACTEURS A CHENILLES</v>
      </c>
      <c r="C1121" s="4">
        <v>299672</v>
      </c>
      <c r="D1121" s="4">
        <v>200944315</v>
      </c>
    </row>
    <row r="1122" spans="1:4" x14ac:dyDescent="0.25">
      <c r="A1122" t="str">
        <f>T("   870190")</f>
        <v xml:space="preserve">   870190</v>
      </c>
      <c r="B1122" t="str">
        <f>T("   AUTRES")</f>
        <v xml:space="preserve">   AUTRES</v>
      </c>
      <c r="C1122" s="4">
        <v>97266</v>
      </c>
      <c r="D1122" s="4">
        <v>53603356</v>
      </c>
    </row>
    <row r="1123" spans="1:4" x14ac:dyDescent="0.25">
      <c r="A1123" t="str">
        <f>T("   870210")</f>
        <v xml:space="preserve">   870210</v>
      </c>
      <c r="B1123" t="str">
        <f>T("   A MOTEUR A PISTON A ALLUMAGE PAR COMPRESSION (DIESEL OU SEMIDIESEL)")</f>
        <v xml:space="preserve">   A MOTEUR A PISTON A ALLUMAGE PAR COMPRESSION (DIESEL OU SEMIDIESEL)</v>
      </c>
      <c r="C1123" s="4">
        <v>234330</v>
      </c>
      <c r="D1123" s="4">
        <v>378825076</v>
      </c>
    </row>
    <row r="1124" spans="1:4" x14ac:dyDescent="0.25">
      <c r="A1124" t="str">
        <f>T("   870290")</f>
        <v xml:space="preserve">   870290</v>
      </c>
      <c r="B1124" t="str">
        <f>T("   AUTRES")</f>
        <v xml:space="preserve">   AUTRES</v>
      </c>
      <c r="C1124" s="4">
        <v>97060</v>
      </c>
      <c r="D1124" s="4">
        <v>197562782</v>
      </c>
    </row>
    <row r="1125" spans="1:4" x14ac:dyDescent="0.25">
      <c r="A1125" t="str">
        <f>T("   870321")</f>
        <v xml:space="preserve">   870321</v>
      </c>
      <c r="B1125" t="str">
        <f>T("   D’UNE CYLINDREE N’EXCEDANT PAS 1.000 CM³")</f>
        <v xml:space="preserve">   D’UNE CYLINDREE N’EXCEDANT PAS 1.000 CM³</v>
      </c>
      <c r="C1125" s="4">
        <v>1500</v>
      </c>
      <c r="D1125" s="4">
        <v>2400000</v>
      </c>
    </row>
    <row r="1126" spans="1:4" x14ac:dyDescent="0.25">
      <c r="A1126" t="str">
        <f>T("   870322")</f>
        <v xml:space="preserve">   870322</v>
      </c>
      <c r="B1126" t="str">
        <f>T("   D’UNE CYLINDREE EXCEDANT 1.000 CM³ MAIS N’EXCEDANT PAS 1.500 CM³")</f>
        <v xml:space="preserve">   D’UNE CYLINDREE EXCEDANT 1.000 CM³ MAIS N’EXCEDANT PAS 1.500 CM³</v>
      </c>
      <c r="C1126" s="4">
        <v>693531</v>
      </c>
      <c r="D1126" s="4">
        <v>1685555102</v>
      </c>
    </row>
    <row r="1127" spans="1:4" x14ac:dyDescent="0.25">
      <c r="A1127" t="str">
        <f>T("   870323")</f>
        <v xml:space="preserve">   870323</v>
      </c>
      <c r="B1127" t="str">
        <f>T("   D’UNE CYLINDREE EXCEDANT 1.500 CM³ MAIS N’EXCEDANT PAS 3.000 CM³")</f>
        <v xml:space="preserve">   D’UNE CYLINDREE EXCEDANT 1.500 CM³ MAIS N’EXCEDANT PAS 3.000 CM³</v>
      </c>
      <c r="C1127" s="4">
        <v>2614354</v>
      </c>
      <c r="D1127" s="4">
        <v>4397704892</v>
      </c>
    </row>
    <row r="1128" spans="1:4" x14ac:dyDescent="0.25">
      <c r="A1128" t="str">
        <f>T("   870324")</f>
        <v xml:space="preserve">   870324</v>
      </c>
      <c r="B1128" t="str">
        <f>T("   D’UNE CYLINDREE EXCEDANT 3.000 CM³")</f>
        <v xml:space="preserve">   D’UNE CYLINDREE EXCEDANT 3.000 CM³</v>
      </c>
      <c r="C1128" s="4">
        <v>107172</v>
      </c>
      <c r="D1128" s="4">
        <v>213935998</v>
      </c>
    </row>
    <row r="1129" spans="1:4" x14ac:dyDescent="0.25">
      <c r="A1129" t="str">
        <f>T("   870331")</f>
        <v xml:space="preserve">   870331</v>
      </c>
      <c r="B1129" t="str">
        <f>T("   D'UNE CYLINDREE N'EXCEDANT PAS 1.500 CM³")</f>
        <v xml:space="preserve">   D'UNE CYLINDREE N'EXCEDANT PAS 1.500 CM³</v>
      </c>
      <c r="C1129" s="4">
        <v>3200</v>
      </c>
      <c r="D1129" s="4">
        <v>15965271</v>
      </c>
    </row>
    <row r="1130" spans="1:4" x14ac:dyDescent="0.25">
      <c r="A1130" t="str">
        <f>T("   870332")</f>
        <v xml:space="preserve">   870332</v>
      </c>
      <c r="B1130" t="str">
        <f>T("   D'UNE CYLINDREE EXCEDANT 1.500 CM³ MAIS N'EXCEDANT PAS 2.500 CM³")</f>
        <v xml:space="preserve">   D'UNE CYLINDREE EXCEDANT 1.500 CM³ MAIS N'EXCEDANT PAS 2.500 CM³</v>
      </c>
      <c r="C1130" s="4">
        <v>107557</v>
      </c>
      <c r="D1130" s="4">
        <v>204041266</v>
      </c>
    </row>
    <row r="1131" spans="1:4" x14ac:dyDescent="0.25">
      <c r="A1131" t="str">
        <f>T("   870333")</f>
        <v xml:space="preserve">   870333</v>
      </c>
      <c r="B1131" t="str">
        <f>T("   D'UNE CYLINDREE EXCEDANT 2.500 CM³")</f>
        <v xml:space="preserve">   D'UNE CYLINDREE EXCEDANT 2.500 CM³</v>
      </c>
      <c r="C1131" s="4">
        <v>244329</v>
      </c>
      <c r="D1131" s="4">
        <v>1958919612</v>
      </c>
    </row>
    <row r="1132" spans="1:4" x14ac:dyDescent="0.25">
      <c r="A1132" t="str">
        <f>T("   870421")</f>
        <v xml:space="preserve">   870421</v>
      </c>
      <c r="B1132" t="str">
        <f>T("   D'UN POIDS EN CHARGE MAXIMAL N'EXCEDANT PAS 5 TONNES")</f>
        <v xml:space="preserve">   D'UN POIDS EN CHARGE MAXIMAL N'EXCEDANT PAS 5 TONNES</v>
      </c>
      <c r="C1132" s="4">
        <v>890666</v>
      </c>
      <c r="D1132" s="4">
        <v>3287499574</v>
      </c>
    </row>
    <row r="1133" spans="1:4" x14ac:dyDescent="0.25">
      <c r="A1133" t="str">
        <f>T("   870422")</f>
        <v xml:space="preserve">   870422</v>
      </c>
      <c r="B1133" t="str">
        <f>T("   D'UN POIDS EN CHARGE MAXIMAL EXCEDANT 5 TONNES MAIS N'EXCEDANT PAS 20 TONNES")</f>
        <v xml:space="preserve">   D'UN POIDS EN CHARGE MAXIMAL EXCEDANT 5 TONNES MAIS N'EXCEDANT PAS 20 TONNES</v>
      </c>
      <c r="C1133" s="4">
        <v>563216</v>
      </c>
      <c r="D1133" s="4">
        <v>1033557247</v>
      </c>
    </row>
    <row r="1134" spans="1:4" x14ac:dyDescent="0.25">
      <c r="A1134" t="str">
        <f>T("   870423")</f>
        <v xml:space="preserve">   870423</v>
      </c>
      <c r="B1134" t="str">
        <f>T("   D'UN POIDS EN CHARGE MAXIMAL EXCEDANT 20 TONNES")</f>
        <v xml:space="preserve">   D'UN POIDS EN CHARGE MAXIMAL EXCEDANT 20 TONNES</v>
      </c>
      <c r="C1134" s="4">
        <v>437340</v>
      </c>
      <c r="D1134" s="4">
        <v>113662841</v>
      </c>
    </row>
    <row r="1135" spans="1:4" x14ac:dyDescent="0.25">
      <c r="A1135" t="str">
        <f>T("   870431")</f>
        <v xml:space="preserve">   870431</v>
      </c>
      <c r="B1135" t="str">
        <f>T("   D'UN POIDS EN CHARGE MAXIMAL N'EXCEDANT PAS 5 TONNES")</f>
        <v xml:space="preserve">   D'UN POIDS EN CHARGE MAXIMAL N'EXCEDANT PAS 5 TONNES</v>
      </c>
      <c r="C1135" s="4">
        <v>476563</v>
      </c>
      <c r="D1135" s="4">
        <v>544540274</v>
      </c>
    </row>
    <row r="1136" spans="1:4" x14ac:dyDescent="0.25">
      <c r="A1136" t="str">
        <f>T("   870432")</f>
        <v xml:space="preserve">   870432</v>
      </c>
      <c r="B1136" t="str">
        <f>T("   D'UN POIDS EN CHARGE MAXIMAL EXCEDANT 5 TONNES")</f>
        <v xml:space="preserve">   D'UN POIDS EN CHARGE MAXIMAL EXCEDANT 5 TONNES</v>
      </c>
      <c r="C1136" s="4">
        <v>11850</v>
      </c>
      <c r="D1136" s="4">
        <v>3883580</v>
      </c>
    </row>
    <row r="1137" spans="1:4" x14ac:dyDescent="0.25">
      <c r="A1137" t="str">
        <f>T("   870510")</f>
        <v xml:space="preserve">   870510</v>
      </c>
      <c r="B1137" t="str">
        <f>T("   CAMIONSGRUES")</f>
        <v xml:space="preserve">   CAMIONSGRUES</v>
      </c>
      <c r="C1137" s="4">
        <v>107120</v>
      </c>
      <c r="D1137" s="4">
        <v>65542329</v>
      </c>
    </row>
    <row r="1138" spans="1:4" x14ac:dyDescent="0.25">
      <c r="A1138" t="str">
        <f>T("   870590")</f>
        <v xml:space="preserve">   870590</v>
      </c>
      <c r="B1138" t="str">
        <f>T("   AUTRES")</f>
        <v xml:space="preserve">   AUTRES</v>
      </c>
      <c r="C1138" s="4">
        <v>93650</v>
      </c>
      <c r="D1138" s="4">
        <v>194895363</v>
      </c>
    </row>
    <row r="1139" spans="1:4" x14ac:dyDescent="0.25">
      <c r="A1139" t="str">
        <f>T("   870710")</f>
        <v xml:space="preserve">   870710</v>
      </c>
      <c r="B1139" t="str">
        <f>T("   DES VEHICULES DU N° 87.03")</f>
        <v xml:space="preserve">   DES VEHICULES DU N° 87.03</v>
      </c>
      <c r="C1139" s="4">
        <v>800</v>
      </c>
      <c r="D1139" s="4">
        <v>800000</v>
      </c>
    </row>
    <row r="1140" spans="1:4" x14ac:dyDescent="0.25">
      <c r="A1140" t="str">
        <f>T("   870790")</f>
        <v xml:space="preserve">   870790</v>
      </c>
      <c r="B1140" t="str">
        <f>T("   AUTRES")</f>
        <v xml:space="preserve">   AUTRES</v>
      </c>
      <c r="C1140" s="4">
        <v>21200</v>
      </c>
      <c r="D1140" s="4">
        <v>88076406</v>
      </c>
    </row>
    <row r="1141" spans="1:4" x14ac:dyDescent="0.25">
      <c r="A1141" t="str">
        <f>T("   870829")</f>
        <v xml:space="preserve">   870829</v>
      </c>
      <c r="B1141" t="str">
        <f>T("   AUTRES")</f>
        <v xml:space="preserve">   AUTRES</v>
      </c>
      <c r="C1141" s="4">
        <v>23970</v>
      </c>
      <c r="D1141" s="4">
        <v>84621464</v>
      </c>
    </row>
    <row r="1142" spans="1:4" x14ac:dyDescent="0.25">
      <c r="A1142" t="str">
        <f>T("   870840")</f>
        <v xml:space="preserve">   870840</v>
      </c>
      <c r="B1142" t="str">
        <f>T("   BOITES DE VITESSES ET LEURS PARTIES")</f>
        <v xml:space="preserve">   BOITES DE VITESSES ET LEURS PARTIES</v>
      </c>
      <c r="C1142" s="4">
        <v>1238</v>
      </c>
      <c r="D1142" s="4">
        <v>6150130</v>
      </c>
    </row>
    <row r="1143" spans="1:4" x14ac:dyDescent="0.25">
      <c r="A1143" t="str">
        <f>T("   870892")</f>
        <v xml:space="preserve">   870892</v>
      </c>
      <c r="B1143" t="str">
        <f>T("   SILENCIEUX ET TUYAUX D'ECHAPPEMENT; LEURS PARTIES")</f>
        <v xml:space="preserve">   SILENCIEUX ET TUYAUX D'ECHAPPEMENT; LEURS PARTIES</v>
      </c>
      <c r="C1143" s="4">
        <v>28</v>
      </c>
      <c r="D1143" s="4">
        <v>457511</v>
      </c>
    </row>
    <row r="1144" spans="1:4" x14ac:dyDescent="0.25">
      <c r="A1144" t="str">
        <f>T("   870893")</f>
        <v xml:space="preserve">   870893</v>
      </c>
      <c r="B1144" t="str">
        <f>T("   Embrayages et leurs parties")</f>
        <v xml:space="preserve">   Embrayages et leurs parties</v>
      </c>
      <c r="C1144" s="4">
        <v>85</v>
      </c>
      <c r="D1144" s="4">
        <v>820707</v>
      </c>
    </row>
    <row r="1145" spans="1:4" x14ac:dyDescent="0.25">
      <c r="A1145" t="str">
        <f>T("   870899")</f>
        <v xml:space="preserve">   870899</v>
      </c>
      <c r="B1145" t="str">
        <f>T("   AUTRES")</f>
        <v xml:space="preserve">   AUTRES</v>
      </c>
      <c r="C1145" s="4">
        <v>12293</v>
      </c>
      <c r="D1145" s="4">
        <v>73117247</v>
      </c>
    </row>
    <row r="1146" spans="1:4" x14ac:dyDescent="0.25">
      <c r="A1146" t="str">
        <f>T("   870919")</f>
        <v xml:space="preserve">   870919</v>
      </c>
      <c r="B1146" t="str">
        <f>T("   AUTRES")</f>
        <v xml:space="preserve">   AUTRES</v>
      </c>
      <c r="C1146" s="4">
        <v>17375</v>
      </c>
      <c r="D1146" s="4">
        <v>20100220</v>
      </c>
    </row>
    <row r="1147" spans="1:4" x14ac:dyDescent="0.25">
      <c r="A1147" t="str">
        <f>T("   870990")</f>
        <v xml:space="preserve">   870990</v>
      </c>
      <c r="B1147" t="str">
        <f>T("   PARTIES")</f>
        <v xml:space="preserve">   PARTIES</v>
      </c>
      <c r="C1147" s="4">
        <v>4792</v>
      </c>
      <c r="D1147" s="4">
        <v>32030061</v>
      </c>
    </row>
    <row r="1148" spans="1:4" x14ac:dyDescent="0.25">
      <c r="A1148" t="str">
        <f>T("   871110")</f>
        <v xml:space="preserve">   871110</v>
      </c>
      <c r="B1148" t="str">
        <f>T("   A MOTEUR A PISTON ALTERNATIF, D'UNE CYLINDREE N'EXCEDANT PAS 50 CM³")</f>
        <v xml:space="preserve">   A MOTEUR A PISTON ALTERNATIF, D'UNE CYLINDREE N'EXCEDANT PAS 50 CM³</v>
      </c>
      <c r="C1148" s="4">
        <v>7500</v>
      </c>
      <c r="D1148" s="4">
        <v>3624603</v>
      </c>
    </row>
    <row r="1149" spans="1:4" x14ac:dyDescent="0.25">
      <c r="A1149" t="str">
        <f>T("   871120")</f>
        <v xml:space="preserve">   871120</v>
      </c>
      <c r="B1149" t="str">
        <f>T("   A MOTEUR A PISTON ALTERNATIF, D'UNE CYLINDREE EXCEDANT 50 CM³ MAIS N'EXCEDANT PAS 250")</f>
        <v xml:space="preserve">   A MOTEUR A PISTON ALTERNATIF, D'UNE CYLINDREE EXCEDANT 50 CM³ MAIS N'EXCEDANT PAS 250</v>
      </c>
      <c r="C1149" s="4">
        <v>397</v>
      </c>
      <c r="D1149" s="4">
        <v>680000</v>
      </c>
    </row>
    <row r="1150" spans="1:4" x14ac:dyDescent="0.25">
      <c r="A1150" t="str">
        <f>T("   871130")</f>
        <v xml:space="preserve">   871130</v>
      </c>
      <c r="B1150" t="str">
        <f>T("   A MOTEUR A PISTON ALTERNATIF, D'UNE CYLINDREE EXCEDANT 250 CM³ MAIS N'EXCEDANT PAS 50")</f>
        <v xml:space="preserve">   A MOTEUR A PISTON ALTERNATIF, D'UNE CYLINDREE EXCEDANT 250 CM³ MAIS N'EXCEDANT PAS 50</v>
      </c>
      <c r="C1150" s="4">
        <v>1200</v>
      </c>
      <c r="D1150" s="4">
        <v>1300000</v>
      </c>
    </row>
    <row r="1151" spans="1:4" x14ac:dyDescent="0.25">
      <c r="A1151" t="str">
        <f>T("   871190")</f>
        <v xml:space="preserve">   871190</v>
      </c>
      <c r="B1151" t="str">
        <f>T("   AUTRES")</f>
        <v xml:space="preserve">   AUTRES</v>
      </c>
      <c r="C1151" s="4">
        <v>17000</v>
      </c>
      <c r="D1151" s="4">
        <v>13700774</v>
      </c>
    </row>
    <row r="1152" spans="1:4" x14ac:dyDescent="0.25">
      <c r="A1152" t="str">
        <f>T("   871200")</f>
        <v xml:space="preserve">   871200</v>
      </c>
      <c r="B1152" t="str">
        <f>T("   BICYCLETTES ET AUTRES CYCLES (Y COMPRIS LES TRIPORTEURS), SANS MOTEUR.")</f>
        <v xml:space="preserve">   BICYCLETTES ET AUTRES CYCLES (Y COMPRIS LES TRIPORTEURS), SANS MOTEUR.</v>
      </c>
      <c r="C1152" s="4">
        <v>132111</v>
      </c>
      <c r="D1152" s="4">
        <v>44098258</v>
      </c>
    </row>
    <row r="1153" spans="1:4" x14ac:dyDescent="0.25">
      <c r="A1153" t="str">
        <f>T("   871610")</f>
        <v xml:space="preserve">   871610</v>
      </c>
      <c r="B1153" t="str">
        <f>T("   REMORQUES ET SEMIREMORQUES POUR L'HABITATION OU LE CAMPING, DU TYPE CARAVANE")</f>
        <v xml:space="preserve">   REMORQUES ET SEMIREMORQUES POUR L'HABITATION OU LE CAMPING, DU TYPE CARAVANE</v>
      </c>
      <c r="C1153" s="4">
        <v>2000</v>
      </c>
      <c r="D1153" s="4">
        <v>2000000</v>
      </c>
    </row>
    <row r="1154" spans="1:4" x14ac:dyDescent="0.25">
      <c r="A1154" t="str">
        <f>T("   871620")</f>
        <v xml:space="preserve">   871620</v>
      </c>
      <c r="B1154" t="str">
        <f>T("   REMORQUES ET SEMIREMORQUES AUTOCHARGEUSES OU AUTODECHARGEUSES, POUR USAGES AGRICOLES")</f>
        <v xml:space="preserve">   REMORQUES ET SEMIREMORQUES AUTOCHARGEUSES OU AUTODECHARGEUSES, POUR USAGES AGRICOLES</v>
      </c>
      <c r="C1154" s="4">
        <v>2500</v>
      </c>
      <c r="D1154" s="4">
        <v>2000000</v>
      </c>
    </row>
    <row r="1155" spans="1:4" x14ac:dyDescent="0.25">
      <c r="A1155" t="str">
        <f>T("   871631")</f>
        <v xml:space="preserve">   871631</v>
      </c>
      <c r="B1155" t="str">
        <f>T("   CITERNES")</f>
        <v xml:space="preserve">   CITERNES</v>
      </c>
      <c r="C1155" s="4">
        <v>9000</v>
      </c>
      <c r="D1155" s="4">
        <v>99197952</v>
      </c>
    </row>
    <row r="1156" spans="1:4" x14ac:dyDescent="0.25">
      <c r="A1156" t="str">
        <f>T("   871639")</f>
        <v xml:space="preserve">   871639</v>
      </c>
      <c r="B1156" t="str">
        <f>T("   AUTRES")</f>
        <v xml:space="preserve">   AUTRES</v>
      </c>
      <c r="C1156" s="4">
        <v>348196</v>
      </c>
      <c r="D1156" s="4">
        <v>110749299</v>
      </c>
    </row>
    <row r="1157" spans="1:4" x14ac:dyDescent="0.25">
      <c r="A1157" t="str">
        <f>T("   871640")</f>
        <v xml:space="preserve">   871640</v>
      </c>
      <c r="B1157" t="str">
        <f>T("   AUTRES REMORQUES ET SEMIREMORQUES")</f>
        <v xml:space="preserve">   AUTRES REMORQUES ET SEMIREMORQUES</v>
      </c>
      <c r="C1157" s="4">
        <v>515645</v>
      </c>
      <c r="D1157" s="4">
        <v>214039700</v>
      </c>
    </row>
    <row r="1158" spans="1:4" x14ac:dyDescent="0.25">
      <c r="A1158" t="str">
        <f>T("   871690")</f>
        <v xml:space="preserve">   871690</v>
      </c>
      <c r="B1158" t="str">
        <f>T("   PARTIES")</f>
        <v xml:space="preserve">   PARTIES</v>
      </c>
      <c r="C1158" s="4">
        <v>3500</v>
      </c>
      <c r="D1158" s="4">
        <v>857010</v>
      </c>
    </row>
    <row r="1159" spans="1:4" x14ac:dyDescent="0.25">
      <c r="A1159" t="str">
        <f>T("   890590")</f>
        <v xml:space="preserve">   890590</v>
      </c>
      <c r="B1159" t="str">
        <f>T("   AUTRES")</f>
        <v xml:space="preserve">   AUTRES</v>
      </c>
      <c r="C1159" s="4">
        <v>21000</v>
      </c>
      <c r="D1159" s="4">
        <v>16114595</v>
      </c>
    </row>
    <row r="1160" spans="1:4" x14ac:dyDescent="0.25">
      <c r="A1160" t="str">
        <f>T("   890790")</f>
        <v xml:space="preserve">   890790</v>
      </c>
      <c r="B1160" t="str">
        <f>T("   AUTRES")</f>
        <v xml:space="preserve">   AUTRES</v>
      </c>
      <c r="C1160" s="4">
        <v>108250</v>
      </c>
      <c r="D1160" s="4">
        <v>666114261</v>
      </c>
    </row>
    <row r="1161" spans="1:4" x14ac:dyDescent="0.25">
      <c r="A1161" t="str">
        <f>T("   900659")</f>
        <v xml:space="preserve">   900659</v>
      </c>
      <c r="B1161" t="str">
        <f>T("   AUTRES")</f>
        <v xml:space="preserve">   AUTRES</v>
      </c>
      <c r="C1161" s="4">
        <v>5</v>
      </c>
      <c r="D1161" s="4">
        <v>87384</v>
      </c>
    </row>
    <row r="1162" spans="1:4" x14ac:dyDescent="0.25">
      <c r="A1162" t="str">
        <f>T("   900820")</f>
        <v xml:space="preserve">   900820</v>
      </c>
      <c r="B1162" t="str">
        <f>T("   LECTEURS DE MICROFILMS,MICROFICHES OU AUTRES MICROFORMATS,MEME AVEC TIRAGE")</f>
        <v xml:space="preserve">   LECTEURS DE MICROFILMS,MICROFICHES OU AUTRES MICROFORMATS,MEME AVEC TIRAGE</v>
      </c>
      <c r="C1162" s="4">
        <v>35</v>
      </c>
      <c r="D1162" s="4">
        <v>141032</v>
      </c>
    </row>
    <row r="1163" spans="1:4" x14ac:dyDescent="0.25">
      <c r="A1163" t="str">
        <f>T("   901410")</f>
        <v xml:space="preserve">   901410</v>
      </c>
      <c r="B1163" t="str">
        <f>T("   BOUSSOLES, Y COMPRIS LES COMPAS DE NAVIGATION")</f>
        <v xml:space="preserve">   BOUSSOLES, Y COMPRIS LES COMPAS DE NAVIGATION</v>
      </c>
      <c r="C1163" s="4">
        <v>40</v>
      </c>
      <c r="D1163" s="4">
        <v>486122</v>
      </c>
    </row>
    <row r="1164" spans="1:4" x14ac:dyDescent="0.25">
      <c r="A1164" t="str">
        <f>T("   901580")</f>
        <v xml:space="preserve">   901580</v>
      </c>
      <c r="B1164" t="str">
        <f>T("   AUTRES INSTRUMENTS ET APPAREILS")</f>
        <v xml:space="preserve">   AUTRES INSTRUMENTS ET APPAREILS</v>
      </c>
      <c r="C1164" s="4">
        <v>294</v>
      </c>
      <c r="D1164" s="4">
        <v>9862188</v>
      </c>
    </row>
    <row r="1165" spans="1:4" x14ac:dyDescent="0.25">
      <c r="A1165" t="str">
        <f>T("   901730")</f>
        <v xml:space="preserve">   901730</v>
      </c>
      <c r="B1165" t="str">
        <f>T("   MICROMETRES, PIEDS A COULISSE, CALIBRES ET JAUGES")</f>
        <v xml:space="preserve">   MICROMETRES, PIEDS A COULISSE, CALIBRES ET JAUGES</v>
      </c>
      <c r="C1165" s="4">
        <v>6</v>
      </c>
      <c r="D1165" s="4">
        <v>657192</v>
      </c>
    </row>
    <row r="1166" spans="1:4" x14ac:dyDescent="0.25">
      <c r="A1166" t="str">
        <f>T("   901812")</f>
        <v xml:space="preserve">   901812</v>
      </c>
      <c r="B1166" t="str">
        <f>T("   APPAREILS DE DIAGNOSTIC PAR BALAYAGE ULTRASONIQUE (SCANNERS)")</f>
        <v xml:space="preserve">   APPAREILS DE DIAGNOSTIC PAR BALAYAGE ULTRASONIQUE (SCANNERS)</v>
      </c>
      <c r="C1166" s="4">
        <v>266</v>
      </c>
      <c r="D1166" s="4">
        <v>286290</v>
      </c>
    </row>
    <row r="1167" spans="1:4" x14ac:dyDescent="0.25">
      <c r="A1167" t="str">
        <f>T("   901819")</f>
        <v xml:space="preserve">   901819</v>
      </c>
      <c r="B1167" t="str">
        <f>T("   AUTRES")</f>
        <v xml:space="preserve">   AUTRES</v>
      </c>
      <c r="C1167" s="4">
        <v>3050</v>
      </c>
      <c r="D1167" s="4">
        <v>2138882</v>
      </c>
    </row>
    <row r="1168" spans="1:4" x14ac:dyDescent="0.25">
      <c r="A1168" t="str">
        <f>T("   901839")</f>
        <v xml:space="preserve">   901839</v>
      </c>
      <c r="B1168" t="str">
        <f>T("   AUTRES")</f>
        <v xml:space="preserve">   AUTRES</v>
      </c>
      <c r="C1168" s="4">
        <v>104</v>
      </c>
      <c r="D1168" s="4">
        <v>277471</v>
      </c>
    </row>
    <row r="1169" spans="1:4" x14ac:dyDescent="0.25">
      <c r="A1169" t="str">
        <f>T("   901849")</f>
        <v xml:space="preserve">   901849</v>
      </c>
      <c r="B1169" t="str">
        <f>T("   AUTRES")</f>
        <v xml:space="preserve">   AUTRES</v>
      </c>
      <c r="C1169" s="4">
        <v>681</v>
      </c>
      <c r="D1169" s="4">
        <v>4562202</v>
      </c>
    </row>
    <row r="1170" spans="1:4" x14ac:dyDescent="0.25">
      <c r="A1170" t="str">
        <f>T("   901890")</f>
        <v xml:space="preserve">   901890</v>
      </c>
      <c r="B1170" t="str">
        <f>T("   AUTRES INSTRUMENTS ET APPAREILS")</f>
        <v xml:space="preserve">   AUTRES INSTRUMENTS ET APPAREILS</v>
      </c>
      <c r="C1170" s="4">
        <v>6098.5</v>
      </c>
      <c r="D1170" s="4">
        <v>30964761</v>
      </c>
    </row>
    <row r="1171" spans="1:4" x14ac:dyDescent="0.25">
      <c r="A1171" t="str">
        <f>T("   902000")</f>
        <v xml:space="preserve">   902000</v>
      </c>
      <c r="B1171" t="str">
        <f>T("   AUTRES APPAREILS RESPIRATOIRES ET MASQUES A GAZ, A L'EXCLUSION DES MASQUES DE PROTECTIO")</f>
        <v xml:space="preserve">   AUTRES APPAREILS RESPIRATOIRES ET MASQUES A GAZ, A L'EXCLUSION DES MASQUES DE PROTECTIO</v>
      </c>
      <c r="C1171" s="4">
        <v>61</v>
      </c>
      <c r="D1171" s="4">
        <v>1735705</v>
      </c>
    </row>
    <row r="1172" spans="1:4" x14ac:dyDescent="0.25">
      <c r="A1172" t="str">
        <f>T("   902140")</f>
        <v xml:space="preserve">   902140</v>
      </c>
      <c r="B1172" t="str">
        <f>T("   APPAREILS POUR FACILITER L'AUDITION AUX SOURDS, A L'EXCLUSION DES PARTIES ET ACCESSOI")</f>
        <v xml:space="preserve">   APPAREILS POUR FACILITER L'AUDITION AUX SOURDS, A L'EXCLUSION DES PARTIES ET ACCESSOI</v>
      </c>
      <c r="C1172" s="4">
        <v>86</v>
      </c>
      <c r="D1172" s="4">
        <v>2952476</v>
      </c>
    </row>
    <row r="1173" spans="1:4" x14ac:dyDescent="0.25">
      <c r="A1173" t="str">
        <f>T("   902221")</f>
        <v xml:space="preserve">   902221</v>
      </c>
      <c r="B1173" t="str">
        <f>T("   A USAGE MEDICAL, CHIRURGICAL, DENTAIRE OU VETERINAIRE")</f>
        <v xml:space="preserve">   A USAGE MEDICAL, CHIRURGICAL, DENTAIRE OU VETERINAIRE</v>
      </c>
      <c r="C1173" s="4">
        <v>396</v>
      </c>
      <c r="D1173" s="4">
        <v>3160678</v>
      </c>
    </row>
    <row r="1174" spans="1:4" x14ac:dyDescent="0.25">
      <c r="A1174" t="str">
        <f>T("   902290")</f>
        <v xml:space="preserve">   902290</v>
      </c>
      <c r="B1174" t="str">
        <f>T("   AUTRES, Y COMPRIS LES PARTIES ET ACCESSOIRES")</f>
        <v xml:space="preserve">   AUTRES, Y COMPRIS LES PARTIES ET ACCESSOIRES</v>
      </c>
      <c r="C1174" s="4">
        <v>25</v>
      </c>
      <c r="D1174" s="4">
        <v>264201</v>
      </c>
    </row>
    <row r="1175" spans="1:4" x14ac:dyDescent="0.25">
      <c r="A1175" t="str">
        <f>T("   902519")</f>
        <v xml:space="preserve">   902519</v>
      </c>
      <c r="B1175" t="str">
        <f>T("   AUTRES")</f>
        <v xml:space="preserve">   AUTRES</v>
      </c>
      <c r="C1175" s="4">
        <v>37</v>
      </c>
      <c r="D1175" s="4">
        <v>2101571</v>
      </c>
    </row>
    <row r="1176" spans="1:4" x14ac:dyDescent="0.25">
      <c r="A1176" t="str">
        <f>T("   902580")</f>
        <v xml:space="preserve">   902580</v>
      </c>
      <c r="B1176" t="str">
        <f>T("   AUTRES INSTRUMENTS")</f>
        <v xml:space="preserve">   AUTRES INSTRUMENTS</v>
      </c>
      <c r="C1176" s="4">
        <v>20</v>
      </c>
      <c r="D1176" s="4">
        <v>2830421</v>
      </c>
    </row>
    <row r="1177" spans="1:4" x14ac:dyDescent="0.25">
      <c r="A1177" t="str">
        <f>T("   902590")</f>
        <v xml:space="preserve">   902590</v>
      </c>
      <c r="B1177" t="str">
        <f>T("   PARTIES ET ACCESSOIRES")</f>
        <v xml:space="preserve">   PARTIES ET ACCESSOIRES</v>
      </c>
      <c r="C1177" s="4">
        <v>65.599999999999994</v>
      </c>
      <c r="D1177" s="4">
        <v>3027774</v>
      </c>
    </row>
    <row r="1178" spans="1:4" x14ac:dyDescent="0.25">
      <c r="A1178" t="str">
        <f>T("   902610")</f>
        <v xml:space="preserve">   902610</v>
      </c>
      <c r="B1178" t="str">
        <f>T("   POUR LA MESURE OU LE CONTROLE DU DEBIT OU DU NIVEAU DES LIQUIDES")</f>
        <v xml:space="preserve">   POUR LA MESURE OU LE CONTROLE DU DEBIT OU DU NIVEAU DES LIQUIDES</v>
      </c>
      <c r="C1178" s="4">
        <v>10</v>
      </c>
      <c r="D1178" s="4">
        <v>151527</v>
      </c>
    </row>
    <row r="1179" spans="1:4" x14ac:dyDescent="0.25">
      <c r="A1179" t="str">
        <f>T("   902620")</f>
        <v xml:space="preserve">   902620</v>
      </c>
      <c r="B1179" t="str">
        <f>T("   POUR LA MESURE OU LE CONTROLE DE LA PRESSION")</f>
        <v xml:space="preserve">   POUR LA MESURE OU LE CONTROLE DE LA PRESSION</v>
      </c>
      <c r="C1179" s="4">
        <v>35</v>
      </c>
      <c r="D1179" s="4">
        <v>5931191</v>
      </c>
    </row>
    <row r="1180" spans="1:4" x14ac:dyDescent="0.25">
      <c r="A1180" t="str">
        <f>T("   902680")</f>
        <v xml:space="preserve">   902680</v>
      </c>
      <c r="B1180" t="str">
        <f>T("   AUTRES INSTRUMENTS ET APPAREILS")</f>
        <v xml:space="preserve">   AUTRES INSTRUMENTS ET APPAREILS</v>
      </c>
      <c r="C1180" s="4">
        <v>58</v>
      </c>
      <c r="D1180" s="4">
        <v>924772</v>
      </c>
    </row>
    <row r="1181" spans="1:4" x14ac:dyDescent="0.25">
      <c r="A1181" t="str">
        <f>T("   902710")</f>
        <v xml:space="preserve">   902710</v>
      </c>
      <c r="B1181" t="str">
        <f>T("   ANALYSEURS DE GAZ OU DE FUMEES")</f>
        <v xml:space="preserve">   ANALYSEURS DE GAZ OU DE FUMEES</v>
      </c>
      <c r="C1181" s="4">
        <v>7</v>
      </c>
      <c r="D1181" s="4">
        <v>1184330</v>
      </c>
    </row>
    <row r="1182" spans="1:4" x14ac:dyDescent="0.25">
      <c r="A1182" t="str">
        <f>T("   902750")</f>
        <v xml:space="preserve">   902750</v>
      </c>
      <c r="B1182" t="str">
        <f>T("   AUTRES INSTRUMENTS ET APPAREILS UTILISANT LES RAYONNEMENTS OPTIQUES (UV, VISIBLES, IR")</f>
        <v xml:space="preserve">   AUTRES INSTRUMENTS ET APPAREILS UTILISANT LES RAYONNEMENTS OPTIQUES (UV, VISIBLES, IR</v>
      </c>
      <c r="C1182" s="4">
        <v>22.7</v>
      </c>
      <c r="D1182" s="4">
        <v>10349645</v>
      </c>
    </row>
    <row r="1183" spans="1:4" x14ac:dyDescent="0.25">
      <c r="A1183" t="str">
        <f>T("   902780")</f>
        <v xml:space="preserve">   902780</v>
      </c>
      <c r="B1183" t="str">
        <f>T("   AUTRES INSTRUMENTS ET APPAREILS")</f>
        <v xml:space="preserve">   AUTRES INSTRUMENTS ET APPAREILS</v>
      </c>
      <c r="C1183" s="4">
        <v>41</v>
      </c>
      <c r="D1183" s="4">
        <v>29011319</v>
      </c>
    </row>
    <row r="1184" spans="1:4" x14ac:dyDescent="0.25">
      <c r="A1184" t="str">
        <f>T("   902790")</f>
        <v xml:space="preserve">   902790</v>
      </c>
      <c r="B1184" t="str">
        <f>T("   MICROTOMES; PARTIES ET ACCESSOIRES")</f>
        <v xml:space="preserve">   MICROTOMES; PARTIES ET ACCESSOIRES</v>
      </c>
      <c r="C1184" s="4">
        <v>61.5</v>
      </c>
      <c r="D1184" s="4">
        <v>9063392</v>
      </c>
    </row>
    <row r="1185" spans="1:4" x14ac:dyDescent="0.25">
      <c r="A1185" t="str">
        <f>T("   902820")</f>
        <v xml:space="preserve">   902820</v>
      </c>
      <c r="B1185" t="str">
        <f>T("   Compteurs de liquides")</f>
        <v xml:space="preserve">   Compteurs de liquides</v>
      </c>
      <c r="C1185" s="4">
        <v>7505</v>
      </c>
      <c r="D1185" s="4">
        <v>135183229</v>
      </c>
    </row>
    <row r="1186" spans="1:4" x14ac:dyDescent="0.25">
      <c r="A1186" t="str">
        <f>T("   903039")</f>
        <v xml:space="preserve">   903039</v>
      </c>
      <c r="B1186" t="str">
        <f>T("   AUTRES, AVEC DISPOSITIF ENREGISTREUR")</f>
        <v xml:space="preserve">   AUTRES, AVEC DISPOSITIF ENREGISTREUR</v>
      </c>
      <c r="C1186" s="4">
        <v>1</v>
      </c>
      <c r="D1186" s="4">
        <v>589052</v>
      </c>
    </row>
    <row r="1187" spans="1:4" x14ac:dyDescent="0.25">
      <c r="A1187" t="str">
        <f>T("   903180")</f>
        <v xml:space="preserve">   903180</v>
      </c>
      <c r="B1187" t="str">
        <f>T("   AUTRES INSTRUMENTS, APPAREILS ET MACHINES")</f>
        <v xml:space="preserve">   AUTRES INSTRUMENTS, APPAREILS ET MACHINES</v>
      </c>
      <c r="C1187" s="4">
        <v>30.8</v>
      </c>
      <c r="D1187" s="4">
        <v>5291904</v>
      </c>
    </row>
    <row r="1188" spans="1:4" x14ac:dyDescent="0.25">
      <c r="A1188" t="str">
        <f>T("   903190")</f>
        <v xml:space="preserve">   903190</v>
      </c>
      <c r="B1188" t="str">
        <f>T("   PARTIES ET ACCESSOIRES")</f>
        <v xml:space="preserve">   PARTIES ET ACCESSOIRES</v>
      </c>
      <c r="C1188" s="4">
        <v>2</v>
      </c>
      <c r="D1188" s="4">
        <v>1263209</v>
      </c>
    </row>
    <row r="1189" spans="1:4" x14ac:dyDescent="0.25">
      <c r="A1189" t="str">
        <f>T("   903210")</f>
        <v xml:space="preserve">   903210</v>
      </c>
      <c r="B1189" t="str">
        <f>T("   THERMOSTATS")</f>
        <v xml:space="preserve">   THERMOSTATS</v>
      </c>
      <c r="C1189" s="4">
        <v>5</v>
      </c>
      <c r="D1189" s="4">
        <v>637482</v>
      </c>
    </row>
    <row r="1190" spans="1:4" x14ac:dyDescent="0.25">
      <c r="A1190" t="str">
        <f>T("   903220")</f>
        <v xml:space="preserve">   903220</v>
      </c>
      <c r="B1190" t="str">
        <f>T("   MANOSTATS (PRESSOSTATS)")</f>
        <v xml:space="preserve">   MANOSTATS (PRESSOSTATS)</v>
      </c>
      <c r="C1190" s="4">
        <v>5.5</v>
      </c>
      <c r="D1190" s="4">
        <v>975984</v>
      </c>
    </row>
    <row r="1191" spans="1:4" x14ac:dyDescent="0.25">
      <c r="A1191" t="str">
        <f>T("   903281")</f>
        <v xml:space="preserve">   903281</v>
      </c>
      <c r="B1191" t="str">
        <f>T("   HYDRAULIQUES OU PNEUMATIQUES")</f>
        <v xml:space="preserve">   HYDRAULIQUES OU PNEUMATIQUES</v>
      </c>
      <c r="C1191" s="4">
        <v>67.7</v>
      </c>
      <c r="D1191" s="4">
        <v>6185619</v>
      </c>
    </row>
    <row r="1192" spans="1:4" x14ac:dyDescent="0.25">
      <c r="A1192" t="str">
        <f>T("   903289")</f>
        <v xml:space="preserve">   903289</v>
      </c>
      <c r="B1192" t="str">
        <f>T("   AUTRES")</f>
        <v xml:space="preserve">   AUTRES</v>
      </c>
      <c r="C1192" s="4">
        <v>50.9</v>
      </c>
      <c r="D1192" s="4">
        <v>23230935</v>
      </c>
    </row>
    <row r="1193" spans="1:4" x14ac:dyDescent="0.25">
      <c r="A1193" t="str">
        <f>T("   903290")</f>
        <v xml:space="preserve">   903290</v>
      </c>
      <c r="B1193" t="str">
        <f>T("   PARTIES ET ACCESSOIRES")</f>
        <v xml:space="preserve">   PARTIES ET ACCESSOIRES</v>
      </c>
      <c r="C1193" s="4">
        <v>18</v>
      </c>
      <c r="D1193" s="4">
        <v>770438</v>
      </c>
    </row>
    <row r="1194" spans="1:4" x14ac:dyDescent="0.25">
      <c r="A1194" t="str">
        <f>T("   910299")</f>
        <v xml:space="preserve">   910299</v>
      </c>
      <c r="B1194" t="str">
        <f>T("   AUTRES")</f>
        <v xml:space="preserve">   AUTRES</v>
      </c>
      <c r="C1194" s="4">
        <v>1</v>
      </c>
      <c r="D1194" s="4">
        <v>586003</v>
      </c>
    </row>
    <row r="1195" spans="1:4" x14ac:dyDescent="0.25">
      <c r="A1195" t="str">
        <f>T("   940190")</f>
        <v xml:space="preserve">   940190</v>
      </c>
      <c r="B1195" t="str">
        <f>T("   PARTIES")</f>
        <v xml:space="preserve">   PARTIES</v>
      </c>
      <c r="C1195" s="4">
        <v>16</v>
      </c>
      <c r="D1195" s="4">
        <v>218257</v>
      </c>
    </row>
    <row r="1196" spans="1:4" x14ac:dyDescent="0.25">
      <c r="A1196" t="str">
        <f>T("   940290")</f>
        <v xml:space="preserve">   940290</v>
      </c>
      <c r="B1196" t="str">
        <f>T("   AUTRES")</f>
        <v xml:space="preserve">   AUTRES</v>
      </c>
      <c r="C1196" s="4">
        <v>6000</v>
      </c>
      <c r="D1196" s="4">
        <v>6920378</v>
      </c>
    </row>
    <row r="1197" spans="1:4" x14ac:dyDescent="0.25">
      <c r="A1197" t="str">
        <f>T("   940320")</f>
        <v xml:space="preserve">   940320</v>
      </c>
      <c r="B1197" t="str">
        <f>T("   AUTRES MEUBLES EN METAL")</f>
        <v xml:space="preserve">   AUTRES MEUBLES EN METAL</v>
      </c>
      <c r="C1197" s="4">
        <v>950</v>
      </c>
      <c r="D1197" s="4">
        <v>2205527</v>
      </c>
    </row>
    <row r="1198" spans="1:4" x14ac:dyDescent="0.25">
      <c r="A1198" t="str">
        <f>T("   940330")</f>
        <v xml:space="preserve">   940330</v>
      </c>
      <c r="B1198" t="str">
        <f>T("   MEUBLES EN BOIS DES TYPES UTILISES DANS LES BUREAUX")</f>
        <v xml:space="preserve">   MEUBLES EN BOIS DES TYPES UTILISES DANS LES BUREAUX</v>
      </c>
      <c r="C1198" s="4">
        <v>3372</v>
      </c>
      <c r="D1198" s="4">
        <v>6482982</v>
      </c>
    </row>
    <row r="1199" spans="1:4" x14ac:dyDescent="0.25">
      <c r="A1199" t="str">
        <f>T("   940350")</f>
        <v xml:space="preserve">   940350</v>
      </c>
      <c r="B1199" t="str">
        <f>T("   MEUBLES EN BOIS DES TYPES UTILISES DANS LES CHAMBRES A COUCHER")</f>
        <v xml:space="preserve">   MEUBLES EN BOIS DES TYPES UTILISES DANS LES CHAMBRES A COUCHER</v>
      </c>
      <c r="C1199" s="4">
        <v>39513</v>
      </c>
      <c r="D1199" s="4">
        <v>23437984</v>
      </c>
    </row>
    <row r="1200" spans="1:4" x14ac:dyDescent="0.25">
      <c r="A1200" t="str">
        <f>T("   940360")</f>
        <v xml:space="preserve">   940360</v>
      </c>
      <c r="B1200" t="str">
        <f>T("   Autres meubles en bois")</f>
        <v xml:space="preserve">   Autres meubles en bois</v>
      </c>
      <c r="C1200" s="4">
        <v>203590</v>
      </c>
      <c r="D1200" s="4">
        <v>61231388</v>
      </c>
    </row>
    <row r="1201" spans="1:4" x14ac:dyDescent="0.25">
      <c r="A1201" t="str">
        <f>T("   940370")</f>
        <v xml:space="preserve">   940370</v>
      </c>
      <c r="B1201" t="str">
        <f>T("   MEUBLES EN MATIERES PLASTIQUES")</f>
        <v xml:space="preserve">   MEUBLES EN MATIERES PLASTIQUES</v>
      </c>
      <c r="C1201" s="4">
        <v>755</v>
      </c>
      <c r="D1201" s="4">
        <v>705813</v>
      </c>
    </row>
    <row r="1202" spans="1:4" x14ac:dyDescent="0.25">
      <c r="A1202" t="str">
        <f>T("   940389")</f>
        <v xml:space="preserve">   940389</v>
      </c>
      <c r="B1202" t="str">
        <f>T("   AUTRES")</f>
        <v xml:space="preserve">   AUTRES</v>
      </c>
      <c r="C1202" s="4">
        <v>44915</v>
      </c>
      <c r="D1202" s="4">
        <v>16892770</v>
      </c>
    </row>
    <row r="1203" spans="1:4" x14ac:dyDescent="0.25">
      <c r="A1203" t="str">
        <f>T("   940390")</f>
        <v xml:space="preserve">   940390</v>
      </c>
      <c r="B1203" t="str">
        <f>T("   PARTIES")</f>
        <v xml:space="preserve">   PARTIES</v>
      </c>
      <c r="C1203" s="4">
        <v>400</v>
      </c>
      <c r="D1203" s="4">
        <v>437000</v>
      </c>
    </row>
    <row r="1204" spans="1:4" x14ac:dyDescent="0.25">
      <c r="A1204" t="str">
        <f>T("   940410")</f>
        <v xml:space="preserve">   940410</v>
      </c>
      <c r="B1204" t="str">
        <f>T("   Sommiers")</f>
        <v xml:space="preserve">   Sommiers</v>
      </c>
      <c r="C1204" s="4">
        <v>690</v>
      </c>
      <c r="D1204" s="4">
        <v>3548088</v>
      </c>
    </row>
    <row r="1205" spans="1:4" x14ac:dyDescent="0.25">
      <c r="A1205" t="str">
        <f>T("   940429")</f>
        <v xml:space="preserve">   940429</v>
      </c>
      <c r="B1205" t="str">
        <f>T("   EN AUTRES MATIERES")</f>
        <v xml:space="preserve">   EN AUTRES MATIERES</v>
      </c>
      <c r="C1205" s="4">
        <v>2705</v>
      </c>
      <c r="D1205" s="4">
        <v>2960872</v>
      </c>
    </row>
    <row r="1206" spans="1:4" x14ac:dyDescent="0.25">
      <c r="A1206" t="str">
        <f>T("   940490")</f>
        <v xml:space="preserve">   940490</v>
      </c>
      <c r="B1206" t="str">
        <f>T("   AUTRES")</f>
        <v xml:space="preserve">   AUTRES</v>
      </c>
      <c r="C1206" s="4">
        <v>150</v>
      </c>
      <c r="D1206" s="4">
        <v>46455</v>
      </c>
    </row>
    <row r="1207" spans="1:4" x14ac:dyDescent="0.25">
      <c r="A1207" t="str">
        <f>T("   940510")</f>
        <v xml:space="preserve">   940510</v>
      </c>
      <c r="B1207" t="str">
        <f>T("   LUSTRES ET AUTRES APPAREILS D'ECLAIRAGE ELECTRIQUES A SUSPENDRE OU A FIXER AU PLAFOND")</f>
        <v xml:space="preserve">   LUSTRES ET AUTRES APPAREILS D'ECLAIRAGE ELECTRIQUES A SUSPENDRE OU A FIXER AU PLAFOND</v>
      </c>
      <c r="C1207" s="4">
        <v>11842</v>
      </c>
      <c r="D1207" s="4">
        <v>30535595</v>
      </c>
    </row>
    <row r="1208" spans="1:4" x14ac:dyDescent="0.25">
      <c r="A1208" t="str">
        <f>T("   940540")</f>
        <v xml:space="preserve">   940540</v>
      </c>
      <c r="B1208" t="str">
        <f>T("   AUTRES APPAREILS D'ECLAIRAGE ELECTRIQUES")</f>
        <v xml:space="preserve">   AUTRES APPAREILS D'ECLAIRAGE ELECTRIQUES</v>
      </c>
      <c r="C1208" s="4">
        <v>1050</v>
      </c>
      <c r="D1208" s="4">
        <v>5852016</v>
      </c>
    </row>
    <row r="1209" spans="1:4" x14ac:dyDescent="0.25">
      <c r="A1209" t="str">
        <f>T("   950300")</f>
        <v xml:space="preserve">   950300</v>
      </c>
      <c r="B1209" t="str">
        <f>T("   TRICYCLES, TROTTINETTES, AUTOS A PEDALES ET JOUETS A ROUES SIMILAIRES; LANDAUS ET POUSS")</f>
        <v xml:space="preserve">   TRICYCLES, TROTTINETTES, AUTOS A PEDALES ET JOUETS A ROUES SIMILAIRES; LANDAUS ET POUSS</v>
      </c>
      <c r="C1209" s="4">
        <v>758</v>
      </c>
      <c r="D1209" s="4">
        <v>1309475</v>
      </c>
    </row>
    <row r="1210" spans="1:4" x14ac:dyDescent="0.25">
      <c r="A1210" t="str">
        <f>T("   950490")</f>
        <v xml:space="preserve">   950490</v>
      </c>
      <c r="B1210" t="str">
        <f>T("   AUTRES")</f>
        <v xml:space="preserve">   AUTRES</v>
      </c>
      <c r="C1210" s="4">
        <v>42</v>
      </c>
      <c r="D1210" s="4">
        <v>53000</v>
      </c>
    </row>
    <row r="1211" spans="1:4" x14ac:dyDescent="0.25">
      <c r="A1211" t="str">
        <f>T("   950590")</f>
        <v xml:space="preserve">   950590</v>
      </c>
      <c r="B1211" t="str">
        <f>T("   AUTRES")</f>
        <v xml:space="preserve">   AUTRES</v>
      </c>
      <c r="C1211" s="4">
        <v>12337</v>
      </c>
      <c r="D1211" s="4">
        <v>8534040</v>
      </c>
    </row>
    <row r="1212" spans="1:4" x14ac:dyDescent="0.25">
      <c r="A1212" t="str">
        <f>T("   950699")</f>
        <v xml:space="preserve">   950699</v>
      </c>
      <c r="B1212" t="str">
        <f>T("   AUTRES")</f>
        <v xml:space="preserve">   AUTRES</v>
      </c>
      <c r="C1212" s="4">
        <v>2153</v>
      </c>
      <c r="D1212" s="4">
        <v>7177651</v>
      </c>
    </row>
    <row r="1213" spans="1:4" x14ac:dyDescent="0.25">
      <c r="A1213" t="str">
        <f>T("   960321")</f>
        <v xml:space="preserve">   960321</v>
      </c>
      <c r="B1213" t="str">
        <f>T("   BROSSES A DENTS, Y COMPRIS LES BROSSES A DENTIERS")</f>
        <v xml:space="preserve">   BROSSES A DENTS, Y COMPRIS LES BROSSES A DENTIERS</v>
      </c>
      <c r="C1213" s="4">
        <v>2713</v>
      </c>
      <c r="D1213" s="4">
        <v>2650326</v>
      </c>
    </row>
    <row r="1214" spans="1:4" x14ac:dyDescent="0.25">
      <c r="A1214" t="str">
        <f>T("   960350")</f>
        <v xml:space="preserve">   960350</v>
      </c>
      <c r="B1214" t="str">
        <f>T("   AUTRES BROSSES CONSTITUANT DES PARTIES DE MACHINES, D'APPAREILS OU DE VEHICULES")</f>
        <v xml:space="preserve">   AUTRES BROSSES CONSTITUANT DES PARTIES DE MACHINES, D'APPAREILS OU DE VEHICULES</v>
      </c>
      <c r="C1214" s="4">
        <v>164</v>
      </c>
      <c r="D1214" s="4">
        <v>1869102</v>
      </c>
    </row>
    <row r="1215" spans="1:4" x14ac:dyDescent="0.25">
      <c r="A1215" t="str">
        <f>T("   960390")</f>
        <v xml:space="preserve">   960390</v>
      </c>
      <c r="B1215" t="str">
        <f>T("   AUTRES")</f>
        <v xml:space="preserve">   AUTRES</v>
      </c>
      <c r="C1215" s="4">
        <v>1</v>
      </c>
      <c r="D1215" s="4">
        <v>87243</v>
      </c>
    </row>
    <row r="1216" spans="1:4" x14ac:dyDescent="0.25">
      <c r="A1216" t="str">
        <f>T("   960810")</f>
        <v xml:space="preserve">   960810</v>
      </c>
      <c r="B1216" t="str">
        <f>T("   STYLOS ET CRAYONS A BILLE")</f>
        <v xml:space="preserve">   STYLOS ET CRAYONS A BILLE</v>
      </c>
      <c r="C1216" s="4">
        <v>33</v>
      </c>
      <c r="D1216" s="4">
        <v>1115786</v>
      </c>
    </row>
    <row r="1217" spans="1:4" x14ac:dyDescent="0.25">
      <c r="A1217" t="str">
        <f>T("   960839")</f>
        <v xml:space="preserve">   960839</v>
      </c>
      <c r="B1217" t="str">
        <f>T("   AUTRES STYLOS A PLUME ET AUTRES STYLOS")</f>
        <v xml:space="preserve">   AUTRES STYLOS A PLUME ET AUTRES STYLOS</v>
      </c>
      <c r="C1217" s="4">
        <v>1305</v>
      </c>
      <c r="D1217" s="4">
        <v>2962540</v>
      </c>
    </row>
    <row r="1218" spans="1:4" x14ac:dyDescent="0.25">
      <c r="A1218" t="str">
        <f>T("   960891")</f>
        <v xml:space="preserve">   960891</v>
      </c>
      <c r="B1218" t="str">
        <f>T("   PLUMES A ECRIRE ET BECS POUR PLUMES")</f>
        <v xml:space="preserve">   PLUMES A ECRIRE ET BECS POUR PLUMES</v>
      </c>
      <c r="C1218" s="4">
        <v>709</v>
      </c>
      <c r="D1218" s="4">
        <v>235155</v>
      </c>
    </row>
    <row r="1219" spans="1:4" x14ac:dyDescent="0.25">
      <c r="A1219" t="str">
        <f>T("   961210")</f>
        <v xml:space="preserve">   961210</v>
      </c>
      <c r="B1219" t="str">
        <f>T("   Rubans encreurs")</f>
        <v xml:space="preserve">   Rubans encreurs</v>
      </c>
      <c r="C1219" s="4">
        <v>1012</v>
      </c>
      <c r="D1219" s="4">
        <v>2190251</v>
      </c>
    </row>
    <row r="1220" spans="1:4" x14ac:dyDescent="0.25">
      <c r="A1220" t="str">
        <f>T("   961380")</f>
        <v xml:space="preserve">   961380</v>
      </c>
      <c r="B1220" t="str">
        <f>T("   Autres briquets et allumeurs")</f>
        <v xml:space="preserve">   Autres briquets et allumeurs</v>
      </c>
      <c r="C1220" s="4">
        <v>724</v>
      </c>
      <c r="D1220" s="4">
        <v>603483</v>
      </c>
    </row>
    <row r="1221" spans="1:4" s="5" customFormat="1" x14ac:dyDescent="0.25">
      <c r="A1221" s="5" t="str">
        <f>T("   ZZ_Total_Produit_SH6")</f>
        <v xml:space="preserve">   ZZ_Total_Produit_SH6</v>
      </c>
      <c r="B1221" s="5" t="str">
        <f>T("   ZZ_Total_Produit_SH6")</f>
        <v xml:space="preserve">   ZZ_Total_Produit_SH6</v>
      </c>
      <c r="C1221" s="1">
        <v>77951936.310000002</v>
      </c>
      <c r="D1221" s="1">
        <v>58966915677.501999</v>
      </c>
    </row>
    <row r="1222" spans="1:4" s="5" customFormat="1" x14ac:dyDescent="0.25">
      <c r="B1222" s="5" t="str">
        <f>T("Burkina Faso")</f>
        <v>Burkina Faso</v>
      </c>
      <c r="C1222" s="1"/>
      <c r="D1222" s="1"/>
    </row>
    <row r="1223" spans="1:4" x14ac:dyDescent="0.25">
      <c r="A1223" t="str">
        <f>T("   271019")</f>
        <v xml:space="preserve">   271019</v>
      </c>
      <c r="B1223" t="str">
        <f>T("   AUTRES")</f>
        <v xml:space="preserve">   AUTRES</v>
      </c>
      <c r="C1223" s="4">
        <v>13446</v>
      </c>
      <c r="D1223" s="4">
        <v>6981819</v>
      </c>
    </row>
    <row r="1224" spans="1:4" x14ac:dyDescent="0.25">
      <c r="A1224" t="str">
        <f>T("   300230")</f>
        <v xml:space="preserve">   300230</v>
      </c>
      <c r="B1224" t="str">
        <f>T("   VACCINS POUR LA MEDECINE VETERINAIRE")</f>
        <v xml:space="preserve">   VACCINS POUR LA MEDECINE VETERINAIRE</v>
      </c>
      <c r="C1224" s="4">
        <v>1865</v>
      </c>
      <c r="D1224" s="4">
        <v>23125000</v>
      </c>
    </row>
    <row r="1225" spans="1:4" x14ac:dyDescent="0.25">
      <c r="A1225" t="str">
        <f>T("   300310")</f>
        <v xml:space="preserve">   300310</v>
      </c>
      <c r="B1225" t="str">
        <f>T("   CONTENANT DES PENICILLINES OU DES DERIVES DE CES PRODUITS, A STRUCTURE D'ACIDE PENICI")</f>
        <v xml:space="preserve">   CONTENANT DES PENICILLINES OU DES DERIVES DE CES PRODUITS, A STRUCTURE D'ACIDE PENICI</v>
      </c>
      <c r="C1225" s="4">
        <v>592</v>
      </c>
      <c r="D1225" s="4">
        <v>4061170</v>
      </c>
    </row>
    <row r="1226" spans="1:4" x14ac:dyDescent="0.25">
      <c r="A1226" t="str">
        <f>T("   300490")</f>
        <v xml:space="preserve">   300490</v>
      </c>
      <c r="B1226" t="str">
        <f>T("   AUTRES")</f>
        <v xml:space="preserve">   AUTRES</v>
      </c>
      <c r="C1226" s="4">
        <v>661</v>
      </c>
      <c r="D1226" s="4">
        <v>2546038</v>
      </c>
    </row>
    <row r="1227" spans="1:4" x14ac:dyDescent="0.25">
      <c r="A1227" t="str">
        <f>T("   420329")</f>
        <v xml:space="preserve">   420329</v>
      </c>
      <c r="B1227" t="str">
        <f>T("   AUTRES")</f>
        <v xml:space="preserve">   AUTRES</v>
      </c>
      <c r="C1227" s="4">
        <v>5</v>
      </c>
      <c r="D1227" s="4">
        <v>74684</v>
      </c>
    </row>
    <row r="1228" spans="1:4" x14ac:dyDescent="0.25">
      <c r="A1228" t="str">
        <f>T("   491110")</f>
        <v xml:space="preserve">   491110</v>
      </c>
      <c r="B1228" t="str">
        <f>T("   IMPRIMES PUBLICITAIRES, CATALOGUES COMMERCIAUX ET SIMILAIRES")</f>
        <v xml:space="preserve">   IMPRIMES PUBLICITAIRES, CATALOGUES COMMERCIAUX ET SIMILAIRES</v>
      </c>
      <c r="C1228" s="4">
        <v>142</v>
      </c>
      <c r="D1228" s="4">
        <v>100000</v>
      </c>
    </row>
    <row r="1229" spans="1:4" x14ac:dyDescent="0.25">
      <c r="A1229" t="str">
        <f>T("   520852")</f>
        <v xml:space="preserve">   520852</v>
      </c>
      <c r="B1229" t="str">
        <f>T("   A ARMURE TOILE, D'UN POIDS EXCEDANT 100 G/M²")</f>
        <v xml:space="preserve">   A ARMURE TOILE, D'UN POIDS EXCEDANT 100 G/M²</v>
      </c>
      <c r="C1229" s="4">
        <v>150</v>
      </c>
      <c r="D1229" s="4">
        <v>424031</v>
      </c>
    </row>
    <row r="1230" spans="1:4" x14ac:dyDescent="0.25">
      <c r="A1230" t="str">
        <f>T("   520859")</f>
        <v xml:space="preserve">   520859</v>
      </c>
      <c r="B1230" t="str">
        <f>T("   AUTRES TISSUS")</f>
        <v xml:space="preserve">   AUTRES TISSUS</v>
      </c>
      <c r="C1230" s="4">
        <v>4102</v>
      </c>
      <c r="D1230" s="4">
        <v>3298662</v>
      </c>
    </row>
    <row r="1231" spans="1:4" x14ac:dyDescent="0.25">
      <c r="A1231" t="str">
        <f>T("   521051")</f>
        <v xml:space="preserve">   521051</v>
      </c>
      <c r="B1231" t="str">
        <f>T("   A ARMURE TOILE")</f>
        <v xml:space="preserve">   A ARMURE TOILE</v>
      </c>
      <c r="C1231" s="4">
        <v>270</v>
      </c>
      <c r="D1231" s="4">
        <v>450000</v>
      </c>
    </row>
    <row r="1232" spans="1:4" x14ac:dyDescent="0.25">
      <c r="A1232" t="str">
        <f>T("   551349")</f>
        <v xml:space="preserve">   551349</v>
      </c>
      <c r="B1232" t="str">
        <f>T("   AUTRES TISSUS")</f>
        <v xml:space="preserve">   AUTRES TISSUS</v>
      </c>
      <c r="C1232" s="4">
        <v>200</v>
      </c>
      <c r="D1232" s="4">
        <v>119000</v>
      </c>
    </row>
    <row r="1233" spans="1:4" x14ac:dyDescent="0.25">
      <c r="A1233" t="str">
        <f>T("   551519")</f>
        <v xml:space="preserve">   551519</v>
      </c>
      <c r="B1233" t="str">
        <f>T("   AUTRES")</f>
        <v xml:space="preserve">   AUTRES</v>
      </c>
      <c r="C1233" s="4">
        <v>1050</v>
      </c>
      <c r="D1233" s="4">
        <v>739000</v>
      </c>
    </row>
    <row r="1234" spans="1:4" x14ac:dyDescent="0.25">
      <c r="A1234" t="str">
        <f>T("   610690")</f>
        <v xml:space="preserve">   610690</v>
      </c>
      <c r="B1234" t="str">
        <f>T("   D'AUTRES MATIERES TEXTILES")</f>
        <v xml:space="preserve">   D'AUTRES MATIERES TEXTILES</v>
      </c>
      <c r="C1234" s="4">
        <v>600</v>
      </c>
      <c r="D1234" s="4">
        <v>825000</v>
      </c>
    </row>
    <row r="1235" spans="1:4" x14ac:dyDescent="0.25">
      <c r="A1235" t="str">
        <f>T("   610910")</f>
        <v xml:space="preserve">   610910</v>
      </c>
      <c r="B1235" t="str">
        <f>T("   DE COTON")</f>
        <v xml:space="preserve">   DE COTON</v>
      </c>
      <c r="C1235" s="4">
        <v>1</v>
      </c>
      <c r="D1235" s="4">
        <v>20912</v>
      </c>
    </row>
    <row r="1236" spans="1:4" x14ac:dyDescent="0.25">
      <c r="A1236" t="str">
        <f>T("   620799")</f>
        <v xml:space="preserve">   620799</v>
      </c>
      <c r="B1236" t="str">
        <f>T("   D'AUTRES MATIERES TEXTILES")</f>
        <v xml:space="preserve">   D'AUTRES MATIERES TEXTILES</v>
      </c>
      <c r="C1236" s="4">
        <v>2</v>
      </c>
      <c r="D1236" s="4">
        <v>36595</v>
      </c>
    </row>
    <row r="1237" spans="1:4" x14ac:dyDescent="0.25">
      <c r="A1237" t="str">
        <f>T("   640340")</f>
        <v xml:space="preserve">   640340</v>
      </c>
      <c r="B1237" t="str">
        <f>T("   AUTRES CHAUSSURES, COMPORTANT, A L'AVANT, UNE COQUILLE DE PROTECTION EN METAL")</f>
        <v xml:space="preserve">   AUTRES CHAUSSURES, COMPORTANT, A L'AVANT, UNE COQUILLE DE PROTECTION EN METAL</v>
      </c>
      <c r="C1237" s="4">
        <v>10</v>
      </c>
      <c r="D1237" s="4">
        <v>83497</v>
      </c>
    </row>
    <row r="1238" spans="1:4" x14ac:dyDescent="0.25">
      <c r="A1238" t="str">
        <f>T("   650610")</f>
        <v xml:space="preserve">   650610</v>
      </c>
      <c r="B1238" t="str">
        <f>T("   COIFFURES DE SECURITE")</f>
        <v xml:space="preserve">   COIFFURES DE SECURITE</v>
      </c>
      <c r="C1238" s="4">
        <v>2</v>
      </c>
      <c r="D1238" s="4">
        <v>21360</v>
      </c>
    </row>
    <row r="1239" spans="1:4" x14ac:dyDescent="0.25">
      <c r="A1239" t="str">
        <f>T("   842539")</f>
        <v xml:space="preserve">   842539</v>
      </c>
      <c r="B1239" t="str">
        <f>T("   AUTRES")</f>
        <v xml:space="preserve">   AUTRES</v>
      </c>
      <c r="C1239" s="4">
        <v>2000</v>
      </c>
      <c r="D1239" s="4">
        <v>1000000</v>
      </c>
    </row>
    <row r="1240" spans="1:4" x14ac:dyDescent="0.25">
      <c r="A1240" t="str">
        <f>T("   842911")</f>
        <v xml:space="preserve">   842911</v>
      </c>
      <c r="B1240" t="str">
        <f>T("   A CHENILLES")</f>
        <v xml:space="preserve">   A CHENILLES</v>
      </c>
      <c r="C1240" s="4">
        <v>36050</v>
      </c>
      <c r="D1240" s="4">
        <v>190268363</v>
      </c>
    </row>
    <row r="1241" spans="1:4" x14ac:dyDescent="0.25">
      <c r="A1241" t="str">
        <f>T("   842920")</f>
        <v xml:space="preserve">   842920</v>
      </c>
      <c r="B1241" t="str">
        <f>T("   NIVELEUSES")</f>
        <v xml:space="preserve">   NIVELEUSES</v>
      </c>
      <c r="C1241" s="4">
        <v>113480</v>
      </c>
      <c r="D1241" s="4">
        <v>475673628</v>
      </c>
    </row>
    <row r="1242" spans="1:4" x14ac:dyDescent="0.25">
      <c r="A1242" t="str">
        <f>T("   842940")</f>
        <v xml:space="preserve">   842940</v>
      </c>
      <c r="B1242" t="str">
        <f>T("   COMPACTEUSES ET ROULEAUX COMPRESSEURS")</f>
        <v xml:space="preserve">   COMPACTEUSES ET ROULEAUX COMPRESSEURS</v>
      </c>
      <c r="C1242" s="4">
        <v>38793</v>
      </c>
      <c r="D1242" s="4">
        <v>20067487</v>
      </c>
    </row>
    <row r="1243" spans="1:4" x14ac:dyDescent="0.25">
      <c r="A1243" t="str">
        <f>T("   842959")</f>
        <v xml:space="preserve">   842959</v>
      </c>
      <c r="B1243" t="str">
        <f>T("   AUTRES")</f>
        <v xml:space="preserve">   AUTRES</v>
      </c>
      <c r="C1243" s="4">
        <v>118000</v>
      </c>
      <c r="D1243" s="4">
        <v>164885228</v>
      </c>
    </row>
    <row r="1244" spans="1:4" x14ac:dyDescent="0.25">
      <c r="A1244" t="str">
        <f>T("   847190")</f>
        <v xml:space="preserve">   847190</v>
      </c>
      <c r="B1244" t="str">
        <f>T("   AUTRES")</f>
        <v xml:space="preserve">   AUTRES</v>
      </c>
      <c r="C1244" s="4">
        <v>293</v>
      </c>
      <c r="D1244" s="4">
        <v>19873838</v>
      </c>
    </row>
    <row r="1245" spans="1:4" x14ac:dyDescent="0.25">
      <c r="A1245" t="str">
        <f>T("   850213")</f>
        <v xml:space="preserve">   850213</v>
      </c>
      <c r="B1245" t="str">
        <f>T("   D'UNE PUISSANCE EXCEDANT 375 KVA")</f>
        <v xml:space="preserve">   D'UNE PUISSANCE EXCEDANT 375 KVA</v>
      </c>
      <c r="C1245" s="4">
        <v>5920</v>
      </c>
      <c r="D1245" s="4">
        <v>23621306</v>
      </c>
    </row>
    <row r="1246" spans="1:4" x14ac:dyDescent="0.25">
      <c r="A1246" t="str">
        <f>T("   851770")</f>
        <v xml:space="preserve">   851770</v>
      </c>
      <c r="B1246" t="str">
        <f>T("   PARTIES")</f>
        <v xml:space="preserve">   PARTIES</v>
      </c>
      <c r="C1246" s="4">
        <v>2.6</v>
      </c>
      <c r="D1246" s="4">
        <v>657223</v>
      </c>
    </row>
    <row r="1247" spans="1:4" x14ac:dyDescent="0.25">
      <c r="A1247" t="str">
        <f>T("   853529")</f>
        <v xml:space="preserve">   853529</v>
      </c>
      <c r="B1247" t="str">
        <f>T("   AUTRES")</f>
        <v xml:space="preserve">   AUTRES</v>
      </c>
      <c r="C1247" s="4">
        <v>5</v>
      </c>
      <c r="D1247" s="4">
        <v>656120</v>
      </c>
    </row>
    <row r="1248" spans="1:4" x14ac:dyDescent="0.25">
      <c r="A1248" t="str">
        <f>T("   870120")</f>
        <v xml:space="preserve">   870120</v>
      </c>
      <c r="B1248" t="str">
        <f>T("   TRACTEURS ROUTIERS POUR SEMIREMORQUES")</f>
        <v xml:space="preserve">   TRACTEURS ROUTIERS POUR SEMIREMORQUES</v>
      </c>
      <c r="C1248" s="4">
        <v>12912</v>
      </c>
      <c r="D1248" s="4">
        <v>6522111</v>
      </c>
    </row>
    <row r="1249" spans="1:4" x14ac:dyDescent="0.25">
      <c r="A1249" t="str">
        <f>T("   870322")</f>
        <v xml:space="preserve">   870322</v>
      </c>
      <c r="B1249" t="str">
        <f>T("   D’UNE CYLINDREE EXCEDANT 1.000 CM³ MAIS N’EXCEDANT PAS 1.500 CM³")</f>
        <v xml:space="preserve">   D’UNE CYLINDREE EXCEDANT 1.000 CM³ MAIS N’EXCEDANT PAS 1.500 CM³</v>
      </c>
      <c r="C1249" s="4">
        <v>2194</v>
      </c>
      <c r="D1249" s="4">
        <v>2753000</v>
      </c>
    </row>
    <row r="1250" spans="1:4" x14ac:dyDescent="0.25">
      <c r="A1250" t="str">
        <f>T("   870323")</f>
        <v xml:space="preserve">   870323</v>
      </c>
      <c r="B1250" t="str">
        <f>T("   D’UNE CYLINDREE EXCEDANT 1.500 CM³ MAIS N’EXCEDANT PAS 3.000 CM³")</f>
        <v xml:space="preserve">   D’UNE CYLINDREE EXCEDANT 1.500 CM³ MAIS N’EXCEDANT PAS 3.000 CM³</v>
      </c>
      <c r="C1250" s="4">
        <v>5400</v>
      </c>
      <c r="D1250" s="4">
        <v>6726196</v>
      </c>
    </row>
    <row r="1251" spans="1:4" x14ac:dyDescent="0.25">
      <c r="A1251" t="str">
        <f>T("   870333")</f>
        <v xml:space="preserve">   870333</v>
      </c>
      <c r="B1251" t="str">
        <f>T("   D'UNE CYLINDREE EXCEDANT 2.500 CM³")</f>
        <v xml:space="preserve">   D'UNE CYLINDREE EXCEDANT 2.500 CM³</v>
      </c>
      <c r="C1251" s="4">
        <v>9400</v>
      </c>
      <c r="D1251" s="4">
        <v>62457755</v>
      </c>
    </row>
    <row r="1252" spans="1:4" x14ac:dyDescent="0.25">
      <c r="A1252" t="str">
        <f>T("   870421")</f>
        <v xml:space="preserve">   870421</v>
      </c>
      <c r="B1252" t="str">
        <f>T("   D'UN POIDS EN CHARGE MAXIMAL N'EXCEDANT PAS 5 TONNES")</f>
        <v xml:space="preserve">   D'UN POIDS EN CHARGE MAXIMAL N'EXCEDANT PAS 5 TONNES</v>
      </c>
      <c r="C1252" s="4">
        <v>8325</v>
      </c>
      <c r="D1252" s="4">
        <v>55824042</v>
      </c>
    </row>
    <row r="1253" spans="1:4" x14ac:dyDescent="0.25">
      <c r="A1253" t="str">
        <f>T("   870422")</f>
        <v xml:space="preserve">   870422</v>
      </c>
      <c r="B1253" t="str">
        <f>T("   D'UN POIDS EN CHARGE MAXIMAL EXCEDANT 5 TONNES MAIS N'EXCEDANT PAS 20 TONNES")</f>
        <v xml:space="preserve">   D'UN POIDS EN CHARGE MAXIMAL EXCEDANT 5 TONNES MAIS N'EXCEDANT PAS 20 TONNES</v>
      </c>
      <c r="C1253" s="4">
        <v>12000</v>
      </c>
      <c r="D1253" s="4">
        <v>28400000</v>
      </c>
    </row>
    <row r="1254" spans="1:4" x14ac:dyDescent="0.25">
      <c r="A1254" t="str">
        <f>T("   870423")</f>
        <v xml:space="preserve">   870423</v>
      </c>
      <c r="B1254" t="str">
        <f>T("   D'UN POIDS EN CHARGE MAXIMAL EXCEDANT 20 TONNES")</f>
        <v xml:space="preserve">   D'UN POIDS EN CHARGE MAXIMAL EXCEDANT 20 TONNES</v>
      </c>
      <c r="C1254" s="4">
        <v>179734</v>
      </c>
      <c r="D1254" s="4">
        <v>275766663</v>
      </c>
    </row>
    <row r="1255" spans="1:4" x14ac:dyDescent="0.25">
      <c r="A1255" t="str">
        <f>T("   870431")</f>
        <v xml:space="preserve">   870431</v>
      </c>
      <c r="B1255" t="str">
        <f>T("   D'UN POIDS EN CHARGE MAXIMAL N'EXCEDANT PAS 5 TONNES")</f>
        <v xml:space="preserve">   D'UN POIDS EN CHARGE MAXIMAL N'EXCEDANT PAS 5 TONNES</v>
      </c>
      <c r="C1255" s="4">
        <v>60450</v>
      </c>
      <c r="D1255" s="4">
        <v>116101188</v>
      </c>
    </row>
    <row r="1256" spans="1:4" x14ac:dyDescent="0.25">
      <c r="A1256" t="str">
        <f>T("   870590")</f>
        <v xml:space="preserve">   870590</v>
      </c>
      <c r="B1256" t="str">
        <f>T("   AUTRES")</f>
        <v xml:space="preserve">   AUTRES</v>
      </c>
      <c r="C1256" s="4">
        <v>16660</v>
      </c>
      <c r="D1256" s="4">
        <v>11783335</v>
      </c>
    </row>
    <row r="1257" spans="1:4" x14ac:dyDescent="0.25">
      <c r="A1257" t="str">
        <f>T("   901520")</f>
        <v xml:space="preserve">   901520</v>
      </c>
      <c r="B1257" t="str">
        <f>T("   THEODOLITES ET TACHEOMETRES")</f>
        <v xml:space="preserve">   THEODOLITES ET TACHEOMETRES</v>
      </c>
      <c r="C1257" s="4">
        <v>20</v>
      </c>
      <c r="D1257" s="4">
        <v>392093</v>
      </c>
    </row>
    <row r="1258" spans="1:4" x14ac:dyDescent="0.25">
      <c r="A1258" t="str">
        <f>T("   902110")</f>
        <v xml:space="preserve">   902110</v>
      </c>
      <c r="B1258" t="str">
        <f>T("   ARTICLES ET APPAREILS D’ORTHOPEDIE OU POUR FRACTURES")</f>
        <v xml:space="preserve">   ARTICLES ET APPAREILS D’ORTHOPEDIE OU POUR FRACTURES</v>
      </c>
      <c r="C1258" s="4">
        <v>74</v>
      </c>
      <c r="D1258" s="4">
        <v>5404240</v>
      </c>
    </row>
    <row r="1259" spans="1:4" x14ac:dyDescent="0.25">
      <c r="A1259" t="str">
        <f>T("   902580")</f>
        <v xml:space="preserve">   902580</v>
      </c>
      <c r="B1259" t="str">
        <f>T("   AUTRES INSTRUMENTS")</f>
        <v xml:space="preserve">   AUTRES INSTRUMENTS</v>
      </c>
      <c r="C1259" s="4">
        <v>0.7</v>
      </c>
      <c r="D1259" s="4">
        <v>358906</v>
      </c>
    </row>
    <row r="1260" spans="1:4" s="5" customFormat="1" x14ac:dyDescent="0.25">
      <c r="A1260" s="5" t="str">
        <f>T("   ZZ_Total_Produit_SH6")</f>
        <v xml:space="preserve">   ZZ_Total_Produit_SH6</v>
      </c>
      <c r="B1260" s="5" t="str">
        <f>T("   ZZ_Total_Produit_SH6")</f>
        <v xml:space="preserve">   ZZ_Total_Produit_SH6</v>
      </c>
      <c r="C1260" s="1">
        <v>644811.30000000005</v>
      </c>
      <c r="D1260" s="1">
        <v>1512099490</v>
      </c>
    </row>
    <row r="1261" spans="1:4" s="5" customFormat="1" x14ac:dyDescent="0.25">
      <c r="B1261" s="5" t="str">
        <f>T("Bulgarie")</f>
        <v>Bulgarie</v>
      </c>
      <c r="C1261" s="1"/>
      <c r="D1261" s="1"/>
    </row>
    <row r="1262" spans="1:4" x14ac:dyDescent="0.25">
      <c r="A1262" t="str">
        <f>T("   100630")</f>
        <v xml:space="preserve">   100630</v>
      </c>
      <c r="B1262" t="str">
        <f>T("   RIZ SEMIBLANCHI OU BLANCHI, MEME POLI OU GLACE")</f>
        <v xml:space="preserve">   RIZ SEMIBLANCHI OU BLANCHI, MEME POLI OU GLACE</v>
      </c>
      <c r="C1262" s="4">
        <v>250000</v>
      </c>
      <c r="D1262" s="4">
        <v>37605000</v>
      </c>
    </row>
    <row r="1263" spans="1:4" x14ac:dyDescent="0.25">
      <c r="A1263" t="str">
        <f>T("   220860")</f>
        <v xml:space="preserve">   220860</v>
      </c>
      <c r="B1263" t="str">
        <f>T("   VODKA")</f>
        <v xml:space="preserve">   VODKA</v>
      </c>
      <c r="C1263" s="4">
        <v>34765</v>
      </c>
      <c r="D1263" s="4">
        <v>5361556</v>
      </c>
    </row>
    <row r="1264" spans="1:4" x14ac:dyDescent="0.25">
      <c r="A1264" t="str">
        <f>T("   220870")</f>
        <v xml:space="preserve">   220870</v>
      </c>
      <c r="B1264" t="str">
        <f>T("   LIQUEURS")</f>
        <v xml:space="preserve">   LIQUEURS</v>
      </c>
      <c r="C1264" s="4">
        <v>16075</v>
      </c>
      <c r="D1264" s="4">
        <v>2682876</v>
      </c>
    </row>
    <row r="1265" spans="1:4" x14ac:dyDescent="0.25">
      <c r="A1265" t="str">
        <f>T("   330300")</f>
        <v xml:space="preserve">   330300</v>
      </c>
      <c r="B1265" t="str">
        <f>T("   PARFUMS ET EAUX DE TOILETTE.")</f>
        <v xml:space="preserve">   PARFUMS ET EAUX DE TOILETTE.</v>
      </c>
      <c r="C1265" s="4">
        <v>594</v>
      </c>
      <c r="D1265" s="4">
        <v>1350976</v>
      </c>
    </row>
    <row r="1266" spans="1:4" x14ac:dyDescent="0.25">
      <c r="A1266" t="str">
        <f>T("   630900")</f>
        <v xml:space="preserve">   630900</v>
      </c>
      <c r="B1266" t="str">
        <f>T("   ARTICLES DE FRIPERIE.")</f>
        <v xml:space="preserve">   ARTICLES DE FRIPERIE.</v>
      </c>
      <c r="C1266" s="4">
        <v>40000</v>
      </c>
      <c r="D1266" s="4">
        <v>27331314</v>
      </c>
    </row>
    <row r="1267" spans="1:4" x14ac:dyDescent="0.25">
      <c r="A1267" t="str">
        <f>T("   847982")</f>
        <v xml:space="preserve">   847982</v>
      </c>
      <c r="B1267" t="str">
        <f>T("   A MELANGER, MALAXER, CONCASSER, BROYER, CRIBLER, TAMISER, HOMOGENEISER, EMULSIONNER")</f>
        <v xml:space="preserve">   A MELANGER, MALAXER, CONCASSER, BROYER, CRIBLER, TAMISER, HOMOGENEISER, EMULSIONNER</v>
      </c>
      <c r="C1267" s="4">
        <v>2000</v>
      </c>
      <c r="D1267" s="4">
        <v>3000361</v>
      </c>
    </row>
    <row r="1268" spans="1:4" s="5" customFormat="1" x14ac:dyDescent="0.25">
      <c r="A1268" s="5" t="str">
        <f>T("   ZZ_Total_Produit_SH6")</f>
        <v xml:space="preserve">   ZZ_Total_Produit_SH6</v>
      </c>
      <c r="B1268" s="5" t="str">
        <f>T("   ZZ_Total_Produit_SH6")</f>
        <v xml:space="preserve">   ZZ_Total_Produit_SH6</v>
      </c>
      <c r="C1268" s="1">
        <v>343434</v>
      </c>
      <c r="D1268" s="1">
        <v>77332083</v>
      </c>
    </row>
    <row r="1269" spans="1:4" s="5" customFormat="1" x14ac:dyDescent="0.25">
      <c r="B1269" s="5" t="str">
        <f>T("Burundi")</f>
        <v>Burundi</v>
      </c>
      <c r="C1269" s="1"/>
      <c r="D1269" s="1"/>
    </row>
    <row r="1270" spans="1:4" x14ac:dyDescent="0.25">
      <c r="A1270" t="str">
        <f>T("   640199")</f>
        <v xml:space="preserve">   640199</v>
      </c>
      <c r="B1270" t="str">
        <f>T("   AUTRES")</f>
        <v xml:space="preserve">   AUTRES</v>
      </c>
      <c r="C1270" s="4">
        <v>9</v>
      </c>
      <c r="D1270" s="4">
        <v>130995</v>
      </c>
    </row>
    <row r="1271" spans="1:4" x14ac:dyDescent="0.25">
      <c r="A1271" t="str">
        <f>T("   851610")</f>
        <v xml:space="preserve">   851610</v>
      </c>
      <c r="B1271" t="str">
        <f>T("   CHAUFFEEAU ET THERMOPLONGEURS ELECTRIQUES")</f>
        <v xml:space="preserve">   CHAUFFEEAU ET THERMOPLONGEURS ELECTRIQUES</v>
      </c>
      <c r="C1271" s="4">
        <v>17</v>
      </c>
      <c r="D1271" s="4">
        <v>199110</v>
      </c>
    </row>
    <row r="1272" spans="1:4" s="5" customFormat="1" x14ac:dyDescent="0.25">
      <c r="A1272" s="5" t="str">
        <f>T("   ZZ_Total_Produit_SH6")</f>
        <v xml:space="preserve">   ZZ_Total_Produit_SH6</v>
      </c>
      <c r="B1272" s="5" t="str">
        <f>T("   ZZ_Total_Produit_SH6")</f>
        <v xml:space="preserve">   ZZ_Total_Produit_SH6</v>
      </c>
      <c r="C1272" s="1">
        <v>26</v>
      </c>
      <c r="D1272" s="1">
        <v>330105</v>
      </c>
    </row>
    <row r="1273" spans="1:4" s="5" customFormat="1" x14ac:dyDescent="0.25">
      <c r="B1273" s="5" t="str">
        <f>T("Bolivie")</f>
        <v>Bolivie</v>
      </c>
      <c r="C1273" s="1"/>
      <c r="D1273" s="1"/>
    </row>
    <row r="1274" spans="1:4" x14ac:dyDescent="0.25">
      <c r="A1274" t="str">
        <f>T("   160420")</f>
        <v xml:space="preserve">   160420</v>
      </c>
      <c r="B1274" t="str">
        <f>T("   Autres preparations et conserves de poissons")</f>
        <v xml:space="preserve">   Autres preparations et conserves de poissons</v>
      </c>
      <c r="C1274" s="4">
        <v>1</v>
      </c>
      <c r="D1274" s="4">
        <v>63729</v>
      </c>
    </row>
    <row r="1275" spans="1:4" s="5" customFormat="1" x14ac:dyDescent="0.25">
      <c r="A1275" s="5" t="str">
        <f>T("   ZZ_Total_Produit_SH6")</f>
        <v xml:space="preserve">   ZZ_Total_Produit_SH6</v>
      </c>
      <c r="B1275" s="5" t="str">
        <f>T("   ZZ_Total_Produit_SH6")</f>
        <v xml:space="preserve">   ZZ_Total_Produit_SH6</v>
      </c>
      <c r="C1275" s="1">
        <v>1</v>
      </c>
      <c r="D1275" s="1">
        <v>63729</v>
      </c>
    </row>
    <row r="1276" spans="1:4" s="5" customFormat="1" x14ac:dyDescent="0.25">
      <c r="B1276" s="5" t="str">
        <f>T("Brésil")</f>
        <v>Brésil</v>
      </c>
      <c r="C1276" s="1"/>
      <c r="D1276" s="1"/>
    </row>
    <row r="1277" spans="1:4" x14ac:dyDescent="0.25">
      <c r="A1277" t="str">
        <f>T("   020712")</f>
        <v xml:space="preserve">   020712</v>
      </c>
      <c r="B1277" t="str">
        <f>T("   NON DECOUPES EN MORCEAUX, CONGELES")</f>
        <v xml:space="preserve">   NON DECOUPES EN MORCEAUX, CONGELES</v>
      </c>
      <c r="C1277" s="4">
        <v>345916</v>
      </c>
      <c r="D1277" s="4">
        <v>201720054</v>
      </c>
    </row>
    <row r="1278" spans="1:4" x14ac:dyDescent="0.25">
      <c r="A1278" t="str">
        <f>T("   020713")</f>
        <v xml:space="preserve">   020713</v>
      </c>
      <c r="B1278" t="str">
        <f>T("   MORCEAUX ET ABATS, FRAIS OU REFRIGERES")</f>
        <v xml:space="preserve">   MORCEAUX ET ABATS, FRAIS OU REFRIGERES</v>
      </c>
      <c r="C1278" s="4">
        <v>50000</v>
      </c>
      <c r="D1278" s="4">
        <v>31100374</v>
      </c>
    </row>
    <row r="1279" spans="1:4" x14ac:dyDescent="0.25">
      <c r="A1279" t="str">
        <f>T("   020714")</f>
        <v xml:space="preserve">   020714</v>
      </c>
      <c r="B1279" t="str">
        <f>T("   MORCEAUX ET ABATS, CONGELES")</f>
        <v xml:space="preserve">   MORCEAUX ET ABATS, CONGELES</v>
      </c>
      <c r="C1279" s="4">
        <v>9564271</v>
      </c>
      <c r="D1279" s="4">
        <v>5846026008</v>
      </c>
    </row>
    <row r="1280" spans="1:4" x14ac:dyDescent="0.25">
      <c r="A1280" t="str">
        <f>T("   020727")</f>
        <v xml:space="preserve">   020727</v>
      </c>
      <c r="B1280" t="str">
        <f>T("   MORCEAUX ET ABATS, CONGELES")</f>
        <v xml:space="preserve">   MORCEAUX ET ABATS, CONGELES</v>
      </c>
      <c r="C1280" s="4">
        <v>12470808</v>
      </c>
      <c r="D1280" s="4">
        <v>7684732141</v>
      </c>
    </row>
    <row r="1281" spans="1:4" x14ac:dyDescent="0.25">
      <c r="A1281" t="str">
        <f>T("   030268")</f>
        <v xml:space="preserve">   030268</v>
      </c>
      <c r="B1281" t="str">
        <f>T("   --LEGINES(DISSOSTICHUS SPP)")</f>
        <v xml:space="preserve">   --LEGINES(DISSOSTICHUS SPP)</v>
      </c>
      <c r="C1281" s="4">
        <v>28000</v>
      </c>
      <c r="D1281" s="4">
        <v>11200000</v>
      </c>
    </row>
    <row r="1282" spans="1:4" x14ac:dyDescent="0.25">
      <c r="A1282" t="str">
        <f>T("   030269")</f>
        <v xml:space="preserve">   030269</v>
      </c>
      <c r="B1282" t="str">
        <f>T("   Autres poissons entiers,frais ou refrigeres.(foies,oeufs laitances exclus)")</f>
        <v xml:space="preserve">   Autres poissons entiers,frais ou refrigeres.(foies,oeufs laitances exclus)</v>
      </c>
      <c r="C1282" s="4">
        <v>26500</v>
      </c>
      <c r="D1282" s="4">
        <v>10600000</v>
      </c>
    </row>
    <row r="1283" spans="1:4" x14ac:dyDescent="0.25">
      <c r="A1283" t="str">
        <f>T("   030339")</f>
        <v xml:space="preserve">   030339</v>
      </c>
      <c r="B1283" t="str">
        <f>T("   AUTRES")</f>
        <v xml:space="preserve">   AUTRES</v>
      </c>
      <c r="C1283" s="4">
        <v>22540</v>
      </c>
      <c r="D1283" s="4">
        <v>5071500</v>
      </c>
    </row>
    <row r="1284" spans="1:4" x14ac:dyDescent="0.25">
      <c r="A1284" t="str">
        <f>T("   030379")</f>
        <v xml:space="preserve">   030379</v>
      </c>
      <c r="B1284" t="str">
        <f>T("   AUTRES POISSONS ENTIERS CONGELES.(FOIES,OEUFS,LAITANCES EXCLUS)")</f>
        <v xml:space="preserve">   AUTRES POISSONS ENTIERS CONGELES.(FOIES,OEUFS,LAITANCES EXCLUS)</v>
      </c>
      <c r="C1284" s="4">
        <v>137000</v>
      </c>
      <c r="D1284" s="4">
        <v>54800000</v>
      </c>
    </row>
    <row r="1285" spans="1:4" x14ac:dyDescent="0.25">
      <c r="A1285" t="str">
        <f>T("   050400")</f>
        <v xml:space="preserve">   050400</v>
      </c>
      <c r="B1285" t="str">
        <f>T("   BOYAUX, VESSIES ET ESTOMACS D'ANIMAUX, ENTIERS OU EN MORCEAUX, AUTRES QUE CEUX DE POISS")</f>
        <v xml:space="preserve">   BOYAUX, VESSIES ET ESTOMACS D'ANIMAUX, ENTIERS OU EN MORCEAUX, AUTRES QUE CEUX DE POISS</v>
      </c>
      <c r="C1285" s="4">
        <v>1716975</v>
      </c>
      <c r="D1285" s="4">
        <v>2047960621</v>
      </c>
    </row>
    <row r="1286" spans="1:4" x14ac:dyDescent="0.25">
      <c r="A1286" t="str">
        <f>T("   100590")</f>
        <v xml:space="preserve">   100590</v>
      </c>
      <c r="B1286" t="str">
        <f>T("   AUTRE")</f>
        <v xml:space="preserve">   AUTRE</v>
      </c>
      <c r="C1286" s="4">
        <v>278136</v>
      </c>
      <c r="D1286" s="4">
        <v>127520637</v>
      </c>
    </row>
    <row r="1287" spans="1:4" x14ac:dyDescent="0.25">
      <c r="A1287" t="str">
        <f>T("   100630")</f>
        <v xml:space="preserve">   100630</v>
      </c>
      <c r="B1287" t="str">
        <f>T("   RIZ SEMIBLANCHI OU BLANCHI, MEME POLI OU GLACE")</f>
        <v xml:space="preserve">   RIZ SEMIBLANCHI OU BLANCHI, MEME POLI OU GLACE</v>
      </c>
      <c r="C1287" s="4">
        <v>1801740</v>
      </c>
      <c r="D1287" s="4">
        <v>180301600</v>
      </c>
    </row>
    <row r="1288" spans="1:4" x14ac:dyDescent="0.25">
      <c r="A1288" t="str">
        <f>T("   100640")</f>
        <v xml:space="preserve">   100640</v>
      </c>
      <c r="B1288" t="str">
        <f>T("   RIZ EN BRISURES")</f>
        <v xml:space="preserve">   RIZ EN BRISURES</v>
      </c>
      <c r="C1288" s="4">
        <v>12058067</v>
      </c>
      <c r="D1288" s="4">
        <v>4410314355.875</v>
      </c>
    </row>
    <row r="1289" spans="1:4" x14ac:dyDescent="0.25">
      <c r="A1289" t="str">
        <f>T("   160100")</f>
        <v xml:space="preserve">   160100</v>
      </c>
      <c r="B1289" t="str">
        <f>T("   SAUCISSES, SAUCISSONS ET PRODUITS SIMILAIRES, DE VIANDE, D'ABATS OU DE SANG; PREPARATIO")</f>
        <v xml:space="preserve">   SAUCISSES, SAUCISSONS ET PRODUITS SIMILAIRES, DE VIANDE, D'ABATS OU DE SANG; PREPARATIO</v>
      </c>
      <c r="C1289" s="4">
        <v>702071.56</v>
      </c>
      <c r="D1289" s="4">
        <v>505522246</v>
      </c>
    </row>
    <row r="1290" spans="1:4" x14ac:dyDescent="0.25">
      <c r="A1290" t="str">
        <f>T("   160232")</f>
        <v xml:space="preserve">   160232</v>
      </c>
      <c r="B1290" t="str">
        <f>T("   DE COQS ET DE POULES")</f>
        <v xml:space="preserve">   DE COQS ET DE POULES</v>
      </c>
      <c r="C1290" s="4">
        <v>535980</v>
      </c>
      <c r="D1290" s="4">
        <v>402071398</v>
      </c>
    </row>
    <row r="1291" spans="1:4" x14ac:dyDescent="0.25">
      <c r="A1291" t="str">
        <f>T("   170191")</f>
        <v xml:space="preserve">   170191</v>
      </c>
      <c r="B1291" t="str">
        <f>T("   ADDITIONNES D'AROMATISANTS OU DE COLORANTS")</f>
        <v xml:space="preserve">   ADDITIONNES D'AROMATISANTS OU DE COLORANTS</v>
      </c>
      <c r="C1291" s="4">
        <v>21835942</v>
      </c>
      <c r="D1291" s="4">
        <v>2190799995.46</v>
      </c>
    </row>
    <row r="1292" spans="1:4" x14ac:dyDescent="0.25">
      <c r="A1292" t="str">
        <f>T("   170199")</f>
        <v xml:space="preserve">   170199</v>
      </c>
      <c r="B1292" t="str">
        <f>T("   AUTRES")</f>
        <v xml:space="preserve">   AUTRES</v>
      </c>
      <c r="C1292" s="4">
        <v>21853558</v>
      </c>
      <c r="D1292" s="4">
        <v>6040502649.2220001</v>
      </c>
    </row>
    <row r="1293" spans="1:4" x14ac:dyDescent="0.25">
      <c r="A1293" t="str">
        <f>T("   170219")</f>
        <v xml:space="preserve">   170219</v>
      </c>
      <c r="B1293" t="str">
        <f>T("   AUTRES")</f>
        <v xml:space="preserve">   AUTRES</v>
      </c>
      <c r="C1293" s="4">
        <v>4320925</v>
      </c>
      <c r="D1293" s="4">
        <v>493741148</v>
      </c>
    </row>
    <row r="1294" spans="1:4" x14ac:dyDescent="0.25">
      <c r="A1294" t="str">
        <f>T("   170220")</f>
        <v xml:space="preserve">   170220</v>
      </c>
      <c r="B1294" t="str">
        <f>T("   SUCRE ET SIROP D'ERABLE")</f>
        <v xml:space="preserve">   SUCRE ET SIROP D'ERABLE</v>
      </c>
      <c r="C1294" s="4">
        <v>378000</v>
      </c>
      <c r="D1294" s="4">
        <v>45360000</v>
      </c>
    </row>
    <row r="1295" spans="1:4" x14ac:dyDescent="0.25">
      <c r="A1295" t="str">
        <f>T("   170290")</f>
        <v xml:space="preserve">   170290</v>
      </c>
      <c r="B1295" t="str">
        <f>T("   AUTRES, Y COMPRIS LE SUCRE INVERTI (OU INTERVERTI) ET LES AUTRES SUCRES ET SIROPS DE")</f>
        <v xml:space="preserve">   AUTRES, Y COMPRIS LE SUCRE INVERTI (OU INTERVERTI) ET LES AUTRES SUCRES ET SIROPS DE</v>
      </c>
      <c r="C1295" s="4">
        <v>270000</v>
      </c>
      <c r="D1295" s="4">
        <v>32400000</v>
      </c>
    </row>
    <row r="1296" spans="1:4" x14ac:dyDescent="0.25">
      <c r="A1296" t="str">
        <f>T("   170390")</f>
        <v xml:space="preserve">   170390</v>
      </c>
      <c r="B1296" t="str">
        <f>T("   AUTRES")</f>
        <v xml:space="preserve">   AUTRES</v>
      </c>
      <c r="C1296" s="4">
        <v>540000</v>
      </c>
      <c r="D1296" s="4">
        <v>64801164</v>
      </c>
    </row>
    <row r="1297" spans="1:4" x14ac:dyDescent="0.25">
      <c r="A1297" t="str">
        <f>T("   170490")</f>
        <v xml:space="preserve">   170490</v>
      </c>
      <c r="B1297" t="str">
        <f>T("   AUTRES")</f>
        <v xml:space="preserve">   AUTRES</v>
      </c>
      <c r="C1297" s="4">
        <v>2650</v>
      </c>
      <c r="D1297" s="4">
        <v>983940</v>
      </c>
    </row>
    <row r="1298" spans="1:4" x14ac:dyDescent="0.25">
      <c r="A1298" t="str">
        <f>T("   190110")</f>
        <v xml:space="preserve">   190110</v>
      </c>
      <c r="B1298" t="str">
        <f>T("   PREPARATIONS POUR L'ALIMENTATION DES ENFANTS, CONDITIONNEES POUR LA VENTE AU DETAIL")</f>
        <v xml:space="preserve">   PREPARATIONS POUR L'ALIMENTATION DES ENFANTS, CONDITIONNEES POUR LA VENTE AU DETAIL</v>
      </c>
      <c r="C1298" s="4">
        <v>12051.6</v>
      </c>
      <c r="D1298" s="4">
        <v>29051196</v>
      </c>
    </row>
    <row r="1299" spans="1:4" x14ac:dyDescent="0.25">
      <c r="A1299" t="str">
        <f>T("   190230")</f>
        <v xml:space="preserve">   190230</v>
      </c>
      <c r="B1299" t="str">
        <f>T("   AUTRES PATES ALIMENTAIRES")</f>
        <v xml:space="preserve">   AUTRES PATES ALIMENTAIRES</v>
      </c>
      <c r="C1299" s="4">
        <v>8794</v>
      </c>
      <c r="D1299" s="4">
        <v>1134811</v>
      </c>
    </row>
    <row r="1300" spans="1:4" x14ac:dyDescent="0.25">
      <c r="A1300" t="str">
        <f>T("   190590")</f>
        <v xml:space="preserve">   190590</v>
      </c>
      <c r="B1300" t="str">
        <f>T("   AUTRES")</f>
        <v xml:space="preserve">   AUTRES</v>
      </c>
      <c r="C1300" s="4">
        <v>2000</v>
      </c>
      <c r="D1300" s="4">
        <v>983940</v>
      </c>
    </row>
    <row r="1301" spans="1:4" x14ac:dyDescent="0.25">
      <c r="A1301" t="str">
        <f>T("   200980")</f>
        <v xml:space="preserve">   200980</v>
      </c>
      <c r="B1301" t="str">
        <f>T("   AUTRES JUS DE FRUITS OU DE LEGUMES,SANS ALCOOL,SUCRES OU NON")</f>
        <v xml:space="preserve">   AUTRES JUS DE FRUITS OU DE LEGUMES,SANS ALCOOL,SUCRES OU NON</v>
      </c>
      <c r="C1301" s="4">
        <v>24000</v>
      </c>
      <c r="D1301" s="4">
        <v>1770000</v>
      </c>
    </row>
    <row r="1302" spans="1:4" x14ac:dyDescent="0.25">
      <c r="A1302" t="str">
        <f>T("   210390")</f>
        <v xml:space="preserve">   210390</v>
      </c>
      <c r="B1302" t="str">
        <f>T("   AUTRES")</f>
        <v xml:space="preserve">   AUTRES</v>
      </c>
      <c r="C1302" s="4">
        <v>40234</v>
      </c>
      <c r="D1302" s="4">
        <v>14115000</v>
      </c>
    </row>
    <row r="1303" spans="1:4" x14ac:dyDescent="0.25">
      <c r="A1303" t="str">
        <f>T("   220210")</f>
        <v xml:space="preserve">   220210</v>
      </c>
      <c r="B1303" t="str">
        <f>T("   EAUX, Y COMPRIS LES EAUX MINERALES ET LES EAUX GAZEIFIEES, ADDITIONNEES DE SUCRE OU D")</f>
        <v xml:space="preserve">   EAUX, Y COMPRIS LES EAUX MINERALES ET LES EAUX GAZEIFIEES, ADDITIONNEES DE SUCRE OU D</v>
      </c>
      <c r="C1303" s="4">
        <v>18302</v>
      </c>
      <c r="D1303" s="4">
        <v>3531500</v>
      </c>
    </row>
    <row r="1304" spans="1:4" x14ac:dyDescent="0.25">
      <c r="A1304" t="str">
        <f>T("   220290")</f>
        <v xml:space="preserve">   220290</v>
      </c>
      <c r="B1304" t="str">
        <f>T("   AUTRES")</f>
        <v xml:space="preserve">   AUTRES</v>
      </c>
      <c r="C1304" s="4">
        <v>9445</v>
      </c>
      <c r="D1304" s="4">
        <v>997059</v>
      </c>
    </row>
    <row r="1305" spans="1:4" x14ac:dyDescent="0.25">
      <c r="A1305" t="str">
        <f>T("   220600")</f>
        <v xml:space="preserve">   220600</v>
      </c>
      <c r="B1305" t="str">
        <f>T("   AUTRES BOISSONS FERMENTEES (CIDRE, POIRE, HYDROMEL, PAR EXEMPLE); MELANGES DE BOISSONS")</f>
        <v xml:space="preserve">   AUTRES BOISSONS FERMENTEES (CIDRE, POIRE, HYDROMEL, PAR EXEMPLE); MELANGES DE BOISSONS</v>
      </c>
      <c r="C1305" s="4">
        <v>36252</v>
      </c>
      <c r="D1305" s="4">
        <v>5297000</v>
      </c>
    </row>
    <row r="1306" spans="1:4" x14ac:dyDescent="0.25">
      <c r="A1306" t="str">
        <f>T("   220830")</f>
        <v xml:space="preserve">   220830</v>
      </c>
      <c r="B1306" t="str">
        <f>T("   Whiskies")</f>
        <v xml:space="preserve">   Whiskies</v>
      </c>
      <c r="C1306" s="4">
        <v>16370</v>
      </c>
      <c r="D1306" s="4">
        <v>2694115</v>
      </c>
    </row>
    <row r="1307" spans="1:4" x14ac:dyDescent="0.25">
      <c r="A1307" t="str">
        <f>T("   292242")</f>
        <v xml:space="preserve">   292242</v>
      </c>
      <c r="B1307" t="str">
        <f>T("   Acide glutamique et ses sels")</f>
        <v xml:space="preserve">   Acide glutamique et ses sels</v>
      </c>
      <c r="C1307" s="4">
        <v>1241566.97</v>
      </c>
      <c r="D1307" s="4">
        <v>42805647</v>
      </c>
    </row>
    <row r="1308" spans="1:4" x14ac:dyDescent="0.25">
      <c r="A1308" t="str">
        <f>T("   300490")</f>
        <v xml:space="preserve">   300490</v>
      </c>
      <c r="B1308" t="str">
        <f>T("   AUTRES")</f>
        <v xml:space="preserve">   AUTRES</v>
      </c>
      <c r="C1308" s="4">
        <v>33144</v>
      </c>
      <c r="D1308" s="4">
        <v>201618457</v>
      </c>
    </row>
    <row r="1309" spans="1:4" x14ac:dyDescent="0.25">
      <c r="A1309" t="str">
        <f>T("   330499")</f>
        <v xml:space="preserve">   330499</v>
      </c>
      <c r="B1309" t="str">
        <f>T("   AUTRES")</f>
        <v xml:space="preserve">   AUTRES</v>
      </c>
      <c r="C1309" s="4">
        <v>15880</v>
      </c>
      <c r="D1309" s="4">
        <v>6352000</v>
      </c>
    </row>
    <row r="1310" spans="1:4" x14ac:dyDescent="0.25">
      <c r="A1310" t="str">
        <f>T("   340290")</f>
        <v xml:space="preserve">   340290</v>
      </c>
      <c r="B1310" t="str">
        <f>T("   AUTRES")</f>
        <v xml:space="preserve">   AUTRES</v>
      </c>
      <c r="C1310" s="4">
        <v>69440</v>
      </c>
      <c r="D1310" s="4">
        <v>20093224</v>
      </c>
    </row>
    <row r="1311" spans="1:4" x14ac:dyDescent="0.25">
      <c r="A1311" t="str">
        <f>T("   380850")</f>
        <v xml:space="preserve">   380850</v>
      </c>
      <c r="B1311" t="str">
        <f>T("   MARCHANDISES MENTIONNEES DANS LA NOTE 1 DE SOUSPOSITIONS DU PRESENT CHAPITRE")</f>
        <v xml:space="preserve">   MARCHANDISES MENTIONNEES DANS LA NOTE 1 DE SOUSPOSITIONS DU PRESENT CHAPITRE</v>
      </c>
      <c r="C1311" s="4">
        <v>90000</v>
      </c>
      <c r="D1311" s="4">
        <v>4478000</v>
      </c>
    </row>
    <row r="1312" spans="1:4" x14ac:dyDescent="0.25">
      <c r="A1312" t="str">
        <f>T("   381600")</f>
        <v xml:space="preserve">   381600</v>
      </c>
      <c r="B1312" t="str">
        <f>T("   CIMENTS, MORTIERS, BETONS ET COMPOSITIONS SIMILAIRES REFRACTAIRES, AUTRES QUE LES PRODU")</f>
        <v xml:space="preserve">   CIMENTS, MORTIERS, BETONS ET COMPOSITIONS SIMILAIRES REFRACTAIRES, AUTRES QUE LES PRODU</v>
      </c>
      <c r="C1312" s="4">
        <v>1745</v>
      </c>
      <c r="D1312" s="4">
        <v>675148</v>
      </c>
    </row>
    <row r="1313" spans="1:4" x14ac:dyDescent="0.25">
      <c r="A1313" t="str">
        <f>T("   401110")</f>
        <v xml:space="preserve">   401110</v>
      </c>
      <c r="B1313" t="str">
        <f>T("   DES TYPES UTILISES POUR LES VOITURES DE TOURISME (Y COMPRIS LES VOITURES DU TYPE «BRE")</f>
        <v xml:space="preserve">   DES TYPES UTILISES POUR LES VOITURES DE TOURISME (Y COMPRIS LES VOITURES DU TYPE «BRE</v>
      </c>
      <c r="C1313" s="4">
        <v>8295</v>
      </c>
      <c r="D1313" s="4">
        <v>27200694</v>
      </c>
    </row>
    <row r="1314" spans="1:4" x14ac:dyDescent="0.25">
      <c r="A1314" t="str">
        <f>T("   440290")</f>
        <v xml:space="preserve">   440290</v>
      </c>
      <c r="B1314" t="str">
        <f>T("   AUTRES")</f>
        <v xml:space="preserve">   AUTRES</v>
      </c>
      <c r="C1314" s="4">
        <v>309897</v>
      </c>
      <c r="D1314" s="4">
        <v>51598955</v>
      </c>
    </row>
    <row r="1315" spans="1:4" x14ac:dyDescent="0.25">
      <c r="A1315" t="str">
        <f>T("   441192")</f>
        <v xml:space="preserve">   441192</v>
      </c>
      <c r="B1315" t="str">
        <f>T("   D'UNE MASSE VOLUMIQUE EXCEDANT 0,8 G/CM³")</f>
        <v xml:space="preserve">   D'UNE MASSE VOLUMIQUE EXCEDANT 0,8 G/CM³</v>
      </c>
      <c r="C1315" s="4">
        <v>23235</v>
      </c>
      <c r="D1315" s="4">
        <v>3981674</v>
      </c>
    </row>
    <row r="1316" spans="1:4" x14ac:dyDescent="0.25">
      <c r="A1316" t="str">
        <f>T("   441199")</f>
        <v xml:space="preserve">   441199</v>
      </c>
      <c r="B1316" t="str">
        <f>T("   AUTRES PANNEAUX DE FIBRES 0,35 G/CM3 ET -")</f>
        <v xml:space="preserve">   AUTRES PANNEAUX DE FIBRES 0,35 G/CM3 ET -</v>
      </c>
      <c r="C1316" s="4">
        <v>261465.2</v>
      </c>
      <c r="D1316" s="4">
        <v>44499693</v>
      </c>
    </row>
    <row r="1317" spans="1:4" x14ac:dyDescent="0.25">
      <c r="A1317" t="str">
        <f>T("   441820")</f>
        <v xml:space="preserve">   441820</v>
      </c>
      <c r="B1317" t="str">
        <f>T("   PORTES ET LEURS CADRES, CHAMBRANLES ET SEUILS")</f>
        <v xml:space="preserve">   PORTES ET LEURS CADRES, CHAMBRANLES ET SEUILS</v>
      </c>
      <c r="C1317" s="4">
        <v>69157</v>
      </c>
      <c r="D1317" s="4">
        <v>38339903</v>
      </c>
    </row>
    <row r="1318" spans="1:4" x14ac:dyDescent="0.25">
      <c r="A1318" t="str">
        <f>T("   480210")</f>
        <v xml:space="preserve">   480210</v>
      </c>
      <c r="B1318" t="str">
        <f>T("   Papiers et cartons formes feuille a feuille (papiers a la main)")</f>
        <v xml:space="preserve">   Papiers et cartons formes feuille a feuille (papiers a la main)</v>
      </c>
      <c r="C1318" s="4">
        <v>2983</v>
      </c>
      <c r="D1318" s="4">
        <v>3186534</v>
      </c>
    </row>
    <row r="1319" spans="1:4" x14ac:dyDescent="0.25">
      <c r="A1319" t="str">
        <f>T("   480421")</f>
        <v xml:space="preserve">   480421</v>
      </c>
      <c r="B1319" t="str">
        <f>T("   ECRUS")</f>
        <v xml:space="preserve">   ECRUS</v>
      </c>
      <c r="C1319" s="4">
        <v>25748</v>
      </c>
      <c r="D1319" s="4">
        <v>10580307</v>
      </c>
    </row>
    <row r="1320" spans="1:4" x14ac:dyDescent="0.25">
      <c r="A1320" t="str">
        <f>T("   610910")</f>
        <v xml:space="preserve">   610910</v>
      </c>
      <c r="B1320" t="str">
        <f>T("   DE COTON")</f>
        <v xml:space="preserve">   DE COTON</v>
      </c>
      <c r="C1320" s="4">
        <v>46.77</v>
      </c>
      <c r="D1320" s="4">
        <v>138813</v>
      </c>
    </row>
    <row r="1321" spans="1:4" x14ac:dyDescent="0.25">
      <c r="A1321" t="str">
        <f>T("   611190")</f>
        <v xml:space="preserve">   611190</v>
      </c>
      <c r="B1321" t="str">
        <f>T("   D'AUTRES MATIERES TEXTILES")</f>
        <v xml:space="preserve">   D'AUTRES MATIERES TEXTILES</v>
      </c>
      <c r="C1321" s="4">
        <v>2020</v>
      </c>
      <c r="D1321" s="4">
        <v>5297999</v>
      </c>
    </row>
    <row r="1322" spans="1:4" x14ac:dyDescent="0.25">
      <c r="A1322" t="str">
        <f>T("   630510")</f>
        <v xml:space="preserve">   630510</v>
      </c>
      <c r="B1322" t="str">
        <f>T("   DE JUTE OU D'AUTRES FIBRES TEXTILES LIBERIENNES DU N° 53.03")</f>
        <v xml:space="preserve">   DE JUTE OU D'AUTRES FIBRES TEXTILES LIBERIENNES DU N° 53.03</v>
      </c>
      <c r="C1322" s="4">
        <v>68</v>
      </c>
      <c r="D1322" s="4">
        <v>32798</v>
      </c>
    </row>
    <row r="1323" spans="1:4" x14ac:dyDescent="0.25">
      <c r="A1323" t="str">
        <f>T("   630590")</f>
        <v xml:space="preserve">   630590</v>
      </c>
      <c r="B1323" t="str">
        <f>T("   D'AUTRES MATIERES TEXTILES")</f>
        <v xml:space="preserve">   D'AUTRES MATIERES TEXTILES</v>
      </c>
      <c r="C1323" s="4">
        <v>9350</v>
      </c>
      <c r="D1323" s="4">
        <v>3354579</v>
      </c>
    </row>
    <row r="1324" spans="1:4" x14ac:dyDescent="0.25">
      <c r="A1324" t="str">
        <f>T("   690210")</f>
        <v xml:space="preserve">   690210</v>
      </c>
      <c r="B1324" t="str">
        <f>T("   CONTENANT EN POIDS PLUS DE 50 % DES ELEMENTS MG, CA OU CR, PRIS ISOLEMENT OU ENSEMBLE")</f>
        <v xml:space="preserve">   CONTENANT EN POIDS PLUS DE 50 % DES ELEMENTS MG, CA OU CR, PRIS ISOLEMENT OU ENSEMBLE</v>
      </c>
      <c r="C1324" s="4">
        <v>181246</v>
      </c>
      <c r="D1324" s="4">
        <v>128453186</v>
      </c>
    </row>
    <row r="1325" spans="1:4" x14ac:dyDescent="0.25">
      <c r="A1325" t="str">
        <f>T("   690890")</f>
        <v xml:space="preserve">   690890</v>
      </c>
      <c r="B1325" t="str">
        <f>T("   AUTRES")</f>
        <v xml:space="preserve">   AUTRES</v>
      </c>
      <c r="C1325" s="4">
        <v>107673</v>
      </c>
      <c r="D1325" s="4">
        <v>12674543</v>
      </c>
    </row>
    <row r="1326" spans="1:4" x14ac:dyDescent="0.25">
      <c r="A1326" t="str">
        <f>T("   720410")</f>
        <v xml:space="preserve">   720410</v>
      </c>
      <c r="B1326" t="str">
        <f>T("   Dechets et debris de fonte")</f>
        <v xml:space="preserve">   Dechets et debris de fonte</v>
      </c>
      <c r="C1326" s="4">
        <v>1500</v>
      </c>
      <c r="D1326" s="4">
        <v>340000</v>
      </c>
    </row>
    <row r="1327" spans="1:4" x14ac:dyDescent="0.25">
      <c r="A1327" t="str">
        <f>T("   721041")</f>
        <v xml:space="preserve">   721041</v>
      </c>
      <c r="B1327" t="str">
        <f>T("   ONDULES")</f>
        <v xml:space="preserve">   ONDULES</v>
      </c>
      <c r="C1327" s="4">
        <v>384000</v>
      </c>
      <c r="D1327" s="4">
        <v>57380370</v>
      </c>
    </row>
    <row r="1328" spans="1:4" x14ac:dyDescent="0.25">
      <c r="A1328" t="str">
        <f>T("   721420")</f>
        <v xml:space="preserve">   721420</v>
      </c>
      <c r="B1328" t="str">
        <f>T("   COMPORTANT DES INDENTATIONS, BOURRELETS, CREUX OU RELIEFS OBTENUS AU COURS DU LAMINAG")</f>
        <v xml:space="preserve">   COMPORTANT DES INDENTATIONS, BOURRELETS, CREUX OU RELIEFS OBTENUS AU COURS DU LAMINAG</v>
      </c>
      <c r="C1328" s="4">
        <v>66000</v>
      </c>
      <c r="D1328" s="4">
        <v>16896000</v>
      </c>
    </row>
    <row r="1329" spans="1:4" x14ac:dyDescent="0.25">
      <c r="A1329" t="str">
        <f>T("   721632")</f>
        <v xml:space="preserve">   721632</v>
      </c>
      <c r="B1329" t="str">
        <f>T("   PROFILES EN I")</f>
        <v xml:space="preserve">   PROFILES EN I</v>
      </c>
      <c r="C1329" s="4">
        <v>4232</v>
      </c>
      <c r="D1329" s="4">
        <v>1569930</v>
      </c>
    </row>
    <row r="1330" spans="1:4" x14ac:dyDescent="0.25">
      <c r="A1330" t="str">
        <f>T("   730690")</f>
        <v xml:space="preserve">   730690</v>
      </c>
      <c r="B1330" t="str">
        <f>T("   AUTRES")</f>
        <v xml:space="preserve">   AUTRES</v>
      </c>
      <c r="C1330" s="4">
        <v>25000</v>
      </c>
      <c r="D1330" s="4">
        <v>5000000</v>
      </c>
    </row>
    <row r="1331" spans="1:4" x14ac:dyDescent="0.25">
      <c r="A1331" t="str">
        <f>T("   841829")</f>
        <v xml:space="preserve">   841829</v>
      </c>
      <c r="B1331" t="str">
        <f>T("   AUTRES")</f>
        <v xml:space="preserve">   AUTRES</v>
      </c>
      <c r="C1331" s="4">
        <v>58360</v>
      </c>
      <c r="D1331" s="4">
        <v>80435099</v>
      </c>
    </row>
    <row r="1332" spans="1:4" x14ac:dyDescent="0.25">
      <c r="A1332" t="str">
        <f>T("   841899")</f>
        <v xml:space="preserve">   841899</v>
      </c>
      <c r="B1332" t="str">
        <f>T("   AUTRES")</f>
        <v xml:space="preserve">   AUTRES</v>
      </c>
      <c r="C1332" s="4">
        <v>1880</v>
      </c>
      <c r="D1332" s="4">
        <v>16595788</v>
      </c>
    </row>
    <row r="1333" spans="1:4" x14ac:dyDescent="0.25">
      <c r="A1333" t="str">
        <f>T("   850163")</f>
        <v xml:space="preserve">   850163</v>
      </c>
      <c r="B1333" t="str">
        <f>T("   D'UNE PUISSANCE EXCEDANT 375 KVA MAIS N'EXCEDANT PAS 750 KVA")</f>
        <v xml:space="preserve">   D'UNE PUISSANCE EXCEDANT 375 KVA MAIS N'EXCEDANT PAS 750 KVA</v>
      </c>
      <c r="C1333" s="4">
        <v>124276</v>
      </c>
      <c r="D1333" s="4">
        <v>109746044</v>
      </c>
    </row>
    <row r="1334" spans="1:4" x14ac:dyDescent="0.25">
      <c r="A1334" t="str">
        <f>T("   850220")</f>
        <v xml:space="preserve">   850220</v>
      </c>
      <c r="B1334" t="str">
        <f>T("   GROUPES ELECTROGENES A MOTEUR A PISTON A ALLUMAGE PAR ETINCELLES (MOTEURS A EXPLOSION")</f>
        <v xml:space="preserve">   GROUPES ELECTROGENES A MOTEUR A PISTON A ALLUMAGE PAR ETINCELLES (MOTEURS A EXPLOSION</v>
      </c>
      <c r="C1334" s="4">
        <v>10926</v>
      </c>
      <c r="D1334" s="4">
        <v>29905625</v>
      </c>
    </row>
    <row r="1335" spans="1:4" x14ac:dyDescent="0.25">
      <c r="A1335" t="str">
        <f>T("   850300")</f>
        <v xml:space="preserve">   850300</v>
      </c>
      <c r="B1335" t="str">
        <f>T("   PARTIES RECONNAISSABLES COMME ETANT EXCLUSIVEMENT OU PRINCIPALEMENT DESTINEES AUX MACHI")</f>
        <v xml:space="preserve">   PARTIES RECONNAISSABLES COMME ETANT EXCLUSIVEMENT OU PRINCIPALEMENT DESTINEES AUX MACHI</v>
      </c>
      <c r="C1335" s="4">
        <v>370</v>
      </c>
      <c r="D1335" s="4">
        <v>8995235</v>
      </c>
    </row>
    <row r="1336" spans="1:4" x14ac:dyDescent="0.25">
      <c r="A1336" t="str">
        <f>T("   850432")</f>
        <v xml:space="preserve">   850432</v>
      </c>
      <c r="B1336" t="str">
        <f>T("   D'UNE PUISSANCE EXCEDANT 1 KVA MAIS N'EXCEDANT PAS 16 KVA")</f>
        <v xml:space="preserve">   D'UNE PUISSANCE EXCEDANT 1 KVA MAIS N'EXCEDANT PAS 16 KVA</v>
      </c>
      <c r="C1336" s="4">
        <v>185</v>
      </c>
      <c r="D1336" s="4">
        <v>436213</v>
      </c>
    </row>
    <row r="1337" spans="1:4" x14ac:dyDescent="0.25">
      <c r="A1337" t="str">
        <f>T("   853630")</f>
        <v xml:space="preserve">   853630</v>
      </c>
      <c r="B1337" t="str">
        <f>T("   AUTRES APPAREILS POUR LA PROTECTION DES CIRCUITS ELECTRIQUES")</f>
        <v xml:space="preserve">   AUTRES APPAREILS POUR LA PROTECTION DES CIRCUITS ELECTRIQUES</v>
      </c>
      <c r="C1337" s="4">
        <v>6474</v>
      </c>
      <c r="D1337" s="4">
        <v>5226912</v>
      </c>
    </row>
    <row r="1338" spans="1:4" x14ac:dyDescent="0.25">
      <c r="A1338" t="str">
        <f>T("   854420")</f>
        <v xml:space="preserve">   854420</v>
      </c>
      <c r="B1338" t="str">
        <f>T("   Cables coaxiaux et autres conducteurs electriques coaxiaux")</f>
        <v xml:space="preserve">   Cables coaxiaux et autres conducteurs electriques coaxiaux</v>
      </c>
      <c r="C1338" s="4">
        <v>5026</v>
      </c>
      <c r="D1338" s="4">
        <v>5869198</v>
      </c>
    </row>
    <row r="1339" spans="1:4" x14ac:dyDescent="0.25">
      <c r="A1339" t="str">
        <f>T("   870323")</f>
        <v xml:space="preserve">   870323</v>
      </c>
      <c r="B1339" t="str">
        <f>T("   D’UNE CYLINDREE EXCEDANT 1.500 CM³ MAIS N’EXCEDANT PAS 3.000 CM³")</f>
        <v xml:space="preserve">   D’UNE CYLINDREE EXCEDANT 1.500 CM³ MAIS N’EXCEDANT PAS 3.000 CM³</v>
      </c>
      <c r="C1339" s="4">
        <v>1718</v>
      </c>
      <c r="D1339" s="4">
        <v>1226464</v>
      </c>
    </row>
    <row r="1340" spans="1:4" x14ac:dyDescent="0.25">
      <c r="A1340" t="str">
        <f>T("   901819")</f>
        <v xml:space="preserve">   901819</v>
      </c>
      <c r="B1340" t="str">
        <f>T("   AUTRES")</f>
        <v xml:space="preserve">   AUTRES</v>
      </c>
      <c r="C1340" s="4">
        <v>2900</v>
      </c>
      <c r="D1340" s="4">
        <v>10180628</v>
      </c>
    </row>
    <row r="1341" spans="1:4" x14ac:dyDescent="0.25">
      <c r="A1341" t="str">
        <f>T("   940320")</f>
        <v xml:space="preserve">   940320</v>
      </c>
      <c r="B1341" t="str">
        <f>T("   AUTRES MEUBLES EN METAL")</f>
        <v xml:space="preserve">   AUTRES MEUBLES EN METAL</v>
      </c>
      <c r="C1341" s="4">
        <v>16038</v>
      </c>
      <c r="D1341" s="4">
        <v>2937586</v>
      </c>
    </row>
    <row r="1342" spans="1:4" x14ac:dyDescent="0.25">
      <c r="A1342" t="str">
        <f>T("   940389")</f>
        <v xml:space="preserve">   940389</v>
      </c>
      <c r="B1342" t="str">
        <f>T("   AUTRES")</f>
        <v xml:space="preserve">   AUTRES</v>
      </c>
      <c r="C1342" s="4">
        <v>6500</v>
      </c>
      <c r="D1342" s="4">
        <v>2920000</v>
      </c>
    </row>
    <row r="1343" spans="1:4" s="5" customFormat="1" x14ac:dyDescent="0.25">
      <c r="A1343" s="5" t="str">
        <f>T("   ZZ_Total_Produit_SH6")</f>
        <v xml:space="preserve">   ZZ_Total_Produit_SH6</v>
      </c>
      <c r="B1343" s="5" t="str">
        <f>T("   ZZ_Total_Produit_SH6")</f>
        <v xml:space="preserve">   ZZ_Total_Produit_SH6</v>
      </c>
      <c r="C1343" s="1">
        <v>92274873.099999994</v>
      </c>
      <c r="D1343" s="1">
        <v>31408127698.556999</v>
      </c>
    </row>
    <row r="1344" spans="1:4" s="5" customFormat="1" x14ac:dyDescent="0.25">
      <c r="B1344" s="5" t="str">
        <f>T("Bahamas")</f>
        <v>Bahamas</v>
      </c>
      <c r="C1344" s="1"/>
      <c r="D1344" s="1"/>
    </row>
    <row r="1345" spans="1:4" x14ac:dyDescent="0.25">
      <c r="A1345" t="str">
        <f>T("   300230")</f>
        <v xml:space="preserve">   300230</v>
      </c>
      <c r="B1345" t="str">
        <f>T("   VACCINS POUR LA MEDECINE VETERINAIRE")</f>
        <v xml:space="preserve">   VACCINS POUR LA MEDECINE VETERINAIRE</v>
      </c>
      <c r="C1345" s="4">
        <v>374</v>
      </c>
      <c r="D1345" s="4">
        <v>6400000</v>
      </c>
    </row>
    <row r="1346" spans="1:4" x14ac:dyDescent="0.25">
      <c r="A1346" t="str">
        <f>T("   300490")</f>
        <v xml:space="preserve">   300490</v>
      </c>
      <c r="B1346" t="str">
        <f>T("   AUTRES")</f>
        <v xml:space="preserve">   AUTRES</v>
      </c>
      <c r="C1346" s="4">
        <v>361</v>
      </c>
      <c r="D1346" s="4">
        <v>688633</v>
      </c>
    </row>
    <row r="1347" spans="1:4" x14ac:dyDescent="0.25">
      <c r="A1347" t="str">
        <f>T("   382200")</f>
        <v xml:space="preserve">   382200</v>
      </c>
      <c r="B1347" t="str">
        <f>T("   REACTIFS DE DIAGNOSTIC OU DE LABORATOIRE SUR TOUT SUPPORT ET REACTIFS DE DIAGNOSTIC OU")</f>
        <v xml:space="preserve">   REACTIFS DE DIAGNOSTIC OU DE LABORATOIRE SUR TOUT SUPPORT ET REACTIFS DE DIAGNOSTIC OU</v>
      </c>
      <c r="C1347" s="4">
        <v>73.5</v>
      </c>
      <c r="D1347" s="4">
        <v>931066</v>
      </c>
    </row>
    <row r="1348" spans="1:4" x14ac:dyDescent="0.25">
      <c r="A1348" t="str">
        <f>T("   630900")</f>
        <v xml:space="preserve">   630900</v>
      </c>
      <c r="B1348" t="str">
        <f>T("   ARTICLES DE FRIPERIE.")</f>
        <v xml:space="preserve">   ARTICLES DE FRIPERIE.</v>
      </c>
      <c r="C1348" s="4">
        <v>31776</v>
      </c>
      <c r="D1348" s="4">
        <v>17476800</v>
      </c>
    </row>
    <row r="1349" spans="1:4" x14ac:dyDescent="0.25">
      <c r="A1349" t="str">
        <f>T("   901890")</f>
        <v xml:space="preserve">   901890</v>
      </c>
      <c r="B1349" t="str">
        <f>T("   AUTRES INSTRUMENTS ET APPAREILS")</f>
        <v xml:space="preserve">   AUTRES INSTRUMENTS ET APPAREILS</v>
      </c>
      <c r="C1349" s="4">
        <v>227</v>
      </c>
      <c r="D1349" s="4">
        <v>679628</v>
      </c>
    </row>
    <row r="1350" spans="1:4" s="5" customFormat="1" x14ac:dyDescent="0.25">
      <c r="A1350" s="5" t="str">
        <f>T("   ZZ_Total_Produit_SH6")</f>
        <v xml:space="preserve">   ZZ_Total_Produit_SH6</v>
      </c>
      <c r="B1350" s="5" t="str">
        <f>T("   ZZ_Total_Produit_SH6")</f>
        <v xml:space="preserve">   ZZ_Total_Produit_SH6</v>
      </c>
      <c r="C1350" s="1">
        <v>32811.5</v>
      </c>
      <c r="D1350" s="1">
        <v>26176127</v>
      </c>
    </row>
    <row r="1351" spans="1:4" s="5" customFormat="1" x14ac:dyDescent="0.25">
      <c r="B1351" s="5" t="str">
        <f>T("Bouvet, île")</f>
        <v>Bouvet, île</v>
      </c>
      <c r="C1351" s="1"/>
      <c r="D1351" s="1"/>
    </row>
    <row r="1352" spans="1:4" x14ac:dyDescent="0.25">
      <c r="A1352" t="str">
        <f>T("   300490")</f>
        <v xml:space="preserve">   300490</v>
      </c>
      <c r="B1352" t="str">
        <f>T("   AUTRES")</f>
        <v xml:space="preserve">   AUTRES</v>
      </c>
      <c r="C1352" s="4">
        <v>200</v>
      </c>
      <c r="D1352" s="4">
        <v>3287500</v>
      </c>
    </row>
    <row r="1353" spans="1:4" x14ac:dyDescent="0.25">
      <c r="A1353" t="str">
        <f>T("   847193")</f>
        <v xml:space="preserve">   847193</v>
      </c>
      <c r="B1353" t="str">
        <f>T("   UNITES DE MEMOIRE MEME PRESENTEES AVEC LE RESTE D'UN SYSTEME")</f>
        <v xml:space="preserve">   UNITES DE MEMOIRE MEME PRESENTEES AVEC LE RESTE D'UN SYSTEME</v>
      </c>
      <c r="C1353" s="4">
        <v>29</v>
      </c>
      <c r="D1353" s="4">
        <v>298738</v>
      </c>
    </row>
    <row r="1354" spans="1:4" s="5" customFormat="1" x14ac:dyDescent="0.25">
      <c r="A1354" s="5" t="str">
        <f>T("   ZZ_Total_Produit_SH6")</f>
        <v xml:space="preserve">   ZZ_Total_Produit_SH6</v>
      </c>
      <c r="B1354" s="5" t="str">
        <f>T("   ZZ_Total_Produit_SH6")</f>
        <v xml:space="preserve">   ZZ_Total_Produit_SH6</v>
      </c>
      <c r="C1354" s="1">
        <v>229</v>
      </c>
      <c r="D1354" s="1">
        <v>3586238</v>
      </c>
    </row>
    <row r="1355" spans="1:4" s="5" customFormat="1" x14ac:dyDescent="0.25">
      <c r="B1355" s="5" t="str">
        <f>T("Bélarus")</f>
        <v>Bélarus</v>
      </c>
      <c r="C1355" s="1"/>
      <c r="D1355" s="1"/>
    </row>
    <row r="1356" spans="1:4" x14ac:dyDescent="0.25">
      <c r="A1356" t="str">
        <f>T("   020727")</f>
        <v xml:space="preserve">   020727</v>
      </c>
      <c r="B1356" t="str">
        <f>T("   MORCEAUX ET ABATS, CONGELES")</f>
        <v xml:space="preserve">   MORCEAUX ET ABATS, CONGELES</v>
      </c>
      <c r="C1356" s="4">
        <v>24990</v>
      </c>
      <c r="D1356" s="4">
        <v>15550188</v>
      </c>
    </row>
    <row r="1357" spans="1:4" x14ac:dyDescent="0.25">
      <c r="A1357" t="str">
        <f>T("   490199")</f>
        <v xml:space="preserve">   490199</v>
      </c>
      <c r="B1357" t="str">
        <f>T("   AUTRES")</f>
        <v xml:space="preserve">   AUTRES</v>
      </c>
      <c r="C1357" s="4">
        <v>42820</v>
      </c>
      <c r="D1357" s="4">
        <v>42261213</v>
      </c>
    </row>
    <row r="1358" spans="1:4" s="5" customFormat="1" x14ac:dyDescent="0.25">
      <c r="A1358" s="5" t="str">
        <f>T("   ZZ_Total_Produit_SH6")</f>
        <v xml:space="preserve">   ZZ_Total_Produit_SH6</v>
      </c>
      <c r="B1358" s="5" t="str">
        <f>T("   ZZ_Total_Produit_SH6")</f>
        <v xml:space="preserve">   ZZ_Total_Produit_SH6</v>
      </c>
      <c r="C1358" s="1">
        <v>67810</v>
      </c>
      <c r="D1358" s="1">
        <v>57811401</v>
      </c>
    </row>
    <row r="1359" spans="1:4" s="5" customFormat="1" x14ac:dyDescent="0.25">
      <c r="B1359" s="5" t="str">
        <f>T("Belize")</f>
        <v>Belize</v>
      </c>
      <c r="C1359" s="1"/>
      <c r="D1359" s="1"/>
    </row>
    <row r="1360" spans="1:4" x14ac:dyDescent="0.25">
      <c r="A1360" t="str">
        <f>T("   711719")</f>
        <v xml:space="preserve">   711719</v>
      </c>
      <c r="B1360" t="str">
        <f>T("   AUTRES")</f>
        <v xml:space="preserve">   AUTRES</v>
      </c>
      <c r="C1360" s="4">
        <v>7.25</v>
      </c>
      <c r="D1360" s="4">
        <v>453016</v>
      </c>
    </row>
    <row r="1361" spans="1:4" x14ac:dyDescent="0.25">
      <c r="A1361" t="str">
        <f>T("   850300")</f>
        <v xml:space="preserve">   850300</v>
      </c>
      <c r="B1361" t="str">
        <f>T("   PARTIES RECONNAISSABLES COMME ETANT EXCLUSIVEMENT OU PRINCIPALEMENT DESTINEES AUX MACHI")</f>
        <v xml:space="preserve">   PARTIES RECONNAISSABLES COMME ETANT EXCLUSIVEMENT OU PRINCIPALEMENT DESTINEES AUX MACHI</v>
      </c>
      <c r="C1361" s="4">
        <v>923</v>
      </c>
      <c r="D1361" s="4">
        <v>11459126</v>
      </c>
    </row>
    <row r="1362" spans="1:4" x14ac:dyDescent="0.25">
      <c r="A1362" t="str">
        <f>T("   851769")</f>
        <v xml:space="preserve">   851769</v>
      </c>
      <c r="B1362" t="str">
        <f>T("   AUTRES")</f>
        <v xml:space="preserve">   AUTRES</v>
      </c>
      <c r="C1362" s="4">
        <v>1</v>
      </c>
      <c r="D1362" s="4">
        <v>485193</v>
      </c>
    </row>
    <row r="1363" spans="1:4" s="5" customFormat="1" x14ac:dyDescent="0.25">
      <c r="A1363" s="5" t="str">
        <f>T("   ZZ_Total_Produit_SH6")</f>
        <v xml:space="preserve">   ZZ_Total_Produit_SH6</v>
      </c>
      <c r="B1363" s="5" t="str">
        <f>T("   ZZ_Total_Produit_SH6")</f>
        <v xml:space="preserve">   ZZ_Total_Produit_SH6</v>
      </c>
      <c r="C1363" s="1">
        <v>931.25</v>
      </c>
      <c r="D1363" s="1">
        <v>12397335</v>
      </c>
    </row>
    <row r="1364" spans="1:4" s="5" customFormat="1" x14ac:dyDescent="0.25">
      <c r="B1364" s="5" t="str">
        <f>T("Canada")</f>
        <v>Canada</v>
      </c>
      <c r="C1364" s="1"/>
      <c r="D1364" s="1"/>
    </row>
    <row r="1365" spans="1:4" x14ac:dyDescent="0.25">
      <c r="A1365" t="str">
        <f>T("   020712")</f>
        <v xml:space="preserve">   020712</v>
      </c>
      <c r="B1365" t="str">
        <f>T("   NON DECOUPES EN MORCEAUX, CONGELES")</f>
        <v xml:space="preserve">   NON DECOUPES EN MORCEAUX, CONGELES</v>
      </c>
      <c r="C1365" s="4">
        <v>333230</v>
      </c>
      <c r="D1365" s="4">
        <v>202151792</v>
      </c>
    </row>
    <row r="1366" spans="1:4" x14ac:dyDescent="0.25">
      <c r="A1366" t="str">
        <f>T("   020714")</f>
        <v xml:space="preserve">   020714</v>
      </c>
      <c r="B1366" t="str">
        <f>T("   MORCEAUX ET ABATS, CONGELES")</f>
        <v xml:space="preserve">   MORCEAUX ET ABATS, CONGELES</v>
      </c>
      <c r="C1366" s="4">
        <v>5592406</v>
      </c>
      <c r="D1366" s="4">
        <v>3358809967</v>
      </c>
    </row>
    <row r="1367" spans="1:4" x14ac:dyDescent="0.25">
      <c r="A1367" t="str">
        <f>T("   020725")</f>
        <v xml:space="preserve">   020725</v>
      </c>
      <c r="B1367" t="str">
        <f>T("   NON DECOUPES EN MORCEAUX, CONGELES")</f>
        <v xml:space="preserve">   NON DECOUPES EN MORCEAUX, CONGELES</v>
      </c>
      <c r="C1367" s="4">
        <v>75790</v>
      </c>
      <c r="D1367" s="4">
        <v>46650564</v>
      </c>
    </row>
    <row r="1368" spans="1:4" x14ac:dyDescent="0.25">
      <c r="A1368" t="str">
        <f>T("   020727")</f>
        <v xml:space="preserve">   020727</v>
      </c>
      <c r="B1368" t="str">
        <f>T("   MORCEAUX ET ABATS, CONGELES")</f>
        <v xml:space="preserve">   MORCEAUX ET ABATS, CONGELES</v>
      </c>
      <c r="C1368" s="4">
        <v>2317935</v>
      </c>
      <c r="D1368" s="4">
        <v>1405727005</v>
      </c>
    </row>
    <row r="1369" spans="1:4" x14ac:dyDescent="0.25">
      <c r="A1369" t="str">
        <f>T("   030269")</f>
        <v xml:space="preserve">   030269</v>
      </c>
      <c r="B1369" t="str">
        <f>T("   Autres poissons entiers,frais ou refrigeres.(foies,oeufs laitances exclus)")</f>
        <v xml:space="preserve">   Autres poissons entiers,frais ou refrigeres.(foies,oeufs laitances exclus)</v>
      </c>
      <c r="C1369" s="4">
        <v>26000</v>
      </c>
      <c r="D1369" s="4">
        <v>10400000</v>
      </c>
    </row>
    <row r="1370" spans="1:4" x14ac:dyDescent="0.25">
      <c r="A1370" t="str">
        <f>T("   030379")</f>
        <v xml:space="preserve">   030379</v>
      </c>
      <c r="B1370" t="str">
        <f>T("   AUTRES POISSONS ENTIERS CONGELES.(FOIES,OEUFS,LAITANCES EXCLUS)")</f>
        <v xml:space="preserve">   AUTRES POISSONS ENTIERS CONGELES.(FOIES,OEUFS,LAITANCES EXCLUS)</v>
      </c>
      <c r="C1370" s="4">
        <v>25000</v>
      </c>
      <c r="D1370" s="4">
        <v>10000000</v>
      </c>
    </row>
    <row r="1371" spans="1:4" x14ac:dyDescent="0.25">
      <c r="A1371" t="str">
        <f>T("   050400")</f>
        <v xml:space="preserve">   050400</v>
      </c>
      <c r="B1371" t="str">
        <f>T("   BOYAUX, VESSIES ET ESTOMACS D'ANIMAUX, ENTIERS OU EN MORCEAUX, AUTRES QUE CEUX DE POISS")</f>
        <v xml:space="preserve">   BOYAUX, VESSIES ET ESTOMACS D'ANIMAUX, ENTIERS OU EN MORCEAUX, AUTRES QUE CEUX DE POISS</v>
      </c>
      <c r="C1371" s="4">
        <v>74340</v>
      </c>
      <c r="D1371" s="4">
        <v>90000000</v>
      </c>
    </row>
    <row r="1372" spans="1:4" x14ac:dyDescent="0.25">
      <c r="A1372" t="str">
        <f>T("   090240")</f>
        <v xml:space="preserve">   090240</v>
      </c>
      <c r="B1372" t="str">
        <f>T("   THE NOIR (FERMENTE) ET THE PARTIELLEMENT FERMENTE, PRESENTES AUTREMENT")</f>
        <v xml:space="preserve">   THE NOIR (FERMENTE) ET THE PARTIELLEMENT FERMENTE, PRESENTES AUTREMENT</v>
      </c>
      <c r="C1372" s="4">
        <v>6.5</v>
      </c>
      <c r="D1372" s="4">
        <v>190306</v>
      </c>
    </row>
    <row r="1373" spans="1:4" x14ac:dyDescent="0.25">
      <c r="A1373" t="str">
        <f>T("   170191")</f>
        <v xml:space="preserve">   170191</v>
      </c>
      <c r="B1373" t="str">
        <f>T("   ADDITIONNES D'AROMATISANTS OU DE COLORANTS")</f>
        <v xml:space="preserve">   ADDITIONNES D'AROMATISANTS OU DE COLORANTS</v>
      </c>
      <c r="C1373" s="4">
        <v>1000000</v>
      </c>
      <c r="D1373" s="4">
        <v>69907160</v>
      </c>
    </row>
    <row r="1374" spans="1:4" x14ac:dyDescent="0.25">
      <c r="A1374" t="str">
        <f>T("   210390")</f>
        <v xml:space="preserve">   210390</v>
      </c>
      <c r="B1374" t="str">
        <f>T("   AUTRES")</f>
        <v xml:space="preserve">   AUTRES</v>
      </c>
      <c r="C1374" s="4">
        <v>20557</v>
      </c>
      <c r="D1374" s="4">
        <v>3889790</v>
      </c>
    </row>
    <row r="1375" spans="1:4" x14ac:dyDescent="0.25">
      <c r="A1375" t="str">
        <f>T("   240310")</f>
        <v xml:space="preserve">   240310</v>
      </c>
      <c r="B1375" t="str">
        <f>T("   TABACS A FUMER,MEME CONTENANT DES SUCCEDANES DU TABAC,EN TOUTE PROPORTION")</f>
        <v xml:space="preserve">   TABACS A FUMER,MEME CONTENANT DES SUCCEDANES DU TABAC,EN TOUTE PROPORTION</v>
      </c>
      <c r="C1375" s="4">
        <v>2030</v>
      </c>
      <c r="D1375" s="4">
        <v>1470000</v>
      </c>
    </row>
    <row r="1376" spans="1:4" x14ac:dyDescent="0.25">
      <c r="A1376" t="str">
        <f>T("   271019")</f>
        <v xml:space="preserve">   271019</v>
      </c>
      <c r="B1376" t="str">
        <f>T("   AUTRES")</f>
        <v xml:space="preserve">   AUTRES</v>
      </c>
      <c r="C1376" s="4">
        <v>9354</v>
      </c>
      <c r="D1376" s="4">
        <v>3090825</v>
      </c>
    </row>
    <row r="1377" spans="1:4" x14ac:dyDescent="0.25">
      <c r="A1377" t="str">
        <f>T("   300490")</f>
        <v xml:space="preserve">   300490</v>
      </c>
      <c r="B1377" t="str">
        <f>T("   AUTRES")</f>
        <v xml:space="preserve">   AUTRES</v>
      </c>
      <c r="C1377" s="4">
        <v>1091</v>
      </c>
      <c r="D1377" s="4">
        <v>24159356</v>
      </c>
    </row>
    <row r="1378" spans="1:4" x14ac:dyDescent="0.25">
      <c r="A1378" t="str">
        <f>T("   300610")</f>
        <v xml:space="preserve">   300610</v>
      </c>
      <c r="B1378" t="str">
        <f>T("   CATGUTS STERILES, LIGATURES STERILES SIMILAIRES POUR SUTURES CHIRURGICALES (Y COMPRIS")</f>
        <v xml:space="preserve">   CATGUTS STERILES, LIGATURES STERILES SIMILAIRES POUR SUTURES CHIRURGICALES (Y COMPRIS</v>
      </c>
      <c r="C1378" s="4">
        <v>1175</v>
      </c>
      <c r="D1378" s="4">
        <v>333590</v>
      </c>
    </row>
    <row r="1379" spans="1:4" x14ac:dyDescent="0.25">
      <c r="A1379" t="str">
        <f>T("   320419")</f>
        <v xml:space="preserve">   320419</v>
      </c>
      <c r="B1379" t="str">
        <f>T("   AUTRES, Y COMPRIS LES MELANGES DE MATIERES COLORANTES D'AU MOINS DEUX DES N°S 3204.1")</f>
        <v xml:space="preserve">   AUTRES, Y COMPRIS LES MELANGES DE MATIERES COLORANTES D'AU MOINS DEUX DES N°S 3204.1</v>
      </c>
      <c r="C1379" s="4">
        <v>6</v>
      </c>
      <c r="D1379" s="4">
        <v>219276</v>
      </c>
    </row>
    <row r="1380" spans="1:4" x14ac:dyDescent="0.25">
      <c r="A1380" t="str">
        <f>T("   340290")</f>
        <v xml:space="preserve">   340290</v>
      </c>
      <c r="B1380" t="str">
        <f>T("   AUTRES")</f>
        <v xml:space="preserve">   AUTRES</v>
      </c>
      <c r="C1380" s="4">
        <v>42</v>
      </c>
      <c r="D1380" s="4">
        <v>28485</v>
      </c>
    </row>
    <row r="1381" spans="1:4" x14ac:dyDescent="0.25">
      <c r="A1381" t="str">
        <f>T("   380894")</f>
        <v xml:space="preserve">   380894</v>
      </c>
      <c r="B1381" t="str">
        <f>T("   DESINFECTANTS")</f>
        <v xml:space="preserve">   DESINFECTANTS</v>
      </c>
      <c r="C1381" s="4">
        <v>390</v>
      </c>
      <c r="D1381" s="4">
        <v>94600</v>
      </c>
    </row>
    <row r="1382" spans="1:4" x14ac:dyDescent="0.25">
      <c r="A1382" t="str">
        <f>T("   382200")</f>
        <v xml:space="preserve">   382200</v>
      </c>
      <c r="B1382" t="str">
        <f>T("   REACTIFS DE DIAGNOSTIC OU DE LABORATOIRE SUR TOUT SUPPORT ET REACTIFS DE DIAGNOSTIC OU")</f>
        <v xml:space="preserve">   REACTIFS DE DIAGNOSTIC OU DE LABORATOIRE SUR TOUT SUPPORT ET REACTIFS DE DIAGNOSTIC OU</v>
      </c>
      <c r="C1382" s="4">
        <v>8</v>
      </c>
      <c r="D1382" s="4">
        <v>348527</v>
      </c>
    </row>
    <row r="1383" spans="1:4" x14ac:dyDescent="0.25">
      <c r="A1383" t="str">
        <f>T("   390791")</f>
        <v xml:space="preserve">   390791</v>
      </c>
      <c r="B1383" t="str">
        <f>T("   NON SATURES")</f>
        <v xml:space="preserve">   NON SATURES</v>
      </c>
      <c r="C1383" s="4">
        <v>24</v>
      </c>
      <c r="D1383" s="4">
        <v>153875</v>
      </c>
    </row>
    <row r="1384" spans="1:4" x14ac:dyDescent="0.25">
      <c r="A1384" t="str">
        <f>T("   392490")</f>
        <v xml:space="preserve">   392490</v>
      </c>
      <c r="B1384" t="str">
        <f>T("   AUTRES")</f>
        <v xml:space="preserve">   AUTRES</v>
      </c>
      <c r="C1384" s="4">
        <v>2110</v>
      </c>
      <c r="D1384" s="4">
        <v>1471282</v>
      </c>
    </row>
    <row r="1385" spans="1:4" x14ac:dyDescent="0.25">
      <c r="A1385" t="str">
        <f>T("   392620")</f>
        <v xml:space="preserve">   392620</v>
      </c>
      <c r="B1385" t="str">
        <f>T("   VETEMENTS ET ACCESSOIRES DU VETEMENT (Y COMPRIS LES GANTS, MITAINES ET MOUFLES)")</f>
        <v xml:space="preserve">   VETEMENTS ET ACCESSOIRES DU VETEMENT (Y COMPRIS LES GANTS, MITAINES ET MOUFLES)</v>
      </c>
      <c r="C1385" s="4">
        <v>305</v>
      </c>
      <c r="D1385" s="4">
        <v>87132</v>
      </c>
    </row>
    <row r="1386" spans="1:4" x14ac:dyDescent="0.25">
      <c r="A1386" t="str">
        <f>T("   392690")</f>
        <v xml:space="preserve">   392690</v>
      </c>
      <c r="B1386" t="str">
        <f>T("   AUTRES")</f>
        <v xml:space="preserve">   AUTRES</v>
      </c>
      <c r="C1386" s="4">
        <v>1600</v>
      </c>
      <c r="D1386" s="4">
        <v>321000</v>
      </c>
    </row>
    <row r="1387" spans="1:4" x14ac:dyDescent="0.25">
      <c r="A1387" t="str">
        <f>T("   400911")</f>
        <v xml:space="preserve">   400911</v>
      </c>
      <c r="B1387" t="str">
        <f>T("   SANS ACCESSOIRES")</f>
        <v xml:space="preserve">   SANS ACCESSOIRES</v>
      </c>
      <c r="C1387" s="4">
        <v>1</v>
      </c>
      <c r="D1387" s="4">
        <v>47052</v>
      </c>
    </row>
    <row r="1388" spans="1:4" x14ac:dyDescent="0.25">
      <c r="A1388" t="str">
        <f>T("   401110")</f>
        <v xml:space="preserve">   401110</v>
      </c>
      <c r="B1388" t="str">
        <f>T("   DES TYPES UTILISES POUR LES VOITURES DE TOURISME (Y COMPRIS LES VOITURES DU TYPE «BRE")</f>
        <v xml:space="preserve">   DES TYPES UTILISES POUR LES VOITURES DE TOURISME (Y COMPRIS LES VOITURES DU TYPE «BRE</v>
      </c>
      <c r="C1388" s="4">
        <v>2580</v>
      </c>
      <c r="D1388" s="4">
        <v>177109</v>
      </c>
    </row>
    <row r="1389" spans="1:4" x14ac:dyDescent="0.25">
      <c r="A1389" t="str">
        <f>T("   401120")</f>
        <v xml:space="preserve">   401120</v>
      </c>
      <c r="B1389" t="str">
        <f>T("   DES TYPES UTILISES POUR AUTOBUS OU CAMIONS")</f>
        <v xml:space="preserve">   DES TYPES UTILISES POUR AUTOBUS OU CAMIONS</v>
      </c>
      <c r="C1389" s="4">
        <v>3250</v>
      </c>
      <c r="D1389" s="4">
        <v>4549739</v>
      </c>
    </row>
    <row r="1390" spans="1:4" x14ac:dyDescent="0.25">
      <c r="A1390" t="str">
        <f>T("   401211")</f>
        <v xml:space="preserve">   401211</v>
      </c>
      <c r="B1390" t="str">
        <f>T("   DES TYPES UTILISES POUR LES VOITURES DE TOURISME (Y COMPRIS LES VOITURES DU TYPE «BR")</f>
        <v xml:space="preserve">   DES TYPES UTILISES POUR LES VOITURES DE TOURISME (Y COMPRIS LES VOITURES DU TYPE «BR</v>
      </c>
      <c r="C1390" s="4">
        <v>5500</v>
      </c>
      <c r="D1390" s="4">
        <v>1512000</v>
      </c>
    </row>
    <row r="1391" spans="1:4" x14ac:dyDescent="0.25">
      <c r="A1391" t="str">
        <f>T("   401212")</f>
        <v xml:space="preserve">   401212</v>
      </c>
      <c r="B1391" t="str">
        <f>T("   DES TYPES UTILISES POUR AUTOBUS OU CAMIONS")</f>
        <v xml:space="preserve">   DES TYPES UTILISES POUR AUTOBUS OU CAMIONS</v>
      </c>
      <c r="C1391" s="4">
        <v>60</v>
      </c>
      <c r="D1391" s="4">
        <v>60000</v>
      </c>
    </row>
    <row r="1392" spans="1:4" x14ac:dyDescent="0.25">
      <c r="A1392" t="str">
        <f>T("   401220")</f>
        <v xml:space="preserve">   401220</v>
      </c>
      <c r="B1392" t="str">
        <f>T("   PNEUMATIQUES USAGES")</f>
        <v xml:space="preserve">   PNEUMATIQUES USAGES</v>
      </c>
      <c r="C1392" s="4">
        <v>20820</v>
      </c>
      <c r="D1392" s="4">
        <v>5597923</v>
      </c>
    </row>
    <row r="1393" spans="1:4" x14ac:dyDescent="0.25">
      <c r="A1393" t="str">
        <f>T("   401390")</f>
        <v xml:space="preserve">   401390</v>
      </c>
      <c r="B1393" t="str">
        <f>T("   AUTRES")</f>
        <v xml:space="preserve">   AUTRES</v>
      </c>
      <c r="C1393" s="4">
        <v>2560</v>
      </c>
      <c r="D1393" s="4">
        <v>528363</v>
      </c>
    </row>
    <row r="1394" spans="1:4" x14ac:dyDescent="0.25">
      <c r="A1394" t="str">
        <f>T("   401410")</f>
        <v xml:space="preserve">   401410</v>
      </c>
      <c r="B1394" t="str">
        <f>T("   PRESERVATIFS")</f>
        <v xml:space="preserve">   PRESERVATIFS</v>
      </c>
      <c r="C1394" s="4">
        <v>1759</v>
      </c>
      <c r="D1394" s="4">
        <v>20251133</v>
      </c>
    </row>
    <row r="1395" spans="1:4" x14ac:dyDescent="0.25">
      <c r="A1395" t="str">
        <f>T("   441879")</f>
        <v xml:space="preserve">   441879</v>
      </c>
      <c r="B1395" t="str">
        <f>T("   AUTRES")</f>
        <v xml:space="preserve">   AUTRES</v>
      </c>
      <c r="C1395" s="4">
        <v>115243</v>
      </c>
      <c r="D1395" s="4">
        <v>38427613</v>
      </c>
    </row>
    <row r="1396" spans="1:4" x14ac:dyDescent="0.25">
      <c r="A1396" t="str">
        <f>T("   480261")</f>
        <v xml:space="preserve">   480261</v>
      </c>
      <c r="B1396" t="str">
        <f>T("   EN ROULEAUX")</f>
        <v xml:space="preserve">   EN ROULEAUX</v>
      </c>
      <c r="C1396" s="4">
        <v>183625</v>
      </c>
      <c r="D1396" s="4">
        <v>63606214</v>
      </c>
    </row>
    <row r="1397" spans="1:4" x14ac:dyDescent="0.25">
      <c r="A1397" t="str">
        <f>T("   481840")</f>
        <v xml:space="preserve">   481840</v>
      </c>
      <c r="B1397" t="str">
        <f>T("   SERVIETTES,TAMPONS HYGIENIQUES,COUCHES POUR BEBES ET SIMILAIRES EN PAPIER")</f>
        <v xml:space="preserve">   SERVIETTES,TAMPONS HYGIENIQUES,COUCHES POUR BEBES ET SIMILAIRES EN PAPIER</v>
      </c>
      <c r="C1397" s="4">
        <v>367</v>
      </c>
      <c r="D1397" s="4">
        <v>136922</v>
      </c>
    </row>
    <row r="1398" spans="1:4" x14ac:dyDescent="0.25">
      <c r="A1398" t="str">
        <f>T("   482311")</f>
        <v xml:space="preserve">   482311</v>
      </c>
      <c r="B1398" t="str">
        <f>T("   PAPIERS AUTO-ADHESIFS EN BANDES OU EN ROULEAUX")</f>
        <v xml:space="preserve">   PAPIERS AUTO-ADHESIFS EN BANDES OU EN ROULEAUX</v>
      </c>
      <c r="C1398" s="4">
        <v>40</v>
      </c>
      <c r="D1398" s="4">
        <v>100000</v>
      </c>
    </row>
    <row r="1399" spans="1:4" x14ac:dyDescent="0.25">
      <c r="A1399" t="str">
        <f>T("   490110")</f>
        <v xml:space="preserve">   490110</v>
      </c>
      <c r="B1399" t="str">
        <f>T("   EN FEUILLETS ISOLES, MEME PLIES")</f>
        <v xml:space="preserve">   EN FEUILLETS ISOLES, MEME PLIES</v>
      </c>
      <c r="C1399" s="4">
        <v>218</v>
      </c>
      <c r="D1399" s="4">
        <v>52279</v>
      </c>
    </row>
    <row r="1400" spans="1:4" x14ac:dyDescent="0.25">
      <c r="A1400" t="str">
        <f>T("   490199")</f>
        <v xml:space="preserve">   490199</v>
      </c>
      <c r="B1400" t="str">
        <f>T("   AUTRES")</f>
        <v xml:space="preserve">   AUTRES</v>
      </c>
      <c r="C1400" s="4">
        <v>47109</v>
      </c>
      <c r="D1400" s="4">
        <v>23083525</v>
      </c>
    </row>
    <row r="1401" spans="1:4" x14ac:dyDescent="0.25">
      <c r="A1401" t="str">
        <f>T("   591190")</f>
        <v xml:space="preserve">   591190</v>
      </c>
      <c r="B1401" t="str">
        <f>T("   AUTRES")</f>
        <v xml:space="preserve">   AUTRES</v>
      </c>
      <c r="C1401" s="4">
        <v>70</v>
      </c>
      <c r="D1401" s="4">
        <v>74684</v>
      </c>
    </row>
    <row r="1402" spans="1:4" x14ac:dyDescent="0.25">
      <c r="A1402" t="str">
        <f>T("   610329")</f>
        <v xml:space="preserve">   610329</v>
      </c>
      <c r="B1402" t="str">
        <f>T("   D'AUTRES MATIERES TEXTILES")</f>
        <v xml:space="preserve">   D'AUTRES MATIERES TEXTILES</v>
      </c>
      <c r="C1402" s="4">
        <v>17</v>
      </c>
      <c r="D1402" s="4">
        <v>133156</v>
      </c>
    </row>
    <row r="1403" spans="1:4" x14ac:dyDescent="0.25">
      <c r="A1403" t="str">
        <f>T("   610990")</f>
        <v xml:space="preserve">   610990</v>
      </c>
      <c r="B1403" t="str">
        <f>T("   D'AUTRES MATIERES TEXTILES")</f>
        <v xml:space="preserve">   D'AUTRES MATIERES TEXTILES</v>
      </c>
      <c r="C1403" s="4">
        <v>45</v>
      </c>
      <c r="D1403" s="4">
        <v>54769</v>
      </c>
    </row>
    <row r="1404" spans="1:4" x14ac:dyDescent="0.25">
      <c r="A1404" t="str">
        <f>T("   620319")</f>
        <v xml:space="preserve">   620319</v>
      </c>
      <c r="B1404" t="str">
        <f>T("   D'AUTRES MATIERES TEXTILES")</f>
        <v xml:space="preserve">   D'AUTRES MATIERES TEXTILES</v>
      </c>
      <c r="C1404" s="4">
        <v>278</v>
      </c>
      <c r="D1404" s="4">
        <v>200000</v>
      </c>
    </row>
    <row r="1405" spans="1:4" x14ac:dyDescent="0.25">
      <c r="A1405" t="str">
        <f>T("   620469")</f>
        <v xml:space="preserve">   620469</v>
      </c>
      <c r="B1405" t="str">
        <f>T("   D'AUTRES MATIERES TEXTILES")</f>
        <v xml:space="preserve">   D'AUTRES MATIERES TEXTILES</v>
      </c>
      <c r="C1405" s="4">
        <v>40</v>
      </c>
      <c r="D1405" s="4">
        <v>15000</v>
      </c>
    </row>
    <row r="1406" spans="1:4" x14ac:dyDescent="0.25">
      <c r="A1406" t="str">
        <f>T("   620590")</f>
        <v xml:space="preserve">   620590</v>
      </c>
      <c r="B1406" t="str">
        <f>T("   D'AUTRES MATIERES TEXTILES")</f>
        <v xml:space="preserve">   D'AUTRES MATIERES TEXTILES</v>
      </c>
      <c r="C1406" s="4">
        <v>3447</v>
      </c>
      <c r="D1406" s="4">
        <v>1916186</v>
      </c>
    </row>
    <row r="1407" spans="1:4" x14ac:dyDescent="0.25">
      <c r="A1407" t="str">
        <f>T("   621020")</f>
        <v xml:space="preserve">   621020</v>
      </c>
      <c r="B1407" t="str">
        <f>T("   AUTRES VETEMENTS, DES TYPES VISES DANS LES N°S 6201.11 A 6201.19")</f>
        <v xml:space="preserve">   AUTRES VETEMENTS, DES TYPES VISES DANS LES N°S 6201.11 A 6201.19</v>
      </c>
      <c r="C1407" s="4">
        <v>162</v>
      </c>
      <c r="D1407" s="4">
        <v>200000</v>
      </c>
    </row>
    <row r="1408" spans="1:4" x14ac:dyDescent="0.25">
      <c r="A1408" t="str">
        <f>T("   621040")</f>
        <v xml:space="preserve">   621040</v>
      </c>
      <c r="B1408" t="str">
        <f>T("   AUTRES VETEMENTS POUR HOMMES OU GARCONNETS")</f>
        <v xml:space="preserve">   AUTRES VETEMENTS POUR HOMMES OU GARCONNETS</v>
      </c>
      <c r="C1408" s="4">
        <v>380</v>
      </c>
      <c r="D1408" s="4">
        <v>1883225</v>
      </c>
    </row>
    <row r="1409" spans="1:4" x14ac:dyDescent="0.25">
      <c r="A1409" t="str">
        <f>T("   621133")</f>
        <v xml:space="preserve">   621133</v>
      </c>
      <c r="B1409" t="str">
        <f>T("   DE FIBRES SYNTHETIQUES OU ARTIFICIELLES")</f>
        <v xml:space="preserve">   DE FIBRES SYNTHETIQUES OU ARTIFICIELLES</v>
      </c>
      <c r="C1409" s="4">
        <v>1875</v>
      </c>
      <c r="D1409" s="4">
        <v>224053</v>
      </c>
    </row>
    <row r="1410" spans="1:4" x14ac:dyDescent="0.25">
      <c r="A1410" t="str">
        <f>T("   630221")</f>
        <v xml:space="preserve">   630221</v>
      </c>
      <c r="B1410" t="str">
        <f>T("   DE COTON")</f>
        <v xml:space="preserve">   DE COTON</v>
      </c>
      <c r="C1410" s="4">
        <v>875</v>
      </c>
      <c r="D1410" s="4">
        <v>109537</v>
      </c>
    </row>
    <row r="1411" spans="1:4" x14ac:dyDescent="0.25">
      <c r="A1411" t="str">
        <f>T("   630640")</f>
        <v xml:space="preserve">   630640</v>
      </c>
      <c r="B1411" t="str">
        <f>T("   MATELAS PNEUMATIQUES")</f>
        <v xml:space="preserve">   MATELAS PNEUMATIQUES</v>
      </c>
      <c r="C1411" s="4">
        <v>1250</v>
      </c>
      <c r="D1411" s="4">
        <v>3277176</v>
      </c>
    </row>
    <row r="1412" spans="1:4" x14ac:dyDescent="0.25">
      <c r="A1412" t="str">
        <f>T("   630649")</f>
        <v xml:space="preserve">   630649</v>
      </c>
      <c r="B1412" t="str">
        <f>T("   MATELAS PNEUMATIQUES D'AUTRES MATIERES TEXTILES")</f>
        <v xml:space="preserve">   MATELAS PNEUMATIQUES D'AUTRES MATIERES TEXTILES</v>
      </c>
      <c r="C1412" s="4">
        <v>89</v>
      </c>
      <c r="D1412" s="4">
        <v>50000</v>
      </c>
    </row>
    <row r="1413" spans="1:4" x14ac:dyDescent="0.25">
      <c r="A1413" t="str">
        <f>T("   630900")</f>
        <v xml:space="preserve">   630900</v>
      </c>
      <c r="B1413" t="str">
        <f>T("   ARTICLES DE FRIPERIE.")</f>
        <v xml:space="preserve">   ARTICLES DE FRIPERIE.</v>
      </c>
      <c r="C1413" s="4">
        <v>750597</v>
      </c>
      <c r="D1413" s="4">
        <v>425174654</v>
      </c>
    </row>
    <row r="1414" spans="1:4" x14ac:dyDescent="0.25">
      <c r="A1414" t="str">
        <f>T("   631090")</f>
        <v xml:space="preserve">   631090</v>
      </c>
      <c r="B1414" t="str">
        <f>T("   AUTRES")</f>
        <v xml:space="preserve">   AUTRES</v>
      </c>
      <c r="C1414" s="4">
        <v>17500</v>
      </c>
      <c r="D1414" s="4">
        <v>9831000</v>
      </c>
    </row>
    <row r="1415" spans="1:4" x14ac:dyDescent="0.25">
      <c r="A1415" t="str">
        <f>T("   640590")</f>
        <v xml:space="preserve">   640590</v>
      </c>
      <c r="B1415" t="str">
        <f>T("   AUTRES")</f>
        <v xml:space="preserve">   AUTRES</v>
      </c>
      <c r="C1415" s="4">
        <v>400</v>
      </c>
      <c r="D1415" s="4">
        <v>280000</v>
      </c>
    </row>
    <row r="1416" spans="1:4" x14ac:dyDescent="0.25">
      <c r="A1416" t="str">
        <f>T("   691200")</f>
        <v xml:space="preserve">   691200</v>
      </c>
      <c r="B1416" t="str">
        <f>T("   VAISSELLE, AUTRES ARTICLES DE MENAGE OU D'ECONOMIE DOMESTIQUE ET ARTICLES D'HYGIENE OU")</f>
        <v xml:space="preserve">   VAISSELLE, AUTRES ARTICLES DE MENAGE OU D'ECONOMIE DOMESTIQUE ET ARTICLES D'HYGIENE OU</v>
      </c>
      <c r="C1416" s="4">
        <v>920</v>
      </c>
      <c r="D1416" s="4">
        <v>9958</v>
      </c>
    </row>
    <row r="1417" spans="1:4" x14ac:dyDescent="0.25">
      <c r="A1417" t="str">
        <f>T("   700992")</f>
        <v xml:space="preserve">   700992</v>
      </c>
      <c r="B1417" t="str">
        <f>T("   ENCADRES")</f>
        <v xml:space="preserve">   ENCADRES</v>
      </c>
      <c r="C1417" s="4">
        <v>34</v>
      </c>
      <c r="D1417" s="4">
        <v>117006</v>
      </c>
    </row>
    <row r="1418" spans="1:4" x14ac:dyDescent="0.25">
      <c r="A1418" t="str">
        <f>T("   732394")</f>
        <v xml:space="preserve">   732394</v>
      </c>
      <c r="B1418" t="str">
        <f>T("   EN FER OU EN ACIER, EMAILLES")</f>
        <v xml:space="preserve">   EN FER OU EN ACIER, EMAILLES</v>
      </c>
      <c r="C1418" s="4">
        <v>2000</v>
      </c>
      <c r="D1418" s="4">
        <v>1760000</v>
      </c>
    </row>
    <row r="1419" spans="1:4" x14ac:dyDescent="0.25">
      <c r="A1419" t="str">
        <f>T("   732399")</f>
        <v xml:space="preserve">   732399</v>
      </c>
      <c r="B1419" t="str">
        <f>T("   AUTRES")</f>
        <v xml:space="preserve">   AUTRES</v>
      </c>
      <c r="C1419" s="4">
        <v>25578</v>
      </c>
      <c r="D1419" s="4">
        <v>5080000</v>
      </c>
    </row>
    <row r="1420" spans="1:4" x14ac:dyDescent="0.25">
      <c r="A1420" t="str">
        <f>T("   820411")</f>
        <v xml:space="preserve">   820411</v>
      </c>
      <c r="B1420" t="str">
        <f>T("   A OUVERTURE FIXE")</f>
        <v xml:space="preserve">   A OUVERTURE FIXE</v>
      </c>
      <c r="C1420" s="4">
        <v>50</v>
      </c>
      <c r="D1420" s="4">
        <v>10000</v>
      </c>
    </row>
    <row r="1421" spans="1:4" x14ac:dyDescent="0.25">
      <c r="A1421" t="str">
        <f>T("   820719")</f>
        <v xml:space="preserve">   820719</v>
      </c>
      <c r="B1421" t="str">
        <f>T("   AUTRES, Y COMPRIS LES PARTIES")</f>
        <v xml:space="preserve">   AUTRES, Y COMPRIS LES PARTIES</v>
      </c>
      <c r="C1421" s="4">
        <v>70</v>
      </c>
      <c r="D1421" s="4">
        <v>18439837</v>
      </c>
    </row>
    <row r="1422" spans="1:4" x14ac:dyDescent="0.25">
      <c r="A1422" t="str">
        <f>T("   830140")</f>
        <v xml:space="preserve">   830140</v>
      </c>
      <c r="B1422" t="str">
        <f>T("   AUTRES SERRURES; VERROUS")</f>
        <v xml:space="preserve">   AUTRES SERRURES; VERROUS</v>
      </c>
      <c r="C1422" s="4">
        <v>257</v>
      </c>
      <c r="D1422" s="4">
        <v>449989</v>
      </c>
    </row>
    <row r="1423" spans="1:4" x14ac:dyDescent="0.25">
      <c r="A1423" t="str">
        <f>T("   840890")</f>
        <v xml:space="preserve">   840890</v>
      </c>
      <c r="B1423" t="str">
        <f>T("   AUTRES MOTEURS")</f>
        <v xml:space="preserve">   AUTRES MOTEURS</v>
      </c>
      <c r="C1423" s="4">
        <v>500</v>
      </c>
      <c r="D1423" s="4">
        <v>519507</v>
      </c>
    </row>
    <row r="1424" spans="1:4" x14ac:dyDescent="0.25">
      <c r="A1424" t="str">
        <f>T("   840910")</f>
        <v xml:space="preserve">   840910</v>
      </c>
      <c r="B1424" t="str">
        <f>T("   DE MOTEURS POUR L'AVIATION")</f>
        <v xml:space="preserve">   DE MOTEURS POUR L'AVIATION</v>
      </c>
      <c r="C1424" s="4">
        <v>70</v>
      </c>
      <c r="D1424" s="4">
        <v>150000</v>
      </c>
    </row>
    <row r="1425" spans="1:4" x14ac:dyDescent="0.25">
      <c r="A1425" t="str">
        <f>T("   841311")</f>
        <v xml:space="preserve">   841311</v>
      </c>
      <c r="B1425" t="str">
        <f>T("   POMPES POUR LA DISTRIBUTION DE CARBURANTS OU DE LUBRIFIANTS, DES TYPES UTILISES DANS")</f>
        <v xml:space="preserve">   POMPES POUR LA DISTRIBUTION DE CARBURANTS OU DE LUBRIFIANTS, DES TYPES UTILISES DANS</v>
      </c>
      <c r="C1425" s="4">
        <v>209</v>
      </c>
      <c r="D1425" s="4">
        <v>4448066</v>
      </c>
    </row>
    <row r="1426" spans="1:4" x14ac:dyDescent="0.25">
      <c r="A1426" t="str">
        <f>T("   841582")</f>
        <v xml:space="preserve">   841582</v>
      </c>
      <c r="B1426" t="str">
        <f>T("   AUTRES, AVEC DISPOSITIF DE REFRIGERATION")</f>
        <v xml:space="preserve">   AUTRES, AVEC DISPOSITIF DE REFRIGERATION</v>
      </c>
      <c r="C1426" s="4">
        <v>342</v>
      </c>
      <c r="D1426" s="4">
        <v>7294168</v>
      </c>
    </row>
    <row r="1427" spans="1:4" x14ac:dyDescent="0.25">
      <c r="A1427" t="str">
        <f>T("   841829")</f>
        <v xml:space="preserve">   841829</v>
      </c>
      <c r="B1427" t="str">
        <f>T("   AUTRES")</f>
        <v xml:space="preserve">   AUTRES</v>
      </c>
      <c r="C1427" s="4">
        <v>2785</v>
      </c>
      <c r="D1427" s="4">
        <v>1542411</v>
      </c>
    </row>
    <row r="1428" spans="1:4" x14ac:dyDescent="0.25">
      <c r="A1428" t="str">
        <f>T("   842121")</f>
        <v xml:space="preserve">   842121</v>
      </c>
      <c r="B1428" t="str">
        <f>T("   POUR LA FILTRATION OU L'EPURATION DES EAUX")</f>
        <v xml:space="preserve">   POUR LA FILTRATION OU L'EPURATION DES EAUX</v>
      </c>
      <c r="C1428" s="4">
        <v>133</v>
      </c>
      <c r="D1428" s="4">
        <v>2825543</v>
      </c>
    </row>
    <row r="1429" spans="1:4" x14ac:dyDescent="0.25">
      <c r="A1429" t="str">
        <f>T("   842481")</f>
        <v xml:space="preserve">   842481</v>
      </c>
      <c r="B1429" t="str">
        <f>T("   POUR L'AGRICULTURE OU L'HORTICULTURE")</f>
        <v xml:space="preserve">   POUR L'AGRICULTURE OU L'HORTICULTURE</v>
      </c>
      <c r="C1429" s="4">
        <v>4500</v>
      </c>
      <c r="D1429" s="4">
        <v>224053</v>
      </c>
    </row>
    <row r="1430" spans="1:4" x14ac:dyDescent="0.25">
      <c r="A1430" t="str">
        <f>T("   842620")</f>
        <v xml:space="preserve">   842620</v>
      </c>
      <c r="B1430" t="str">
        <f>T("   Grues a tour")</f>
        <v xml:space="preserve">   Grues a tour</v>
      </c>
      <c r="C1430" s="4">
        <v>37195</v>
      </c>
      <c r="D1430" s="4">
        <v>51634608</v>
      </c>
    </row>
    <row r="1431" spans="1:4" x14ac:dyDescent="0.25">
      <c r="A1431" t="str">
        <f>T("   843143")</f>
        <v xml:space="preserve">   843143</v>
      </c>
      <c r="B1431" t="str">
        <f>T("   PARTIES DE MACHINES DE SONDAGE OU DE FORAGE DES N°S 8430.41 OU 8430.49")</f>
        <v xml:space="preserve">   PARTIES DE MACHINES DE SONDAGE OU DE FORAGE DES N°S 8430.41 OU 8430.49</v>
      </c>
      <c r="C1431" s="4">
        <v>1240</v>
      </c>
      <c r="D1431" s="4">
        <v>2253398</v>
      </c>
    </row>
    <row r="1432" spans="1:4" x14ac:dyDescent="0.25">
      <c r="A1432" t="str">
        <f>T("   843149")</f>
        <v xml:space="preserve">   843149</v>
      </c>
      <c r="B1432" t="str">
        <f>T("   AUTRES")</f>
        <v xml:space="preserve">   AUTRES</v>
      </c>
      <c r="C1432" s="4">
        <v>815</v>
      </c>
      <c r="D1432" s="4">
        <v>4046236</v>
      </c>
    </row>
    <row r="1433" spans="1:4" x14ac:dyDescent="0.25">
      <c r="A1433" t="str">
        <f>T("   847180")</f>
        <v xml:space="preserve">   847180</v>
      </c>
      <c r="B1433" t="str">
        <f>T("   AUTRES UNITES DE MACHINES AUTOMATIQUES DE TRAITEMENT DE L'INFORMATION")</f>
        <v xml:space="preserve">   AUTRES UNITES DE MACHINES AUTOMATIQUES DE TRAITEMENT DE L'INFORMATION</v>
      </c>
      <c r="C1433" s="4">
        <v>211.27</v>
      </c>
      <c r="D1433" s="4">
        <v>2061993</v>
      </c>
    </row>
    <row r="1434" spans="1:4" x14ac:dyDescent="0.25">
      <c r="A1434" t="str">
        <f>T("   847190")</f>
        <v xml:space="preserve">   847190</v>
      </c>
      <c r="B1434" t="str">
        <f>T("   AUTRES")</f>
        <v xml:space="preserve">   AUTRES</v>
      </c>
      <c r="C1434" s="4">
        <v>400</v>
      </c>
      <c r="D1434" s="4">
        <v>125000</v>
      </c>
    </row>
    <row r="1435" spans="1:4" x14ac:dyDescent="0.25">
      <c r="A1435" t="str">
        <f>T("   848120")</f>
        <v xml:space="preserve">   848120</v>
      </c>
      <c r="B1435" t="str">
        <f>T("   VALVES POUR TRANSMISSIONS OLEOHYDRAULIQUES OU PNEUMATIQUES")</f>
        <v xml:space="preserve">   VALVES POUR TRANSMISSIONS OLEOHYDRAULIQUES OU PNEUMATIQUES</v>
      </c>
      <c r="C1435" s="4">
        <v>9</v>
      </c>
      <c r="D1435" s="4">
        <v>285461</v>
      </c>
    </row>
    <row r="1436" spans="1:4" x14ac:dyDescent="0.25">
      <c r="A1436" t="str">
        <f>T("   848490")</f>
        <v xml:space="preserve">   848490</v>
      </c>
      <c r="B1436" t="str">
        <f>T("   AUTRES")</f>
        <v xml:space="preserve">   AUTRES</v>
      </c>
      <c r="C1436" s="4">
        <v>26</v>
      </c>
      <c r="D1436" s="4">
        <v>863689</v>
      </c>
    </row>
    <row r="1437" spans="1:4" x14ac:dyDescent="0.25">
      <c r="A1437" t="str">
        <f>T("   850300")</f>
        <v xml:space="preserve">   850300</v>
      </c>
      <c r="B1437" t="str">
        <f>T("   PARTIES RECONNAISSABLES COMME ETANT EXCLUSIVEMENT OU PRINCIPALEMENT DESTINEES AUX MACHI")</f>
        <v xml:space="preserve">   PARTIES RECONNAISSABLES COMME ETANT EXCLUSIVEMENT OU PRINCIPALEMENT DESTINEES AUX MACHI</v>
      </c>
      <c r="C1437" s="4">
        <v>35</v>
      </c>
      <c r="D1437" s="4">
        <v>1133244</v>
      </c>
    </row>
    <row r="1438" spans="1:4" x14ac:dyDescent="0.25">
      <c r="A1438" t="str">
        <f>T("   852190")</f>
        <v xml:space="preserve">   852190</v>
      </c>
      <c r="B1438" t="str">
        <f>T("   AUTRES")</f>
        <v xml:space="preserve">   AUTRES</v>
      </c>
      <c r="C1438" s="4">
        <v>100</v>
      </c>
      <c r="D1438" s="4">
        <v>20000</v>
      </c>
    </row>
    <row r="1439" spans="1:4" x14ac:dyDescent="0.25">
      <c r="A1439" t="str">
        <f>T("   852321")</f>
        <v xml:space="preserve">   852321</v>
      </c>
      <c r="B1439" t="str">
        <f>T("   CARTES MUNIES D'UNE PISTE MAGNETIQUE")</f>
        <v xml:space="preserve">   CARTES MUNIES D'UNE PISTE MAGNETIQUE</v>
      </c>
      <c r="C1439" s="4">
        <v>17.7</v>
      </c>
      <c r="D1439" s="4">
        <v>3973536</v>
      </c>
    </row>
    <row r="1440" spans="1:4" x14ac:dyDescent="0.25">
      <c r="A1440" t="str">
        <f>T("   852560")</f>
        <v xml:space="preserve">   852560</v>
      </c>
      <c r="B1440" t="str">
        <f>T("   APPAREILS D'EMISSION INCORPORANT UN APPAREIL DE RECEPTION")</f>
        <v xml:space="preserve">   APPAREILS D'EMISSION INCORPORANT UN APPAREIL DE RECEPTION</v>
      </c>
      <c r="C1440" s="4">
        <v>25</v>
      </c>
      <c r="D1440" s="4">
        <v>2271103</v>
      </c>
    </row>
    <row r="1441" spans="1:4" x14ac:dyDescent="0.25">
      <c r="A1441" t="str">
        <f>T("   852849")</f>
        <v xml:space="preserve">   852849</v>
      </c>
      <c r="B1441" t="str">
        <f>T("   AUTRES")</f>
        <v xml:space="preserve">   AUTRES</v>
      </c>
      <c r="C1441" s="4">
        <v>298</v>
      </c>
      <c r="D1441" s="4">
        <v>209369</v>
      </c>
    </row>
    <row r="1442" spans="1:4" x14ac:dyDescent="0.25">
      <c r="A1442" t="str">
        <f>T("   852859")</f>
        <v xml:space="preserve">   852859</v>
      </c>
      <c r="B1442" t="str">
        <f>T("   AUTRES")</f>
        <v xml:space="preserve">   AUTRES</v>
      </c>
      <c r="C1442" s="4">
        <v>90</v>
      </c>
      <c r="D1442" s="4">
        <v>60948</v>
      </c>
    </row>
    <row r="1443" spans="1:4" x14ac:dyDescent="0.25">
      <c r="A1443" t="str">
        <f>T("   852910")</f>
        <v xml:space="preserve">   852910</v>
      </c>
      <c r="B1443" t="str">
        <f>T("   ANTENNES ET REFLECTEURS D’ANTENNES DE TOUS TYPES; PARTIES RECONNAISSABLES COMME ETANT")</f>
        <v xml:space="preserve">   ANTENNES ET REFLECTEURS D’ANTENNES DE TOUS TYPES; PARTIES RECONNAISSABLES COMME ETANT</v>
      </c>
      <c r="C1443" s="4">
        <v>64</v>
      </c>
      <c r="D1443" s="4">
        <v>4724440</v>
      </c>
    </row>
    <row r="1444" spans="1:4" x14ac:dyDescent="0.25">
      <c r="A1444" t="str">
        <f>T("   853710")</f>
        <v xml:space="preserve">   853710</v>
      </c>
      <c r="B1444" t="str">
        <f>T("   POUR UNE TENSION N'EXCEDANT PAS 1.000 V")</f>
        <v xml:space="preserve">   POUR UNE TENSION N'EXCEDANT PAS 1.000 V</v>
      </c>
      <c r="C1444" s="4">
        <v>1</v>
      </c>
      <c r="D1444" s="4">
        <v>599477</v>
      </c>
    </row>
    <row r="1445" spans="1:4" x14ac:dyDescent="0.25">
      <c r="A1445" t="str">
        <f>T("   854232")</f>
        <v xml:space="preserve">   854232</v>
      </c>
      <c r="B1445" t="str">
        <f>T("   MEMOIRES")</f>
        <v xml:space="preserve">   MEMOIRES</v>
      </c>
      <c r="C1445" s="4">
        <v>187</v>
      </c>
      <c r="D1445" s="4">
        <v>2233544</v>
      </c>
    </row>
    <row r="1446" spans="1:4" x14ac:dyDescent="0.25">
      <c r="A1446" t="str">
        <f>T("   854419")</f>
        <v xml:space="preserve">   854419</v>
      </c>
      <c r="B1446" t="str">
        <f>T("   AUTRES")</f>
        <v xml:space="preserve">   AUTRES</v>
      </c>
      <c r="C1446" s="4">
        <v>6</v>
      </c>
      <c r="D1446" s="4">
        <v>177129</v>
      </c>
    </row>
    <row r="1447" spans="1:4" x14ac:dyDescent="0.25">
      <c r="A1447" t="str">
        <f>T("   854420")</f>
        <v xml:space="preserve">   854420</v>
      </c>
      <c r="B1447" t="str">
        <f>T("   Cables coaxiaux et autres conducteurs electriques coaxiaux")</f>
        <v xml:space="preserve">   Cables coaxiaux et autres conducteurs electriques coaxiaux</v>
      </c>
      <c r="C1447" s="4">
        <v>1102</v>
      </c>
      <c r="D1447" s="4">
        <v>3559957</v>
      </c>
    </row>
    <row r="1448" spans="1:4" x14ac:dyDescent="0.25">
      <c r="A1448" t="str">
        <f>T("   870110")</f>
        <v xml:space="preserve">   870110</v>
      </c>
      <c r="B1448" t="str">
        <f>T("   Motoculteurs")</f>
        <v xml:space="preserve">   Motoculteurs</v>
      </c>
      <c r="C1448" s="4">
        <v>1000</v>
      </c>
      <c r="D1448" s="4">
        <v>700000</v>
      </c>
    </row>
    <row r="1449" spans="1:4" x14ac:dyDescent="0.25">
      <c r="A1449" t="str">
        <f>T("   870322")</f>
        <v xml:space="preserve">   870322</v>
      </c>
      <c r="B1449" t="str">
        <f>T("   D’UNE CYLINDREE EXCEDANT 1.000 CM³ MAIS N’EXCEDANT PAS 1.500 CM³")</f>
        <v xml:space="preserve">   D’UNE CYLINDREE EXCEDANT 1.000 CM³ MAIS N’EXCEDANT PAS 1.500 CM³</v>
      </c>
      <c r="C1449" s="4">
        <v>56966</v>
      </c>
      <c r="D1449" s="4">
        <v>47434626</v>
      </c>
    </row>
    <row r="1450" spans="1:4" x14ac:dyDescent="0.25">
      <c r="A1450" t="str">
        <f>T("   870323")</f>
        <v xml:space="preserve">   870323</v>
      </c>
      <c r="B1450" t="str">
        <f>T("   D’UNE CYLINDREE EXCEDANT 1.500 CM³ MAIS N’EXCEDANT PAS 3.000 CM³")</f>
        <v xml:space="preserve">   D’UNE CYLINDREE EXCEDANT 1.500 CM³ MAIS N’EXCEDANT PAS 3.000 CM³</v>
      </c>
      <c r="C1450" s="4">
        <v>182242</v>
      </c>
      <c r="D1450" s="4">
        <v>260686425</v>
      </c>
    </row>
    <row r="1451" spans="1:4" x14ac:dyDescent="0.25">
      <c r="A1451" t="str">
        <f>T("   870324")</f>
        <v xml:space="preserve">   870324</v>
      </c>
      <c r="B1451" t="str">
        <f>T("   D’UNE CYLINDREE EXCEDANT 3.000 CM³")</f>
        <v xml:space="preserve">   D’UNE CYLINDREE EXCEDANT 3.000 CM³</v>
      </c>
      <c r="C1451" s="4">
        <v>55430</v>
      </c>
      <c r="D1451" s="4">
        <v>96433388</v>
      </c>
    </row>
    <row r="1452" spans="1:4" x14ac:dyDescent="0.25">
      <c r="A1452" t="str">
        <f>T("   870421")</f>
        <v xml:space="preserve">   870421</v>
      </c>
      <c r="B1452" t="str">
        <f>T("   D'UN POIDS EN CHARGE MAXIMAL N'EXCEDANT PAS 5 TONNES")</f>
        <v xml:space="preserve">   D'UN POIDS EN CHARGE MAXIMAL N'EXCEDANT PAS 5 TONNES</v>
      </c>
      <c r="C1452" s="4">
        <v>1675</v>
      </c>
      <c r="D1452" s="4">
        <v>1200000</v>
      </c>
    </row>
    <row r="1453" spans="1:4" x14ac:dyDescent="0.25">
      <c r="A1453" t="str">
        <f>T("   870431")</f>
        <v xml:space="preserve">   870431</v>
      </c>
      <c r="B1453" t="str">
        <f>T("   D'UN POIDS EN CHARGE MAXIMAL N'EXCEDANT PAS 5 TONNES")</f>
        <v xml:space="preserve">   D'UN POIDS EN CHARGE MAXIMAL N'EXCEDANT PAS 5 TONNES</v>
      </c>
      <c r="C1453" s="4">
        <v>11591</v>
      </c>
      <c r="D1453" s="4">
        <v>10059371</v>
      </c>
    </row>
    <row r="1454" spans="1:4" x14ac:dyDescent="0.25">
      <c r="A1454" t="str">
        <f>T("   870899")</f>
        <v xml:space="preserve">   870899</v>
      </c>
      <c r="B1454" t="str">
        <f>T("   AUTRES")</f>
        <v xml:space="preserve">   AUTRES</v>
      </c>
      <c r="C1454" s="4">
        <v>31561</v>
      </c>
      <c r="D1454" s="4">
        <v>27207201</v>
      </c>
    </row>
    <row r="1455" spans="1:4" x14ac:dyDescent="0.25">
      <c r="A1455" t="str">
        <f>T("   871200")</f>
        <v xml:space="preserve">   871200</v>
      </c>
      <c r="B1455" t="str">
        <f>T("   BICYCLETTES ET AUTRES CYCLES (Y COMPRIS LES TRIPORTEURS), SANS MOTEUR.")</f>
        <v xml:space="preserve">   BICYCLETTES ET AUTRES CYCLES (Y COMPRIS LES TRIPORTEURS), SANS MOTEUR.</v>
      </c>
      <c r="C1455" s="4">
        <v>11434</v>
      </c>
      <c r="D1455" s="4">
        <v>3490885</v>
      </c>
    </row>
    <row r="1456" spans="1:4" x14ac:dyDescent="0.25">
      <c r="A1456" t="str">
        <f>T("   871500")</f>
        <v xml:space="preserve">   871500</v>
      </c>
      <c r="B1456" t="str">
        <f>T("   LANDAUS, POUSSETTES ET VOITURES SIMILAIRES POUR LE TRANSPORT DES ENFANTS, ET LEURS PART")</f>
        <v xml:space="preserve">   LANDAUS, POUSSETTES ET VOITURES SIMILAIRES POUR LE TRANSPORT DES ENFANTS, ET LEURS PART</v>
      </c>
      <c r="C1456" s="4">
        <v>4755</v>
      </c>
      <c r="D1456" s="4">
        <v>2917671</v>
      </c>
    </row>
    <row r="1457" spans="1:4" x14ac:dyDescent="0.25">
      <c r="A1457" t="str">
        <f>T("   880330")</f>
        <v xml:space="preserve">   880330</v>
      </c>
      <c r="B1457" t="str">
        <f>T("   AUTRES PARTIES D'AVIONS OU D'HELICOPTERES")</f>
        <v xml:space="preserve">   AUTRES PARTIES D'AVIONS OU D'HELICOPTERES</v>
      </c>
      <c r="C1457" s="4">
        <v>4.5</v>
      </c>
      <c r="D1457" s="4">
        <v>649630</v>
      </c>
    </row>
    <row r="1458" spans="1:4" x14ac:dyDescent="0.25">
      <c r="A1458" t="str">
        <f>T("   890590")</f>
        <v xml:space="preserve">   890590</v>
      </c>
      <c r="B1458" t="str">
        <f>T("   AUTRES")</f>
        <v xml:space="preserve">   AUTRES</v>
      </c>
      <c r="C1458" s="4">
        <v>950</v>
      </c>
      <c r="D1458" s="4">
        <v>13013687</v>
      </c>
    </row>
    <row r="1459" spans="1:4" x14ac:dyDescent="0.25">
      <c r="A1459" t="str">
        <f>T("   901580")</f>
        <v xml:space="preserve">   901580</v>
      </c>
      <c r="B1459" t="str">
        <f>T("   AUTRES INSTRUMENTS ET APPAREILS")</f>
        <v xml:space="preserve">   AUTRES INSTRUMENTS ET APPAREILS</v>
      </c>
      <c r="C1459" s="4">
        <v>14.54</v>
      </c>
      <c r="D1459" s="4">
        <v>12712182</v>
      </c>
    </row>
    <row r="1460" spans="1:4" x14ac:dyDescent="0.25">
      <c r="A1460" t="str">
        <f>T("   901839")</f>
        <v xml:space="preserve">   901839</v>
      </c>
      <c r="B1460" t="str">
        <f>T("   AUTRES")</f>
        <v xml:space="preserve">   AUTRES</v>
      </c>
      <c r="C1460" s="4">
        <v>2084</v>
      </c>
      <c r="D1460" s="4">
        <v>1077945</v>
      </c>
    </row>
    <row r="1461" spans="1:4" x14ac:dyDescent="0.25">
      <c r="A1461" t="str">
        <f>T("   901890")</f>
        <v xml:space="preserve">   901890</v>
      </c>
      <c r="B1461" t="str">
        <f>T("   AUTRES INSTRUMENTS ET APPAREILS")</f>
        <v xml:space="preserve">   AUTRES INSTRUMENTS ET APPAREILS</v>
      </c>
      <c r="C1461" s="4">
        <v>17</v>
      </c>
      <c r="D1461" s="4">
        <v>268424</v>
      </c>
    </row>
    <row r="1462" spans="1:4" x14ac:dyDescent="0.25">
      <c r="A1462" t="str">
        <f>T("   902139")</f>
        <v xml:space="preserve">   902139</v>
      </c>
      <c r="B1462" t="str">
        <f>T("   AUTRES")</f>
        <v xml:space="preserve">   AUTRES</v>
      </c>
      <c r="C1462" s="4">
        <v>830</v>
      </c>
      <c r="D1462" s="4">
        <v>2257958</v>
      </c>
    </row>
    <row r="1463" spans="1:4" x14ac:dyDescent="0.25">
      <c r="A1463" t="str">
        <f>T("   902221")</f>
        <v xml:space="preserve">   902221</v>
      </c>
      <c r="B1463" t="str">
        <f>T("   A USAGE MEDICAL, CHIRURGICAL, DENTAIRE OU VETERINAIRE")</f>
        <v xml:space="preserve">   A USAGE MEDICAL, CHIRURGICAL, DENTAIRE OU VETERINAIRE</v>
      </c>
      <c r="C1463" s="4">
        <v>7467</v>
      </c>
      <c r="D1463" s="4">
        <v>27006086</v>
      </c>
    </row>
    <row r="1464" spans="1:4" x14ac:dyDescent="0.25">
      <c r="A1464" t="str">
        <f>T("   903040")</f>
        <v xml:space="preserve">   903040</v>
      </c>
      <c r="B1464" t="str">
        <f>T("   AUTRES INSTRUMENTS ET APPAREILS, SPECIALEMENT CONCUS POUR LES TECHNIQUES DE LA TELECO")</f>
        <v xml:space="preserve">   AUTRES INSTRUMENTS ET APPAREILS, SPECIALEMENT CONCUS POUR LES TECHNIQUES DE LA TELECO</v>
      </c>
      <c r="C1464" s="4">
        <v>942</v>
      </c>
      <c r="D1464" s="4">
        <v>280000</v>
      </c>
    </row>
    <row r="1465" spans="1:4" x14ac:dyDescent="0.25">
      <c r="A1465" t="str">
        <f>T("   940159")</f>
        <v xml:space="preserve">   940159</v>
      </c>
      <c r="B1465" t="str">
        <f>T("   AUTRES")</f>
        <v xml:space="preserve">   AUTRES</v>
      </c>
      <c r="C1465" s="4">
        <v>200</v>
      </c>
      <c r="D1465" s="4">
        <v>27000</v>
      </c>
    </row>
    <row r="1466" spans="1:4" x14ac:dyDescent="0.25">
      <c r="A1466" t="str">
        <f>T("   940290")</f>
        <v xml:space="preserve">   940290</v>
      </c>
      <c r="B1466" t="str">
        <f>T("   AUTRES")</f>
        <v xml:space="preserve">   AUTRES</v>
      </c>
      <c r="C1466" s="4">
        <v>3418</v>
      </c>
      <c r="D1466" s="4">
        <v>597475</v>
      </c>
    </row>
    <row r="1467" spans="1:4" x14ac:dyDescent="0.25">
      <c r="A1467" t="str">
        <f>T("   940320")</f>
        <v xml:space="preserve">   940320</v>
      </c>
      <c r="B1467" t="str">
        <f>T("   AUTRES MEUBLES EN METAL")</f>
        <v xml:space="preserve">   AUTRES MEUBLES EN METAL</v>
      </c>
      <c r="C1467" s="4">
        <v>5000</v>
      </c>
      <c r="D1467" s="4">
        <v>1389129</v>
      </c>
    </row>
    <row r="1468" spans="1:4" x14ac:dyDescent="0.25">
      <c r="A1468" t="str">
        <f>T("   940350")</f>
        <v xml:space="preserve">   940350</v>
      </c>
      <c r="B1468" t="str">
        <f>T("   MEUBLES EN BOIS DES TYPES UTILISES DANS LES CHAMBRES A COUCHER")</f>
        <v xml:space="preserve">   MEUBLES EN BOIS DES TYPES UTILISES DANS LES CHAMBRES A COUCHER</v>
      </c>
      <c r="C1468" s="4">
        <v>3700</v>
      </c>
      <c r="D1468" s="4">
        <v>1940000</v>
      </c>
    </row>
    <row r="1469" spans="1:4" x14ac:dyDescent="0.25">
      <c r="A1469" t="str">
        <f>T("   940360")</f>
        <v xml:space="preserve">   940360</v>
      </c>
      <c r="B1469" t="str">
        <f>T("   Autres meubles en bois")</f>
        <v xml:space="preserve">   Autres meubles en bois</v>
      </c>
      <c r="C1469" s="4">
        <v>28954</v>
      </c>
      <c r="D1469" s="4">
        <v>12118150</v>
      </c>
    </row>
    <row r="1470" spans="1:4" x14ac:dyDescent="0.25">
      <c r="A1470" t="str">
        <f>T("   940389")</f>
        <v xml:space="preserve">   940389</v>
      </c>
      <c r="B1470" t="str">
        <f>T("   AUTRES")</f>
        <v xml:space="preserve">   AUTRES</v>
      </c>
      <c r="C1470" s="4">
        <v>4464</v>
      </c>
      <c r="D1470" s="4">
        <v>8358689</v>
      </c>
    </row>
    <row r="1471" spans="1:4" x14ac:dyDescent="0.25">
      <c r="A1471" t="str">
        <f>T("   940421")</f>
        <v xml:space="preserve">   940421</v>
      </c>
      <c r="B1471" t="str">
        <f>T("   EN CAOUTCHOUC ALVEOLAIRE OU EN MATIERES PLASTIQUES ALVEOLAIRES, RECOUVERTS OU NON")</f>
        <v xml:space="preserve">   EN CAOUTCHOUC ALVEOLAIRE OU EN MATIERES PLASTIQUES ALVEOLAIRES, RECOUVERTS OU NON</v>
      </c>
      <c r="C1471" s="4">
        <v>1000</v>
      </c>
      <c r="D1471" s="4">
        <v>110000</v>
      </c>
    </row>
    <row r="1472" spans="1:4" x14ac:dyDescent="0.25">
      <c r="A1472" t="str">
        <f>T("   940429")</f>
        <v xml:space="preserve">   940429</v>
      </c>
      <c r="B1472" t="str">
        <f>T("   EN AUTRES MATIERES")</f>
        <v xml:space="preserve">   EN AUTRES MATIERES</v>
      </c>
      <c r="C1472" s="4">
        <v>3070</v>
      </c>
      <c r="D1472" s="4">
        <v>1079991</v>
      </c>
    </row>
    <row r="1473" spans="1:4" x14ac:dyDescent="0.25">
      <c r="A1473" t="str">
        <f>T("   940490")</f>
        <v xml:space="preserve">   940490</v>
      </c>
      <c r="B1473" t="str">
        <f>T("   AUTRES")</f>
        <v xml:space="preserve">   AUTRES</v>
      </c>
      <c r="C1473" s="4">
        <v>13996</v>
      </c>
      <c r="D1473" s="4">
        <v>3386390</v>
      </c>
    </row>
    <row r="1474" spans="1:4" x14ac:dyDescent="0.25">
      <c r="A1474" t="str">
        <f>T("   950300")</f>
        <v xml:space="preserve">   950300</v>
      </c>
      <c r="B1474" t="str">
        <f>T("   TRICYCLES, TROTTINETTES, AUTOS A PEDALES ET JOUETS A ROUES SIMILAIRES; LANDAUS ET POUSS")</f>
        <v xml:space="preserve">   TRICYCLES, TROTTINETTES, AUTOS A PEDALES ET JOUETS A ROUES SIMILAIRES; LANDAUS ET POUSS</v>
      </c>
      <c r="C1474" s="4">
        <v>5670</v>
      </c>
      <c r="D1474" s="4">
        <v>1512857</v>
      </c>
    </row>
    <row r="1475" spans="1:4" x14ac:dyDescent="0.25">
      <c r="A1475" t="str">
        <f>T("   950590")</f>
        <v xml:space="preserve">   950590</v>
      </c>
      <c r="B1475" t="str">
        <f>T("   AUTRES")</f>
        <v xml:space="preserve">   AUTRES</v>
      </c>
      <c r="C1475" s="4">
        <v>70</v>
      </c>
      <c r="D1475" s="4">
        <v>100000</v>
      </c>
    </row>
    <row r="1476" spans="1:4" x14ac:dyDescent="0.25">
      <c r="A1476" t="str">
        <f>T("   950619")</f>
        <v xml:space="preserve">   950619</v>
      </c>
      <c r="B1476" t="str">
        <f>T("   AUTRES")</f>
        <v xml:space="preserve">   AUTRES</v>
      </c>
      <c r="C1476" s="4">
        <v>1315</v>
      </c>
      <c r="D1476" s="4">
        <v>2184599</v>
      </c>
    </row>
    <row r="1477" spans="1:4" x14ac:dyDescent="0.25">
      <c r="A1477" t="str">
        <f>T("   970300")</f>
        <v xml:space="preserve">   970300</v>
      </c>
      <c r="B1477" t="str">
        <f>T("   PRODUCTIONS ORIGINALES DE L'ART STATUAIRE OU DE LA SCULPTURE, EN TOUTES MATIERES.")</f>
        <v xml:space="preserve">   PRODUCTIONS ORIGINALES DE L'ART STATUAIRE OU DE LA SCULPTURE, EN TOUTES MATIERES.</v>
      </c>
      <c r="C1477" s="4">
        <v>63</v>
      </c>
      <c r="D1477" s="4">
        <v>42664</v>
      </c>
    </row>
    <row r="1478" spans="1:4" s="5" customFormat="1" x14ac:dyDescent="0.25">
      <c r="A1478" s="5" t="str">
        <f>T("   ZZ_Total_Produit_SH6")</f>
        <v xml:space="preserve">   ZZ_Total_Produit_SH6</v>
      </c>
      <c r="B1478" s="5" t="str">
        <f>T("   ZZ_Total_Produit_SH6")</f>
        <v xml:space="preserve">   ZZ_Total_Produit_SH6</v>
      </c>
      <c r="C1478" s="1">
        <v>11162709.51</v>
      </c>
      <c r="D1478" s="1">
        <v>6494403937</v>
      </c>
    </row>
    <row r="1479" spans="1:4" s="5" customFormat="1" x14ac:dyDescent="0.25">
      <c r="B1479" s="5" t="str">
        <f>T("Cocos (Keeling), îles")</f>
        <v>Cocos (Keeling), îles</v>
      </c>
      <c r="C1479" s="1"/>
      <c r="D1479" s="1"/>
    </row>
    <row r="1480" spans="1:4" x14ac:dyDescent="0.25">
      <c r="A1480" t="str">
        <f>T("   847190")</f>
        <v xml:space="preserve">   847190</v>
      </c>
      <c r="B1480" t="str">
        <f>T("   AUTRES")</f>
        <v xml:space="preserve">   AUTRES</v>
      </c>
      <c r="C1480" s="4">
        <v>10</v>
      </c>
      <c r="D1480" s="4">
        <v>418097</v>
      </c>
    </row>
    <row r="1481" spans="1:4" s="5" customFormat="1" x14ac:dyDescent="0.25">
      <c r="A1481" s="5" t="str">
        <f>T("   ZZ_Total_Produit_SH6")</f>
        <v xml:space="preserve">   ZZ_Total_Produit_SH6</v>
      </c>
      <c r="B1481" s="5" t="str">
        <f>T("   ZZ_Total_Produit_SH6")</f>
        <v xml:space="preserve">   ZZ_Total_Produit_SH6</v>
      </c>
      <c r="C1481" s="1">
        <v>10</v>
      </c>
      <c r="D1481" s="1">
        <v>418097</v>
      </c>
    </row>
    <row r="1482" spans="1:4" s="5" customFormat="1" x14ac:dyDescent="0.25">
      <c r="B1482" s="5" t="str">
        <f>T("Congo, République Démocratique")</f>
        <v>Congo, République Démocratique</v>
      </c>
      <c r="C1482" s="1"/>
      <c r="D1482" s="1"/>
    </row>
    <row r="1483" spans="1:4" x14ac:dyDescent="0.25">
      <c r="A1483" t="str">
        <f>T("   340130")</f>
        <v xml:space="preserve">   340130</v>
      </c>
      <c r="B1483" t="str">
        <f>T("   PRODUITS ET PREPARATIONS ORGANIQUES TENSIOACTIFS DESTINES AU LAVAGE DE LA PEAU, SOUS")</f>
        <v xml:space="preserve">   PRODUITS ET PREPARATIONS ORGANIQUES TENSIOACTIFS DESTINES AU LAVAGE DE LA PEAU, SOUS</v>
      </c>
      <c r="C1483" s="4">
        <v>13140</v>
      </c>
      <c r="D1483" s="4">
        <v>6542000</v>
      </c>
    </row>
    <row r="1484" spans="1:4" x14ac:dyDescent="0.25">
      <c r="A1484" t="str">
        <f>T("   620590")</f>
        <v xml:space="preserve">   620590</v>
      </c>
      <c r="B1484" t="str">
        <f>T("   D'AUTRES MATIERES TEXTILES")</f>
        <v xml:space="preserve">   D'AUTRES MATIERES TEXTILES</v>
      </c>
      <c r="C1484" s="4">
        <v>1100</v>
      </c>
      <c r="D1484" s="4">
        <v>2200000</v>
      </c>
    </row>
    <row r="1485" spans="1:4" x14ac:dyDescent="0.25">
      <c r="A1485" t="str">
        <f>T("   732394")</f>
        <v xml:space="preserve">   732394</v>
      </c>
      <c r="B1485" t="str">
        <f>T("   EN FER OU EN ACIER, EMAILLES")</f>
        <v xml:space="preserve">   EN FER OU EN ACIER, EMAILLES</v>
      </c>
      <c r="C1485" s="4">
        <v>800</v>
      </c>
      <c r="D1485" s="4">
        <v>1000000</v>
      </c>
    </row>
    <row r="1486" spans="1:4" x14ac:dyDescent="0.25">
      <c r="A1486" t="str">
        <f>T("   940350")</f>
        <v xml:space="preserve">   940350</v>
      </c>
      <c r="B1486" t="str">
        <f>T("   MEUBLES EN BOIS DES TYPES UTILISES DANS LES CHAMBRES A COUCHER")</f>
        <v xml:space="preserve">   MEUBLES EN BOIS DES TYPES UTILISES DANS LES CHAMBRES A COUCHER</v>
      </c>
      <c r="C1486" s="4">
        <v>3600</v>
      </c>
      <c r="D1486" s="4">
        <v>3300000</v>
      </c>
    </row>
    <row r="1487" spans="1:4" s="5" customFormat="1" x14ac:dyDescent="0.25">
      <c r="A1487" s="5" t="str">
        <f>T("   ZZ_Total_Produit_SH6")</f>
        <v xml:space="preserve">   ZZ_Total_Produit_SH6</v>
      </c>
      <c r="B1487" s="5" t="str">
        <f>T("   ZZ_Total_Produit_SH6")</f>
        <v xml:space="preserve">   ZZ_Total_Produit_SH6</v>
      </c>
      <c r="C1487" s="1">
        <v>18640</v>
      </c>
      <c r="D1487" s="1">
        <v>13042000</v>
      </c>
    </row>
    <row r="1488" spans="1:4" s="5" customFormat="1" x14ac:dyDescent="0.25">
      <c r="B1488" s="5" t="str">
        <f>T("Centrafricaine, République")</f>
        <v>Centrafricaine, République</v>
      </c>
      <c r="C1488" s="1"/>
      <c r="D1488" s="1"/>
    </row>
    <row r="1489" spans="1:4" x14ac:dyDescent="0.25">
      <c r="A1489" t="str">
        <f>T("   870323")</f>
        <v xml:space="preserve">   870323</v>
      </c>
      <c r="B1489" t="str">
        <f>T("   D’UNE CYLINDREE EXCEDANT 1.500 CM³ MAIS N’EXCEDANT PAS 3.000 CM³")</f>
        <v xml:space="preserve">   D’UNE CYLINDREE EXCEDANT 1.500 CM³ MAIS N’EXCEDANT PAS 3.000 CM³</v>
      </c>
      <c r="C1489" s="4">
        <v>2750</v>
      </c>
      <c r="D1489" s="4">
        <v>10819503</v>
      </c>
    </row>
    <row r="1490" spans="1:4" s="5" customFormat="1" x14ac:dyDescent="0.25">
      <c r="A1490" s="5" t="str">
        <f>T("   ZZ_Total_Produit_SH6")</f>
        <v xml:space="preserve">   ZZ_Total_Produit_SH6</v>
      </c>
      <c r="B1490" s="5" t="str">
        <f>T("   ZZ_Total_Produit_SH6")</f>
        <v xml:space="preserve">   ZZ_Total_Produit_SH6</v>
      </c>
      <c r="C1490" s="1">
        <v>2750</v>
      </c>
      <c r="D1490" s="1">
        <v>10819503</v>
      </c>
    </row>
    <row r="1491" spans="1:4" s="5" customFormat="1" x14ac:dyDescent="0.25">
      <c r="B1491" s="5" t="str">
        <f>T("Congo (Brazzaville)")</f>
        <v>Congo (Brazzaville)</v>
      </c>
      <c r="C1491" s="1"/>
      <c r="D1491" s="1"/>
    </row>
    <row r="1492" spans="1:4" x14ac:dyDescent="0.25">
      <c r="A1492" t="str">
        <f>T("   300439")</f>
        <v xml:space="preserve">   300439</v>
      </c>
      <c r="B1492" t="str">
        <f>T("   AUTRES")</f>
        <v xml:space="preserve">   AUTRES</v>
      </c>
      <c r="C1492" s="4">
        <v>45</v>
      </c>
      <c r="D1492" s="4">
        <v>50000</v>
      </c>
    </row>
    <row r="1493" spans="1:4" x14ac:dyDescent="0.25">
      <c r="A1493" t="str">
        <f>T("   491000")</f>
        <v xml:space="preserve">   491000</v>
      </c>
      <c r="B1493" t="str">
        <f>T("   CALENDRIERS DE TOUS GENRES, IMPRIMES, Y COMPRIS LES BLOCS DE CALENDRIERS A EFFEUILLER.")</f>
        <v xml:space="preserve">   CALENDRIERS DE TOUS GENRES, IMPRIMES, Y COMPRIS LES BLOCS DE CALENDRIERS A EFFEUILLER.</v>
      </c>
      <c r="C1493" s="4">
        <v>97.85</v>
      </c>
      <c r="D1493" s="4">
        <v>57050</v>
      </c>
    </row>
    <row r="1494" spans="1:4" x14ac:dyDescent="0.25">
      <c r="A1494" t="str">
        <f>T("   620349")</f>
        <v xml:space="preserve">   620349</v>
      </c>
      <c r="B1494" t="str">
        <f>T("   D'AUTRES MATIERES TEXTILES")</f>
        <v xml:space="preserve">   D'AUTRES MATIERES TEXTILES</v>
      </c>
      <c r="C1494" s="4">
        <v>173</v>
      </c>
      <c r="D1494" s="4">
        <v>25000</v>
      </c>
    </row>
    <row r="1495" spans="1:4" x14ac:dyDescent="0.25">
      <c r="A1495" t="str">
        <f>T("   621040")</f>
        <v xml:space="preserve">   621040</v>
      </c>
      <c r="B1495" t="str">
        <f>T("   AUTRES VETEMENTS POUR HOMMES OU GARCONNETS")</f>
        <v xml:space="preserve">   AUTRES VETEMENTS POUR HOMMES OU GARCONNETS</v>
      </c>
      <c r="C1495" s="4">
        <v>12</v>
      </c>
      <c r="D1495" s="4">
        <v>161213</v>
      </c>
    </row>
    <row r="1496" spans="1:4" x14ac:dyDescent="0.25">
      <c r="A1496" t="str">
        <f>T("   630900")</f>
        <v xml:space="preserve">   630900</v>
      </c>
      <c r="B1496" t="str">
        <f>T("   ARTICLES DE FRIPERIE.")</f>
        <v xml:space="preserve">   ARTICLES DE FRIPERIE.</v>
      </c>
      <c r="C1496" s="4">
        <v>90</v>
      </c>
      <c r="D1496" s="4">
        <v>20000</v>
      </c>
    </row>
    <row r="1497" spans="1:4" x14ac:dyDescent="0.25">
      <c r="A1497" t="str">
        <f>T("   640590")</f>
        <v xml:space="preserve">   640590</v>
      </c>
      <c r="B1497" t="str">
        <f>T("   AUTRES")</f>
        <v xml:space="preserve">   AUTRES</v>
      </c>
      <c r="C1497" s="4">
        <v>13</v>
      </c>
      <c r="D1497" s="4">
        <v>55959</v>
      </c>
    </row>
    <row r="1498" spans="1:4" x14ac:dyDescent="0.25">
      <c r="A1498" t="str">
        <f>T("   820790")</f>
        <v xml:space="preserve">   820790</v>
      </c>
      <c r="B1498" t="str">
        <f>T("   AUTRES OUTILS INTERCHANGEABLES")</f>
        <v xml:space="preserve">   AUTRES OUTILS INTERCHANGEABLES</v>
      </c>
      <c r="C1498" s="4">
        <v>70</v>
      </c>
      <c r="D1498" s="4">
        <v>238490</v>
      </c>
    </row>
    <row r="1499" spans="1:4" x14ac:dyDescent="0.25">
      <c r="A1499" t="str">
        <f>T("   852820")</f>
        <v xml:space="preserve">   852820</v>
      </c>
      <c r="B1499" t="str">
        <f>T("   RECEPTEURS TV NOIR/BLANC MEME AVEC ENREGISTR.,REPRODUCTION DES SON,IMAGES")</f>
        <v xml:space="preserve">   RECEPTEURS TV NOIR/BLANC MEME AVEC ENREGISTR.,REPRODUCTION DES SON,IMAGES</v>
      </c>
      <c r="C1499" s="4">
        <v>115</v>
      </c>
      <c r="D1499" s="4">
        <v>499000</v>
      </c>
    </row>
    <row r="1500" spans="1:4" x14ac:dyDescent="0.25">
      <c r="A1500" t="str">
        <f>T("   853110")</f>
        <v xml:space="preserve">   853110</v>
      </c>
      <c r="B1500" t="str">
        <f>T("   AVERTISSEURS ELECTRIQUES POUR LA PROTECTION CONTRE LE VOL OU L'INCENDIE ET APPAREILS")</f>
        <v xml:space="preserve">   AVERTISSEURS ELECTRIQUES POUR LA PROTECTION CONTRE LE VOL OU L'INCENDIE ET APPAREILS</v>
      </c>
      <c r="C1500" s="4">
        <v>4</v>
      </c>
      <c r="D1500" s="4">
        <v>55985</v>
      </c>
    </row>
    <row r="1501" spans="1:4" x14ac:dyDescent="0.25">
      <c r="A1501" t="str">
        <f>T("   870421")</f>
        <v xml:space="preserve">   870421</v>
      </c>
      <c r="B1501" t="str">
        <f>T("   D'UN POIDS EN CHARGE MAXIMAL N'EXCEDANT PAS 5 TONNES")</f>
        <v xml:space="preserve">   D'UN POIDS EN CHARGE MAXIMAL N'EXCEDANT PAS 5 TONNES</v>
      </c>
      <c r="C1501" s="4">
        <v>12952</v>
      </c>
      <c r="D1501" s="4">
        <v>79562883</v>
      </c>
    </row>
    <row r="1502" spans="1:4" x14ac:dyDescent="0.25">
      <c r="A1502" t="str">
        <f>T("   870510")</f>
        <v xml:space="preserve">   870510</v>
      </c>
      <c r="B1502" t="str">
        <f>T("   CAMIONSGRUES")</f>
        <v xml:space="preserve">   CAMIONSGRUES</v>
      </c>
      <c r="C1502" s="4">
        <v>9250</v>
      </c>
      <c r="D1502" s="4">
        <v>13747767</v>
      </c>
    </row>
    <row r="1503" spans="1:4" x14ac:dyDescent="0.25">
      <c r="A1503" t="str">
        <f>T("   901890")</f>
        <v xml:space="preserve">   901890</v>
      </c>
      <c r="B1503" t="str">
        <f>T("   AUTRES INSTRUMENTS ET APPAREILS")</f>
        <v xml:space="preserve">   AUTRES INSTRUMENTS ET APPAREILS</v>
      </c>
      <c r="C1503" s="4">
        <v>219</v>
      </c>
      <c r="D1503" s="4">
        <v>120000</v>
      </c>
    </row>
    <row r="1504" spans="1:4" x14ac:dyDescent="0.25">
      <c r="A1504" t="str">
        <f>T("   950790")</f>
        <v xml:space="preserve">   950790</v>
      </c>
      <c r="B1504" t="str">
        <f>T("   AUTRES")</f>
        <v xml:space="preserve">   AUTRES</v>
      </c>
      <c r="C1504" s="4">
        <v>10</v>
      </c>
      <c r="D1504" s="4">
        <v>82606</v>
      </c>
    </row>
    <row r="1505" spans="1:4" s="5" customFormat="1" x14ac:dyDescent="0.25">
      <c r="A1505" s="5" t="str">
        <f>T("   ZZ_Total_Produit_SH6")</f>
        <v xml:space="preserve">   ZZ_Total_Produit_SH6</v>
      </c>
      <c r="B1505" s="5" t="str">
        <f>T("   ZZ_Total_Produit_SH6")</f>
        <v xml:space="preserve">   ZZ_Total_Produit_SH6</v>
      </c>
      <c r="C1505" s="1">
        <v>23050.85</v>
      </c>
      <c r="D1505" s="1">
        <v>94675953</v>
      </c>
    </row>
    <row r="1506" spans="1:4" s="5" customFormat="1" x14ac:dyDescent="0.25">
      <c r="B1506" s="5" t="str">
        <f>T("Suisse")</f>
        <v>Suisse</v>
      </c>
      <c r="C1506" s="1"/>
      <c r="D1506" s="1"/>
    </row>
    <row r="1507" spans="1:4" x14ac:dyDescent="0.25">
      <c r="A1507" t="str">
        <f>T("   020712")</f>
        <v xml:space="preserve">   020712</v>
      </c>
      <c r="B1507" t="str">
        <f>T("   NON DECOUPES EN MORCEAUX, CONGELES")</f>
        <v xml:space="preserve">   NON DECOUPES EN MORCEAUX, CONGELES</v>
      </c>
      <c r="C1507" s="4">
        <v>50000</v>
      </c>
      <c r="D1507" s="4">
        <v>31100000</v>
      </c>
    </row>
    <row r="1508" spans="1:4" x14ac:dyDescent="0.25">
      <c r="A1508" t="str">
        <f>T("   020714")</f>
        <v xml:space="preserve">   020714</v>
      </c>
      <c r="B1508" t="str">
        <f>T("   MORCEAUX ET ABATS, CONGELES")</f>
        <v xml:space="preserve">   MORCEAUX ET ABATS, CONGELES</v>
      </c>
      <c r="C1508" s="4">
        <v>554400</v>
      </c>
      <c r="D1508" s="4">
        <v>342100000</v>
      </c>
    </row>
    <row r="1509" spans="1:4" x14ac:dyDescent="0.25">
      <c r="A1509" t="str">
        <f>T("   020727")</f>
        <v xml:space="preserve">   020727</v>
      </c>
      <c r="B1509" t="str">
        <f>T("   MORCEAUX ET ABATS, CONGELES")</f>
        <v xml:space="preserve">   MORCEAUX ET ABATS, CONGELES</v>
      </c>
      <c r="C1509" s="4">
        <v>423000</v>
      </c>
      <c r="D1509" s="4">
        <v>264350188</v>
      </c>
    </row>
    <row r="1510" spans="1:4" x14ac:dyDescent="0.25">
      <c r="A1510" t="str">
        <f>T("   030219")</f>
        <v xml:space="preserve">   030219</v>
      </c>
      <c r="B1510" t="str">
        <f>T("   AUTRES")</f>
        <v xml:space="preserve">   AUTRES</v>
      </c>
      <c r="C1510" s="4">
        <v>162000</v>
      </c>
      <c r="D1510" s="4">
        <v>64800000</v>
      </c>
    </row>
    <row r="1511" spans="1:4" x14ac:dyDescent="0.25">
      <c r="A1511" t="str">
        <f>T("   030339")</f>
        <v xml:space="preserve">   030339</v>
      </c>
      <c r="B1511" t="str">
        <f>T("   AUTRES")</f>
        <v xml:space="preserve">   AUTRES</v>
      </c>
      <c r="C1511" s="4">
        <v>25000</v>
      </c>
      <c r="D1511" s="4">
        <v>5625000</v>
      </c>
    </row>
    <row r="1512" spans="1:4" x14ac:dyDescent="0.25">
      <c r="A1512" t="str">
        <f>T("   050400")</f>
        <v xml:space="preserve">   050400</v>
      </c>
      <c r="B1512" t="str">
        <f>T("   BOYAUX, VESSIES ET ESTOMACS D'ANIMAUX, ENTIERS OU EN MORCEAUX, AUTRES QUE CEUX DE POISS")</f>
        <v xml:space="preserve">   BOYAUX, VESSIES ET ESTOMACS D'ANIMAUX, ENTIERS OU EN MORCEAUX, AUTRES QUE CEUX DE POISS</v>
      </c>
      <c r="C1512" s="4">
        <v>25000</v>
      </c>
      <c r="D1512" s="4">
        <v>30000000</v>
      </c>
    </row>
    <row r="1513" spans="1:4" x14ac:dyDescent="0.25">
      <c r="A1513" t="str">
        <f>T("   100630")</f>
        <v xml:space="preserve">   100630</v>
      </c>
      <c r="B1513" t="str">
        <f>T("   RIZ SEMIBLANCHI OU BLANCHI, MEME POLI OU GLACE")</f>
        <v xml:space="preserve">   RIZ SEMIBLANCHI OU BLANCHI, MEME POLI OU GLACE</v>
      </c>
      <c r="C1513" s="4">
        <v>2906750</v>
      </c>
      <c r="D1513" s="4">
        <v>532340000</v>
      </c>
    </row>
    <row r="1514" spans="1:4" x14ac:dyDescent="0.25">
      <c r="A1514" t="str">
        <f>T("   100640")</f>
        <v xml:space="preserve">   100640</v>
      </c>
      <c r="B1514" t="str">
        <f>T("   RIZ EN BRISURES")</f>
        <v xml:space="preserve">   RIZ EN BRISURES</v>
      </c>
      <c r="C1514" s="4">
        <v>4536550</v>
      </c>
      <c r="D1514" s="4">
        <v>1648794345.823</v>
      </c>
    </row>
    <row r="1515" spans="1:4" x14ac:dyDescent="0.25">
      <c r="A1515" t="str">
        <f>T("   190110")</f>
        <v xml:space="preserve">   190110</v>
      </c>
      <c r="B1515" t="str">
        <f>T("   PREPARATIONS POUR L'ALIMENTATION DES ENFANTS, CONDITIONNEES POUR LA VENTE AU DETAIL")</f>
        <v xml:space="preserve">   PREPARATIONS POUR L'ALIMENTATION DES ENFANTS, CONDITIONNEES POUR LA VENTE AU DETAIL</v>
      </c>
      <c r="C1515" s="4">
        <v>2100</v>
      </c>
      <c r="D1515" s="4">
        <v>900000</v>
      </c>
    </row>
    <row r="1516" spans="1:4" x14ac:dyDescent="0.25">
      <c r="A1516" t="str">
        <f>T("   190230")</f>
        <v xml:space="preserve">   190230</v>
      </c>
      <c r="B1516" t="str">
        <f>T("   AUTRES PATES ALIMENTAIRES")</f>
        <v xml:space="preserve">   AUTRES PATES ALIMENTAIRES</v>
      </c>
      <c r="C1516" s="4">
        <v>216600</v>
      </c>
      <c r="D1516" s="4">
        <v>25932000</v>
      </c>
    </row>
    <row r="1517" spans="1:4" x14ac:dyDescent="0.25">
      <c r="A1517" t="str">
        <f>T("   190531")</f>
        <v xml:space="preserve">   190531</v>
      </c>
      <c r="B1517" t="str">
        <f>T("   BISCUITS ADDITIONNES D’EDULCORANTS")</f>
        <v xml:space="preserve">   BISCUITS ADDITIONNES D’EDULCORANTS</v>
      </c>
      <c r="C1517" s="4">
        <v>4210</v>
      </c>
      <c r="D1517" s="4">
        <v>3230000</v>
      </c>
    </row>
    <row r="1518" spans="1:4" x14ac:dyDescent="0.25">
      <c r="A1518" t="str">
        <f>T("   190590")</f>
        <v xml:space="preserve">   190590</v>
      </c>
      <c r="B1518" t="str">
        <f>T("   AUTRES")</f>
        <v xml:space="preserve">   AUTRES</v>
      </c>
      <c r="C1518" s="4">
        <v>5000</v>
      </c>
      <c r="D1518" s="4">
        <v>500000</v>
      </c>
    </row>
    <row r="1519" spans="1:4" x14ac:dyDescent="0.25">
      <c r="A1519" t="str">
        <f>T("   200710")</f>
        <v xml:space="preserve">   200710</v>
      </c>
      <c r="B1519" t="str">
        <f>T("   PREPARATIONS HOMOGENEISEES")</f>
        <v xml:space="preserve">   PREPARATIONS HOMOGENEISEES</v>
      </c>
      <c r="C1519" s="4">
        <v>5110</v>
      </c>
      <c r="D1519" s="4">
        <v>1215000</v>
      </c>
    </row>
    <row r="1520" spans="1:4" x14ac:dyDescent="0.25">
      <c r="A1520" t="str">
        <f>T("   220890")</f>
        <v xml:space="preserve">   220890</v>
      </c>
      <c r="B1520" t="str">
        <f>T("   AUTRES")</f>
        <v xml:space="preserve">   AUTRES</v>
      </c>
      <c r="C1520" s="4">
        <v>5000</v>
      </c>
      <c r="D1520" s="4">
        <v>500000</v>
      </c>
    </row>
    <row r="1521" spans="1:4" x14ac:dyDescent="0.25">
      <c r="A1521" t="str">
        <f>T("   271011")</f>
        <v xml:space="preserve">   271011</v>
      </c>
      <c r="B1521" t="str">
        <f>T("   HUILLES DE PETROLE OU D'ESSENCE")</f>
        <v xml:space="preserve">   HUILLES DE PETROLE OU D'ESSENCE</v>
      </c>
      <c r="C1521" s="4">
        <v>562251</v>
      </c>
      <c r="D1521" s="4">
        <v>186015169</v>
      </c>
    </row>
    <row r="1522" spans="1:4" x14ac:dyDescent="0.25">
      <c r="A1522" t="str">
        <f>T("   271019")</f>
        <v xml:space="preserve">   271019</v>
      </c>
      <c r="B1522" t="str">
        <f>T("   AUTRES")</f>
        <v xml:space="preserve">   AUTRES</v>
      </c>
      <c r="C1522" s="4">
        <v>6673412</v>
      </c>
      <c r="D1522" s="4">
        <v>2199213120</v>
      </c>
    </row>
    <row r="1523" spans="1:4" x14ac:dyDescent="0.25">
      <c r="A1523" t="str">
        <f>T("   271320")</f>
        <v xml:space="preserve">   271320</v>
      </c>
      <c r="B1523" t="str">
        <f>T("   BITUME DE PETROLE")</f>
        <v xml:space="preserve">   BITUME DE PETROLE</v>
      </c>
      <c r="C1523" s="4">
        <v>2159886</v>
      </c>
      <c r="D1523" s="4">
        <v>669964279</v>
      </c>
    </row>
    <row r="1524" spans="1:4" x14ac:dyDescent="0.25">
      <c r="A1524" t="str">
        <f>T("   292910")</f>
        <v xml:space="preserve">   292910</v>
      </c>
      <c r="B1524" t="str">
        <f>T("   Isocyanates")</f>
        <v xml:space="preserve">   Isocyanates</v>
      </c>
      <c r="C1524" s="4">
        <v>140000</v>
      </c>
      <c r="D1524" s="4">
        <v>182614673</v>
      </c>
    </row>
    <row r="1525" spans="1:4" x14ac:dyDescent="0.25">
      <c r="A1525" t="str">
        <f>T("   293629")</f>
        <v xml:space="preserve">   293629</v>
      </c>
      <c r="B1525" t="str">
        <f>T("   AUTRES VITAMINES ET LEURS DERIVES")</f>
        <v xml:space="preserve">   AUTRES VITAMINES ET LEURS DERIVES</v>
      </c>
      <c r="C1525" s="4">
        <v>100</v>
      </c>
      <c r="D1525" s="4">
        <v>373422</v>
      </c>
    </row>
    <row r="1526" spans="1:4" x14ac:dyDescent="0.25">
      <c r="A1526" t="str">
        <f>T("   294190")</f>
        <v xml:space="preserve">   294190</v>
      </c>
      <c r="B1526" t="str">
        <f>T("   AUTRES")</f>
        <v xml:space="preserve">   AUTRES</v>
      </c>
      <c r="C1526" s="4">
        <v>25</v>
      </c>
      <c r="D1526" s="4">
        <v>87132</v>
      </c>
    </row>
    <row r="1527" spans="1:4" x14ac:dyDescent="0.25">
      <c r="A1527" t="str">
        <f>T("   300410")</f>
        <v xml:space="preserve">   300410</v>
      </c>
      <c r="B1527" t="str">
        <f>T("   CONTENANT DES PENICILLINES OU DES DERIVES DE CES PRODUITS, A STRUCTURE D'ACIDE PENICI")</f>
        <v xml:space="preserve">   CONTENANT DES PENICILLINES OU DES DERIVES DE CES PRODUITS, A STRUCTURE D'ACIDE PENICI</v>
      </c>
      <c r="C1527" s="4">
        <v>1336</v>
      </c>
      <c r="D1527" s="4">
        <v>1516132</v>
      </c>
    </row>
    <row r="1528" spans="1:4" x14ac:dyDescent="0.25">
      <c r="A1528" t="str">
        <f>T("   300439")</f>
        <v xml:space="preserve">   300439</v>
      </c>
      <c r="B1528" t="str">
        <f>T("   AUTRES")</f>
        <v xml:space="preserve">   AUTRES</v>
      </c>
      <c r="C1528" s="4">
        <v>19</v>
      </c>
      <c r="D1528" s="4">
        <v>245000</v>
      </c>
    </row>
    <row r="1529" spans="1:4" x14ac:dyDescent="0.25">
      <c r="A1529" t="str">
        <f>T("   300490")</f>
        <v xml:space="preserve">   300490</v>
      </c>
      <c r="B1529" t="str">
        <f>T("   AUTRES")</f>
        <v xml:space="preserve">   AUTRES</v>
      </c>
      <c r="C1529" s="4">
        <v>624.29999999999995</v>
      </c>
      <c r="D1529" s="4">
        <v>1086054</v>
      </c>
    </row>
    <row r="1530" spans="1:4" x14ac:dyDescent="0.25">
      <c r="A1530" t="str">
        <f>T("   300610")</f>
        <v xml:space="preserve">   300610</v>
      </c>
      <c r="B1530" t="str">
        <f>T("   CATGUTS STERILES, LIGATURES STERILES SIMILAIRES POUR SUTURES CHIRURGICALES (Y COMPRIS")</f>
        <v xml:space="preserve">   CATGUTS STERILES, LIGATURES STERILES SIMILAIRES POUR SUTURES CHIRURGICALES (Y COMPRIS</v>
      </c>
      <c r="C1530" s="4">
        <v>410</v>
      </c>
      <c r="D1530" s="4">
        <v>6245650</v>
      </c>
    </row>
    <row r="1531" spans="1:4" x14ac:dyDescent="0.25">
      <c r="A1531" t="str">
        <f>T("   310420")</f>
        <v xml:space="preserve">   310420</v>
      </c>
      <c r="B1531" t="str">
        <f>T("   Chlorure de potassium")</f>
        <v xml:space="preserve">   Chlorure de potassium</v>
      </c>
      <c r="C1531" s="4">
        <v>1000000</v>
      </c>
      <c r="D1531" s="4">
        <v>186292640</v>
      </c>
    </row>
    <row r="1532" spans="1:4" x14ac:dyDescent="0.25">
      <c r="A1532" t="str">
        <f>T("   310590")</f>
        <v xml:space="preserve">   310590</v>
      </c>
      <c r="B1532" t="str">
        <f>T("   AUTRES")</f>
        <v xml:space="preserve">   AUTRES</v>
      </c>
      <c r="C1532" s="4">
        <v>1500000</v>
      </c>
      <c r="D1532" s="4">
        <v>309941100</v>
      </c>
    </row>
    <row r="1533" spans="1:4" x14ac:dyDescent="0.25">
      <c r="A1533" t="str">
        <f>T("   330210")</f>
        <v xml:space="preserve">   330210</v>
      </c>
      <c r="B1533" t="str">
        <f>T("   DES TYPES UTILISES POUR LES INDUSTRIES ALIMENTAIRES OU DES BOISSONS")</f>
        <v xml:space="preserve">   DES TYPES UTILISES POUR LES INDUSTRIES ALIMENTAIRES OU DES BOISSONS</v>
      </c>
      <c r="C1533" s="4">
        <v>9956</v>
      </c>
      <c r="D1533" s="4">
        <v>28527409</v>
      </c>
    </row>
    <row r="1534" spans="1:4" x14ac:dyDescent="0.25">
      <c r="A1534" t="str">
        <f>T("   330290")</f>
        <v xml:space="preserve">   330290</v>
      </c>
      <c r="B1534" t="str">
        <f>T("   AUTRES")</f>
        <v xml:space="preserve">   AUTRES</v>
      </c>
      <c r="C1534" s="4">
        <v>4250</v>
      </c>
      <c r="D1534" s="4">
        <v>12921049</v>
      </c>
    </row>
    <row r="1535" spans="1:4" x14ac:dyDescent="0.25">
      <c r="A1535" t="str">
        <f>T("   330610")</f>
        <v xml:space="preserve">   330610</v>
      </c>
      <c r="B1535" t="str">
        <f>T("   Dentifrices")</f>
        <v xml:space="preserve">   Dentifrices</v>
      </c>
      <c r="C1535" s="4">
        <v>12180</v>
      </c>
      <c r="D1535" s="4">
        <v>2623839</v>
      </c>
    </row>
    <row r="1536" spans="1:4" x14ac:dyDescent="0.25">
      <c r="A1536" t="str">
        <f>T("   340119")</f>
        <v xml:space="preserve">   340119</v>
      </c>
      <c r="B1536" t="str">
        <f>T("   AUTRES")</f>
        <v xml:space="preserve">   AUTRES</v>
      </c>
      <c r="C1536" s="4">
        <v>8570</v>
      </c>
      <c r="D1536" s="4">
        <v>2161000</v>
      </c>
    </row>
    <row r="1537" spans="1:4" x14ac:dyDescent="0.25">
      <c r="A1537" t="str">
        <f>T("   340290")</f>
        <v xml:space="preserve">   340290</v>
      </c>
      <c r="B1537" t="str">
        <f>T("   AUTRES")</f>
        <v xml:space="preserve">   AUTRES</v>
      </c>
      <c r="C1537" s="4">
        <v>57</v>
      </c>
      <c r="D1537" s="4">
        <v>285817</v>
      </c>
    </row>
    <row r="1538" spans="1:4" x14ac:dyDescent="0.25">
      <c r="A1538" t="str">
        <f>T("   382200")</f>
        <v xml:space="preserve">   382200</v>
      </c>
      <c r="B1538" t="str">
        <f>T("   REACTIFS DE DIAGNOSTIC OU DE LABORATOIRE SUR TOUT SUPPORT ET REACTIFS DE DIAGNOSTIC OU")</f>
        <v xml:space="preserve">   REACTIFS DE DIAGNOSTIC OU DE LABORATOIRE SUR TOUT SUPPORT ET REACTIFS DE DIAGNOSTIC OU</v>
      </c>
      <c r="C1538" s="4">
        <v>112</v>
      </c>
      <c r="D1538" s="4">
        <v>5550370</v>
      </c>
    </row>
    <row r="1539" spans="1:4" x14ac:dyDescent="0.25">
      <c r="A1539" t="str">
        <f>T("   390120")</f>
        <v xml:space="preserve">   390120</v>
      </c>
      <c r="B1539" t="str">
        <f>T("   POLYETHYLENE D'UNE DENSITE EGALE OU SUPERIEURE A 0,94")</f>
        <v xml:space="preserve">   POLYETHYLENE D'UNE DENSITE EGALE OU SUPERIEURE A 0,94</v>
      </c>
      <c r="C1539" s="4">
        <v>50738</v>
      </c>
      <c r="D1539" s="4">
        <v>13017880</v>
      </c>
    </row>
    <row r="1540" spans="1:4" x14ac:dyDescent="0.25">
      <c r="A1540" t="str">
        <f>T("   390720")</f>
        <v xml:space="preserve">   390720</v>
      </c>
      <c r="B1540" t="str">
        <f>T("   AUTRES POLYETHERS")</f>
        <v xml:space="preserve">   AUTRES POLYETHERS</v>
      </c>
      <c r="C1540" s="4">
        <v>252000</v>
      </c>
      <c r="D1540" s="4">
        <v>318867404</v>
      </c>
    </row>
    <row r="1541" spans="1:4" x14ac:dyDescent="0.25">
      <c r="A1541" t="str">
        <f>T("   392119")</f>
        <v xml:space="preserve">   392119</v>
      </c>
      <c r="B1541" t="str">
        <f>T("   EN AUTRES MATIERES PLASTIQUES")</f>
        <v xml:space="preserve">   EN AUTRES MATIERES PLASTIQUES</v>
      </c>
      <c r="C1541" s="4">
        <v>871</v>
      </c>
      <c r="D1541" s="4">
        <v>2909183</v>
      </c>
    </row>
    <row r="1542" spans="1:4" x14ac:dyDescent="0.25">
      <c r="A1542" t="str">
        <f>T("   392310")</f>
        <v xml:space="preserve">   392310</v>
      </c>
      <c r="B1542" t="str">
        <f>T("   BOITES, CAISSES, CASIERS ET ARTICLES SIMILAIRES")</f>
        <v xml:space="preserve">   BOITES, CAISSES, CASIERS ET ARTICLES SIMILAIRES</v>
      </c>
      <c r="C1542" s="4">
        <v>420</v>
      </c>
      <c r="D1542" s="4">
        <v>278992</v>
      </c>
    </row>
    <row r="1543" spans="1:4" x14ac:dyDescent="0.25">
      <c r="A1543" t="str">
        <f>T("   392329")</f>
        <v xml:space="preserve">   392329</v>
      </c>
      <c r="B1543" t="str">
        <f>T("   EN AUTRES MATIERES PLASTIQUES")</f>
        <v xml:space="preserve">   EN AUTRES MATIERES PLASTIQUES</v>
      </c>
      <c r="C1543" s="4">
        <v>65</v>
      </c>
      <c r="D1543" s="4">
        <v>152583</v>
      </c>
    </row>
    <row r="1544" spans="1:4" x14ac:dyDescent="0.25">
      <c r="A1544" t="str">
        <f>T("   392390")</f>
        <v xml:space="preserve">   392390</v>
      </c>
      <c r="B1544" t="str">
        <f>T("   AUTRES")</f>
        <v xml:space="preserve">   AUTRES</v>
      </c>
      <c r="C1544" s="4">
        <v>8</v>
      </c>
      <c r="D1544" s="4">
        <v>13478</v>
      </c>
    </row>
    <row r="1545" spans="1:4" x14ac:dyDescent="0.25">
      <c r="A1545" t="str">
        <f>T("   392690")</f>
        <v xml:space="preserve">   392690</v>
      </c>
      <c r="B1545" t="str">
        <f>T("   AUTRES")</f>
        <v xml:space="preserve">   AUTRES</v>
      </c>
      <c r="C1545" s="4">
        <v>18</v>
      </c>
      <c r="D1545" s="4">
        <v>3456909</v>
      </c>
    </row>
    <row r="1546" spans="1:4" x14ac:dyDescent="0.25">
      <c r="A1546" t="str">
        <f>T("   401110")</f>
        <v xml:space="preserve">   401110</v>
      </c>
      <c r="B1546" t="str">
        <f>T("   DES TYPES UTILISES POUR LES VOITURES DE TOURISME (Y COMPRIS LES VOITURES DU TYPE «BRE")</f>
        <v xml:space="preserve">   DES TYPES UTILISES POUR LES VOITURES DE TOURISME (Y COMPRIS LES VOITURES DU TYPE «BRE</v>
      </c>
      <c r="C1546" s="4">
        <v>8625</v>
      </c>
      <c r="D1546" s="4">
        <v>27707751</v>
      </c>
    </row>
    <row r="1547" spans="1:4" x14ac:dyDescent="0.25">
      <c r="A1547" t="str">
        <f>T("   401212")</f>
        <v xml:space="preserve">   401212</v>
      </c>
      <c r="B1547" t="str">
        <f>T("   DES TYPES UTILISES POUR AUTOBUS OU CAMIONS")</f>
        <v xml:space="preserve">   DES TYPES UTILISES POUR AUTOBUS OU CAMIONS</v>
      </c>
      <c r="C1547" s="4">
        <v>7000</v>
      </c>
      <c r="D1547" s="4">
        <v>1050000</v>
      </c>
    </row>
    <row r="1548" spans="1:4" x14ac:dyDescent="0.25">
      <c r="A1548" t="str">
        <f>T("   401220")</f>
        <v xml:space="preserve">   401220</v>
      </c>
      <c r="B1548" t="str">
        <f>T("   PNEUMATIQUES USAGES")</f>
        <v xml:space="preserve">   PNEUMATIQUES USAGES</v>
      </c>
      <c r="C1548" s="4">
        <v>29968</v>
      </c>
      <c r="D1548" s="4">
        <v>9684000</v>
      </c>
    </row>
    <row r="1549" spans="1:4" x14ac:dyDescent="0.25">
      <c r="A1549" t="str">
        <f>T("   401390")</f>
        <v xml:space="preserve">   401390</v>
      </c>
      <c r="B1549" t="str">
        <f>T("   AUTRES")</f>
        <v xml:space="preserve">   AUTRES</v>
      </c>
      <c r="C1549" s="4">
        <v>1980</v>
      </c>
      <c r="D1549" s="4">
        <v>122500</v>
      </c>
    </row>
    <row r="1550" spans="1:4" x14ac:dyDescent="0.25">
      <c r="A1550" t="str">
        <f>T("   401693")</f>
        <v xml:space="preserve">   401693</v>
      </c>
      <c r="B1550" t="str">
        <f>T("   JOINTS")</f>
        <v xml:space="preserve">   JOINTS</v>
      </c>
      <c r="C1550" s="4">
        <v>1</v>
      </c>
      <c r="D1550" s="4">
        <v>123306</v>
      </c>
    </row>
    <row r="1551" spans="1:4" x14ac:dyDescent="0.25">
      <c r="A1551" t="str">
        <f>T("   481840")</f>
        <v xml:space="preserve">   481840</v>
      </c>
      <c r="B1551" t="str">
        <f>T("   SERVIETTES,TAMPONS HYGIENIQUES,COUCHES POUR BEBES ET SIMILAIRES EN PAPIER")</f>
        <v xml:space="preserve">   SERVIETTES,TAMPONS HYGIENIQUES,COUCHES POUR BEBES ET SIMILAIRES EN PAPIER</v>
      </c>
      <c r="C1551" s="4">
        <v>800</v>
      </c>
      <c r="D1551" s="4">
        <v>658200</v>
      </c>
    </row>
    <row r="1552" spans="1:4" x14ac:dyDescent="0.25">
      <c r="A1552" t="str">
        <f>T("   482010")</f>
        <v xml:space="preserve">   482010</v>
      </c>
      <c r="B1552" t="str">
        <f>T("   REGISTRES, LIVRES COMPTABLES, CARNETS (DE NOTES, DE COMMANDES, DE QUITTANCES), BLOCS")</f>
        <v xml:space="preserve">   REGISTRES, LIVRES COMPTABLES, CARNETS (DE NOTES, DE COMMANDES, DE QUITTANCES), BLOCS</v>
      </c>
      <c r="C1552" s="4">
        <v>308</v>
      </c>
      <c r="D1552" s="4">
        <v>201533</v>
      </c>
    </row>
    <row r="1553" spans="1:4" x14ac:dyDescent="0.25">
      <c r="A1553" t="str">
        <f>T("   482090")</f>
        <v xml:space="preserve">   482090</v>
      </c>
      <c r="B1553" t="str">
        <f>T("   AUTRES")</f>
        <v xml:space="preserve">   AUTRES</v>
      </c>
      <c r="C1553" s="4">
        <v>1310</v>
      </c>
      <c r="D1553" s="4">
        <v>983940</v>
      </c>
    </row>
    <row r="1554" spans="1:4" x14ac:dyDescent="0.25">
      <c r="A1554" t="str">
        <f>T("   482190")</f>
        <v xml:space="preserve">   482190</v>
      </c>
      <c r="B1554" t="str">
        <f>T("   AUTRES")</f>
        <v xml:space="preserve">   AUTRES</v>
      </c>
      <c r="C1554" s="4">
        <v>6</v>
      </c>
      <c r="D1554" s="4">
        <v>203201</v>
      </c>
    </row>
    <row r="1555" spans="1:4" x14ac:dyDescent="0.25">
      <c r="A1555" t="str">
        <f>T("   490199")</f>
        <v xml:space="preserve">   490199</v>
      </c>
      <c r="B1555" t="str">
        <f>T("   AUTRES")</f>
        <v xml:space="preserve">   AUTRES</v>
      </c>
      <c r="C1555" s="4">
        <v>1715.7</v>
      </c>
      <c r="D1555" s="4">
        <v>812882</v>
      </c>
    </row>
    <row r="1556" spans="1:4" x14ac:dyDescent="0.25">
      <c r="A1556" t="str">
        <f>T("   491199")</f>
        <v xml:space="preserve">   491199</v>
      </c>
      <c r="B1556" t="str">
        <f>T("   AUTRES")</f>
        <v xml:space="preserve">   AUTRES</v>
      </c>
      <c r="C1556" s="4">
        <v>51</v>
      </c>
      <c r="D1556" s="4">
        <v>194883</v>
      </c>
    </row>
    <row r="1557" spans="1:4" x14ac:dyDescent="0.25">
      <c r="A1557" t="str">
        <f>T("   520852")</f>
        <v xml:space="preserve">   520852</v>
      </c>
      <c r="B1557" t="str">
        <f>T("   A ARMURE TOILE, D'UN POIDS EXCEDANT 100 G/M²")</f>
        <v xml:space="preserve">   A ARMURE TOILE, D'UN POIDS EXCEDANT 100 G/M²</v>
      </c>
      <c r="C1557" s="4">
        <v>37100</v>
      </c>
      <c r="D1557" s="4">
        <v>14875000</v>
      </c>
    </row>
    <row r="1558" spans="1:4" x14ac:dyDescent="0.25">
      <c r="A1558" t="str">
        <f>T("   520929")</f>
        <v xml:space="preserve">   520929</v>
      </c>
      <c r="B1558" t="str">
        <f>T("   AUTRES TISSUS")</f>
        <v xml:space="preserve">   AUTRES TISSUS</v>
      </c>
      <c r="C1558" s="4">
        <v>67300</v>
      </c>
      <c r="D1558" s="4">
        <v>21000000</v>
      </c>
    </row>
    <row r="1559" spans="1:4" x14ac:dyDescent="0.25">
      <c r="A1559" t="str">
        <f>T("   551599")</f>
        <v xml:space="preserve">   551599</v>
      </c>
      <c r="B1559" t="str">
        <f>T("   AUTRES")</f>
        <v xml:space="preserve">   AUTRES</v>
      </c>
      <c r="C1559" s="4">
        <v>34700</v>
      </c>
      <c r="D1559" s="4">
        <v>10500000</v>
      </c>
    </row>
    <row r="1560" spans="1:4" x14ac:dyDescent="0.25">
      <c r="A1560" t="str">
        <f>T("   551694")</f>
        <v xml:space="preserve">   551694</v>
      </c>
      <c r="B1560" t="str">
        <f>T("   IMPRIMES")</f>
        <v xml:space="preserve">   IMPRIMES</v>
      </c>
      <c r="C1560" s="4">
        <v>78220</v>
      </c>
      <c r="D1560" s="4">
        <v>29750000</v>
      </c>
    </row>
    <row r="1561" spans="1:4" x14ac:dyDescent="0.25">
      <c r="A1561" t="str">
        <f>T("   560110")</f>
        <v xml:space="preserve">   560110</v>
      </c>
      <c r="B1561" t="str">
        <f>T("   SERVIETTES,TAMPONS HYGIENIQUES,COUCHES BEBES,ARTICLES D'HYGIENE EN OUATES")</f>
        <v xml:space="preserve">   SERVIETTES,TAMPONS HYGIENIQUES,COUCHES BEBES,ARTICLES D'HYGIENE EN OUATES</v>
      </c>
      <c r="C1561" s="4">
        <v>21687</v>
      </c>
      <c r="D1561" s="4">
        <v>3496886</v>
      </c>
    </row>
    <row r="1562" spans="1:4" x14ac:dyDescent="0.25">
      <c r="A1562" t="str">
        <f>T("   610349")</f>
        <v xml:space="preserve">   610349</v>
      </c>
      <c r="B1562" t="str">
        <f>T("   D'AUTRES MATIERES TEXTILES")</f>
        <v xml:space="preserve">   D'AUTRES MATIERES TEXTILES</v>
      </c>
      <c r="C1562" s="4">
        <v>103</v>
      </c>
      <c r="D1562" s="4">
        <v>785498</v>
      </c>
    </row>
    <row r="1563" spans="1:4" x14ac:dyDescent="0.25">
      <c r="A1563" t="str">
        <f>T("   610990")</f>
        <v xml:space="preserve">   610990</v>
      </c>
      <c r="B1563" t="str">
        <f>T("   D'AUTRES MATIERES TEXTILES")</f>
        <v xml:space="preserve">   D'AUTRES MATIERES TEXTILES</v>
      </c>
      <c r="C1563" s="4">
        <v>104</v>
      </c>
      <c r="D1563" s="4">
        <v>669302</v>
      </c>
    </row>
    <row r="1564" spans="1:4" x14ac:dyDescent="0.25">
      <c r="A1564" t="str">
        <f>T("   621133")</f>
        <v xml:space="preserve">   621133</v>
      </c>
      <c r="B1564" t="str">
        <f>T("   DE FIBRES SYNTHETIQUES OU ARTIFICIELLES")</f>
        <v xml:space="preserve">   DE FIBRES SYNTHETIQUES OU ARTIFICIELLES</v>
      </c>
      <c r="C1564" s="4">
        <v>10</v>
      </c>
      <c r="D1564" s="4">
        <v>130369</v>
      </c>
    </row>
    <row r="1565" spans="1:4" x14ac:dyDescent="0.25">
      <c r="A1565" t="str">
        <f>T("   630251")</f>
        <v xml:space="preserve">   630251</v>
      </c>
      <c r="B1565" t="str">
        <f>T("   DE COTON")</f>
        <v xml:space="preserve">   DE COTON</v>
      </c>
      <c r="C1565" s="4">
        <v>1150</v>
      </c>
      <c r="D1565" s="4">
        <v>259832</v>
      </c>
    </row>
    <row r="1566" spans="1:4" x14ac:dyDescent="0.25">
      <c r="A1566" t="str">
        <f>T("   630259")</f>
        <v xml:space="preserve">   630259</v>
      </c>
      <c r="B1566" t="str">
        <f>T("   D'AUTRES MATIERES TEXTILES")</f>
        <v xml:space="preserve">   D'AUTRES MATIERES TEXTILES</v>
      </c>
      <c r="C1566" s="4">
        <v>1581</v>
      </c>
      <c r="D1566" s="4">
        <v>1791156</v>
      </c>
    </row>
    <row r="1567" spans="1:4" x14ac:dyDescent="0.25">
      <c r="A1567" t="str">
        <f>T("   630319")</f>
        <v xml:space="preserve">   630319</v>
      </c>
      <c r="B1567" t="str">
        <f>T("   D'AUTRES MATIERES TEXTILES")</f>
        <v xml:space="preserve">   D'AUTRES MATIERES TEXTILES</v>
      </c>
      <c r="C1567" s="4">
        <v>152</v>
      </c>
      <c r="D1567" s="4">
        <v>253500</v>
      </c>
    </row>
    <row r="1568" spans="1:4" x14ac:dyDescent="0.25">
      <c r="A1568" t="str">
        <f>T("   630533")</f>
        <v xml:space="preserve">   630533</v>
      </c>
      <c r="B1568" t="str">
        <f>T("   AUTRES, OBTENUES A PARTIR DE LAMES OU FORMES SIMILAIRES DE POLYETHYLENE OU DE POLYPR")</f>
        <v xml:space="preserve">   AUTRES, OBTENUES A PARTIR DE LAMES OU FORMES SIMILAIRES DE POLYETHYLENE OU DE POLYPR</v>
      </c>
      <c r="C1568" s="4">
        <v>2800</v>
      </c>
      <c r="D1568" s="4">
        <v>64851</v>
      </c>
    </row>
    <row r="1569" spans="1:4" x14ac:dyDescent="0.25">
      <c r="A1569" t="str">
        <f>T("   630590")</f>
        <v xml:space="preserve">   630590</v>
      </c>
      <c r="B1569" t="str">
        <f>T("   D'AUTRES MATIERES TEXTILES")</f>
        <v xml:space="preserve">   D'AUTRES MATIERES TEXTILES</v>
      </c>
      <c r="C1569" s="4">
        <v>4800</v>
      </c>
      <c r="D1569" s="4">
        <v>85000</v>
      </c>
    </row>
    <row r="1570" spans="1:4" x14ac:dyDescent="0.25">
      <c r="A1570" t="str">
        <f>T("   630900")</f>
        <v xml:space="preserve">   630900</v>
      </c>
      <c r="B1570" t="str">
        <f>T("   ARTICLES DE FRIPERIE.")</f>
        <v xml:space="preserve">   ARTICLES DE FRIPERIE.</v>
      </c>
      <c r="C1570" s="4">
        <v>50</v>
      </c>
      <c r="D1570" s="4">
        <v>30000</v>
      </c>
    </row>
    <row r="1571" spans="1:4" x14ac:dyDescent="0.25">
      <c r="A1571" t="str">
        <f>T("   670490")</f>
        <v xml:space="preserve">   670490</v>
      </c>
      <c r="B1571" t="str">
        <f>T("   EN AUTRES MATIERES")</f>
        <v xml:space="preserve">   EN AUTRES MATIERES</v>
      </c>
      <c r="C1571" s="4">
        <v>776</v>
      </c>
      <c r="D1571" s="4">
        <v>498996</v>
      </c>
    </row>
    <row r="1572" spans="1:4" x14ac:dyDescent="0.25">
      <c r="A1572" t="str">
        <f>T("   690710")</f>
        <v xml:space="preserve">   690710</v>
      </c>
      <c r="B1572" t="str">
        <f>T("   CARREAUX, CUBES, DES ET ARTICLES SIMILAIRES, MEME DE FORME AUTRE QUE CARREE OU RECTAN")</f>
        <v xml:space="preserve">   CARREAUX, CUBES, DES ET ARTICLES SIMILAIRES, MEME DE FORME AUTRE QUE CARREE OU RECTAN</v>
      </c>
      <c r="C1572" s="4">
        <v>26000</v>
      </c>
      <c r="D1572" s="4">
        <v>4800000</v>
      </c>
    </row>
    <row r="1573" spans="1:4" x14ac:dyDescent="0.25">
      <c r="A1573" t="str">
        <f>T("   700490")</f>
        <v xml:space="preserve">   700490</v>
      </c>
      <c r="B1573" t="str">
        <f>T("   AUTRE VERRE")</f>
        <v xml:space="preserve">   AUTRE VERRE</v>
      </c>
      <c r="C1573" s="4">
        <v>27</v>
      </c>
      <c r="D1573" s="4">
        <v>205000</v>
      </c>
    </row>
    <row r="1574" spans="1:4" x14ac:dyDescent="0.25">
      <c r="A1574" t="str">
        <f>T("   702000")</f>
        <v xml:space="preserve">   702000</v>
      </c>
      <c r="B1574" t="str">
        <f>T("   AUTRES OUVRAGES EN VERRE.")</f>
        <v xml:space="preserve">   AUTRES OUVRAGES EN VERRE.</v>
      </c>
      <c r="C1574" s="4">
        <v>8</v>
      </c>
      <c r="D1574" s="4">
        <v>14431</v>
      </c>
    </row>
    <row r="1575" spans="1:4" x14ac:dyDescent="0.25">
      <c r="A1575" t="str">
        <f>T("   721399")</f>
        <v xml:space="preserve">   721399</v>
      </c>
      <c r="B1575" t="str">
        <f>T("   AUTRES")</f>
        <v xml:space="preserve">   AUTRES</v>
      </c>
      <c r="C1575" s="4">
        <v>7117643</v>
      </c>
      <c r="D1575" s="4">
        <v>2163622450</v>
      </c>
    </row>
    <row r="1576" spans="1:4" x14ac:dyDescent="0.25">
      <c r="A1576" t="str">
        <f>T("   721632")</f>
        <v xml:space="preserve">   721632</v>
      </c>
      <c r="B1576" t="str">
        <f>T("   PROFILES EN I")</f>
        <v xml:space="preserve">   PROFILES EN I</v>
      </c>
      <c r="C1576" s="4">
        <v>80000</v>
      </c>
      <c r="D1576" s="4">
        <v>36183890</v>
      </c>
    </row>
    <row r="1577" spans="1:4" x14ac:dyDescent="0.25">
      <c r="A1577" t="str">
        <f>T("   730630")</f>
        <v xml:space="preserve">   730630</v>
      </c>
      <c r="B1577" t="str">
        <f>T("   AUTRES, SOUDES, DE SECTION CIRCULAIRE, EN FER OU EN ACIERS NON ALLIES")</f>
        <v xml:space="preserve">   AUTRES, SOUDES, DE SECTION CIRCULAIRE, EN FER OU EN ACIERS NON ALLIES</v>
      </c>
      <c r="C1577" s="4">
        <v>17</v>
      </c>
      <c r="D1577" s="4">
        <v>698040</v>
      </c>
    </row>
    <row r="1578" spans="1:4" x14ac:dyDescent="0.25">
      <c r="A1578" t="str">
        <f>T("   730690")</f>
        <v xml:space="preserve">   730690</v>
      </c>
      <c r="B1578" t="str">
        <f>T("   AUTRES")</f>
        <v xml:space="preserve">   AUTRES</v>
      </c>
      <c r="C1578" s="4">
        <v>54000</v>
      </c>
      <c r="D1578" s="4">
        <v>10930000</v>
      </c>
    </row>
    <row r="1579" spans="1:4" x14ac:dyDescent="0.25">
      <c r="A1579" t="str">
        <f>T("   730719")</f>
        <v xml:space="preserve">   730719</v>
      </c>
      <c r="B1579" t="str">
        <f>T("   AUTRES")</f>
        <v xml:space="preserve">   AUTRES</v>
      </c>
      <c r="C1579" s="4">
        <v>24</v>
      </c>
      <c r="D1579" s="4">
        <v>2681866</v>
      </c>
    </row>
    <row r="1580" spans="1:4" x14ac:dyDescent="0.25">
      <c r="A1580" t="str">
        <f>T("   730890")</f>
        <v xml:space="preserve">   730890</v>
      </c>
      <c r="B1580" t="str">
        <f>T("   AUTRES")</f>
        <v xml:space="preserve">   AUTRES</v>
      </c>
      <c r="C1580" s="4">
        <v>28</v>
      </c>
      <c r="D1580" s="4">
        <v>49790</v>
      </c>
    </row>
    <row r="1581" spans="1:4" x14ac:dyDescent="0.25">
      <c r="A1581" t="str">
        <f>T("   732090")</f>
        <v xml:space="preserve">   732090</v>
      </c>
      <c r="B1581" t="str">
        <f>T("   AUTRES")</f>
        <v xml:space="preserve">   AUTRES</v>
      </c>
      <c r="C1581" s="4">
        <v>1</v>
      </c>
      <c r="D1581" s="4">
        <v>23504</v>
      </c>
    </row>
    <row r="1582" spans="1:4" x14ac:dyDescent="0.25">
      <c r="A1582" t="str">
        <f>T("   732310")</f>
        <v xml:space="preserve">   732310</v>
      </c>
      <c r="B1582" t="str">
        <f>T("   PAILLE DE FER OU D'ACIER; EPONGES, TORCHONS, GANTS ET ARTICLES SIMILAIRES POUR LE REC")</f>
        <v xml:space="preserve">   PAILLE DE FER OU D'ACIER; EPONGES, TORCHONS, GANTS ET ARTICLES SIMILAIRES POUR LE REC</v>
      </c>
      <c r="C1582" s="4">
        <v>3000</v>
      </c>
      <c r="D1582" s="4">
        <v>300000</v>
      </c>
    </row>
    <row r="1583" spans="1:4" x14ac:dyDescent="0.25">
      <c r="A1583" t="str">
        <f>T("   732399")</f>
        <v xml:space="preserve">   732399</v>
      </c>
      <c r="B1583" t="str">
        <f>T("   AUTRES")</f>
        <v xml:space="preserve">   AUTRES</v>
      </c>
      <c r="C1583" s="4">
        <v>1126</v>
      </c>
      <c r="D1583" s="4">
        <v>508579</v>
      </c>
    </row>
    <row r="1584" spans="1:4" x14ac:dyDescent="0.25">
      <c r="A1584" t="str">
        <f>T("   732690")</f>
        <v xml:space="preserve">   732690</v>
      </c>
      <c r="B1584" t="str">
        <f>T("   AUTRES")</f>
        <v xml:space="preserve">   AUTRES</v>
      </c>
      <c r="C1584" s="4">
        <v>64</v>
      </c>
      <c r="D1584" s="4">
        <v>96500</v>
      </c>
    </row>
    <row r="1585" spans="1:4" x14ac:dyDescent="0.25">
      <c r="A1585" t="str">
        <f>T("   820559")</f>
        <v xml:space="preserve">   820559</v>
      </c>
      <c r="B1585" t="str">
        <f>T("   AUTRES")</f>
        <v xml:space="preserve">   AUTRES</v>
      </c>
      <c r="C1585" s="4">
        <v>3527</v>
      </c>
      <c r="D1585" s="4">
        <v>1222709</v>
      </c>
    </row>
    <row r="1586" spans="1:4" x14ac:dyDescent="0.25">
      <c r="A1586" t="str">
        <f>T("   830140")</f>
        <v xml:space="preserve">   830140</v>
      </c>
      <c r="B1586" t="str">
        <f>T("   AUTRES SERRURES; VERROUS")</f>
        <v xml:space="preserve">   AUTRES SERRURES; VERROUS</v>
      </c>
      <c r="C1586" s="4">
        <v>28</v>
      </c>
      <c r="D1586" s="4">
        <v>85500</v>
      </c>
    </row>
    <row r="1587" spans="1:4" x14ac:dyDescent="0.25">
      <c r="A1587" t="str">
        <f>T("   830220")</f>
        <v xml:space="preserve">   830220</v>
      </c>
      <c r="B1587" t="str">
        <f>T("   ROULETTES")</f>
        <v xml:space="preserve">   ROULETTES</v>
      </c>
      <c r="C1587" s="4">
        <v>71</v>
      </c>
      <c r="D1587" s="4">
        <v>169285</v>
      </c>
    </row>
    <row r="1588" spans="1:4" x14ac:dyDescent="0.25">
      <c r="A1588" t="str">
        <f>T("   841319")</f>
        <v xml:space="preserve">   841319</v>
      </c>
      <c r="B1588" t="str">
        <f>T("   AUTRES")</f>
        <v xml:space="preserve">   AUTRES</v>
      </c>
      <c r="C1588" s="4">
        <v>4897</v>
      </c>
      <c r="D1588" s="4">
        <v>8553321</v>
      </c>
    </row>
    <row r="1589" spans="1:4" x14ac:dyDescent="0.25">
      <c r="A1589" t="str">
        <f>T("   841330")</f>
        <v xml:space="preserve">   841330</v>
      </c>
      <c r="B1589" t="str">
        <f>T("   POMPES A CARBURANT, A HUILE OU A LIQUIDE DE REFROIDISSEMENT POUR MOTEURS A ALLUMAGE P")</f>
        <v xml:space="preserve">   POMPES A CARBURANT, A HUILE OU A LIQUIDE DE REFROIDISSEMENT POUR MOTEURS A ALLUMAGE P</v>
      </c>
      <c r="C1589" s="4">
        <v>5</v>
      </c>
      <c r="D1589" s="4">
        <v>41346</v>
      </c>
    </row>
    <row r="1590" spans="1:4" x14ac:dyDescent="0.25">
      <c r="A1590" t="str">
        <f>T("   841440")</f>
        <v xml:space="preserve">   841440</v>
      </c>
      <c r="B1590" t="str">
        <f>T("   COMPRESSEURS D'AIR MONTES SUR CHASSIS A ROUES ET REMORQUABLES")</f>
        <v xml:space="preserve">   COMPRESSEURS D'AIR MONTES SUR CHASSIS A ROUES ET REMORQUABLES</v>
      </c>
      <c r="C1590" s="4">
        <v>295</v>
      </c>
      <c r="D1590" s="4">
        <v>224338</v>
      </c>
    </row>
    <row r="1591" spans="1:4" x14ac:dyDescent="0.25">
      <c r="A1591" t="str">
        <f>T("   841829")</f>
        <v xml:space="preserve">   841829</v>
      </c>
      <c r="B1591" t="str">
        <f>T("   AUTRES")</f>
        <v xml:space="preserve">   AUTRES</v>
      </c>
      <c r="C1591" s="4">
        <v>8600</v>
      </c>
      <c r="D1591" s="4">
        <v>1748000</v>
      </c>
    </row>
    <row r="1592" spans="1:4" x14ac:dyDescent="0.25">
      <c r="A1592" t="str">
        <f>T("   841840")</f>
        <v xml:space="preserve">   841840</v>
      </c>
      <c r="B1592" t="str">
        <f>T("   MEUBLES CONGELATEURSCONSERVATEURS DU TYPE ARMOIRE, D'UNE CAPACITE N'EXCEDANT PAS 900")</f>
        <v xml:space="preserve">   MEUBLES CONGELATEURSCONSERVATEURS DU TYPE ARMOIRE, D'UNE CAPACITE N'EXCEDANT PAS 900</v>
      </c>
      <c r="C1592" s="4">
        <v>575</v>
      </c>
      <c r="D1592" s="4">
        <v>519674</v>
      </c>
    </row>
    <row r="1593" spans="1:4" x14ac:dyDescent="0.25">
      <c r="A1593" t="str">
        <f>T("   841939")</f>
        <v xml:space="preserve">   841939</v>
      </c>
      <c r="B1593" t="str">
        <f>T("   AUTRES")</f>
        <v xml:space="preserve">   AUTRES</v>
      </c>
      <c r="C1593" s="4">
        <v>6</v>
      </c>
      <c r="D1593" s="4">
        <v>926222</v>
      </c>
    </row>
    <row r="1594" spans="1:4" x14ac:dyDescent="0.25">
      <c r="A1594" t="str">
        <f>T("   841989")</f>
        <v xml:space="preserve">   841989</v>
      </c>
      <c r="B1594" t="str">
        <f>T("   AUTRES")</f>
        <v xml:space="preserve">   AUTRES</v>
      </c>
      <c r="C1594" s="4">
        <v>886</v>
      </c>
      <c r="D1594" s="4">
        <v>306334</v>
      </c>
    </row>
    <row r="1595" spans="1:4" x14ac:dyDescent="0.25">
      <c r="A1595" t="str">
        <f>T("   842290")</f>
        <v xml:space="preserve">   842290</v>
      </c>
      <c r="B1595" t="str">
        <f>T("   PARTIES")</f>
        <v xml:space="preserve">   PARTIES</v>
      </c>
      <c r="C1595" s="4">
        <v>68</v>
      </c>
      <c r="D1595" s="4">
        <v>21389097</v>
      </c>
    </row>
    <row r="1596" spans="1:4" x14ac:dyDescent="0.25">
      <c r="A1596" t="str">
        <f>T("   842389")</f>
        <v xml:space="preserve">   842389</v>
      </c>
      <c r="B1596" t="str">
        <f>T("   AUTRES")</f>
        <v xml:space="preserve">   AUTRES</v>
      </c>
      <c r="C1596" s="4">
        <v>93.9</v>
      </c>
      <c r="D1596" s="4">
        <v>586426</v>
      </c>
    </row>
    <row r="1597" spans="1:4" x14ac:dyDescent="0.25">
      <c r="A1597" t="str">
        <f>T("   842542")</f>
        <v xml:space="preserve">   842542</v>
      </c>
      <c r="B1597" t="str">
        <f>T("   AUTRES CRICS ET VERINS, HYDRAULIQUES")</f>
        <v xml:space="preserve">   AUTRES CRICS ET VERINS, HYDRAULIQUES</v>
      </c>
      <c r="C1597" s="4">
        <v>4</v>
      </c>
      <c r="D1597" s="4">
        <v>1930070</v>
      </c>
    </row>
    <row r="1598" spans="1:4" x14ac:dyDescent="0.25">
      <c r="A1598" t="str">
        <f>T("   842839")</f>
        <v xml:space="preserve">   842839</v>
      </c>
      <c r="B1598" t="str">
        <f>T("   AUTRES")</f>
        <v xml:space="preserve">   AUTRES</v>
      </c>
      <c r="C1598" s="4">
        <v>62</v>
      </c>
      <c r="D1598" s="4">
        <v>58891</v>
      </c>
    </row>
    <row r="1599" spans="1:4" x14ac:dyDescent="0.25">
      <c r="A1599" t="str">
        <f>T("   842959")</f>
        <v xml:space="preserve">   842959</v>
      </c>
      <c r="B1599" t="str">
        <f>T("   AUTRES")</f>
        <v xml:space="preserve">   AUTRES</v>
      </c>
      <c r="C1599" s="4">
        <v>2500</v>
      </c>
      <c r="D1599" s="4">
        <v>7000005</v>
      </c>
    </row>
    <row r="1600" spans="1:4" x14ac:dyDescent="0.25">
      <c r="A1600" t="str">
        <f>T("   843120")</f>
        <v xml:space="preserve">   843120</v>
      </c>
      <c r="B1600" t="str">
        <f>T("   DE MACHINES OU APPAREILS DU N° 84.27")</f>
        <v xml:space="preserve">   DE MACHINES OU APPAREILS DU N° 84.27</v>
      </c>
      <c r="C1600" s="4">
        <v>9.9</v>
      </c>
      <c r="D1600" s="4">
        <v>49790</v>
      </c>
    </row>
    <row r="1601" spans="1:4" x14ac:dyDescent="0.25">
      <c r="A1601" t="str">
        <f>T("   843149")</f>
        <v xml:space="preserve">   843149</v>
      </c>
      <c r="B1601" t="str">
        <f>T("   AUTRES")</f>
        <v xml:space="preserve">   AUTRES</v>
      </c>
      <c r="C1601" s="4">
        <v>647.29999999999995</v>
      </c>
      <c r="D1601" s="4">
        <v>7496880</v>
      </c>
    </row>
    <row r="1602" spans="1:4" x14ac:dyDescent="0.25">
      <c r="A1602" t="str">
        <f>T("   843311")</f>
        <v xml:space="preserve">   843311</v>
      </c>
      <c r="B1602" t="str">
        <f>T("   A MOTEUR, DONT LE DISPOSITIF DE COUPE TOURNE DANS UN PLAN HORIZONTAL")</f>
        <v xml:space="preserve">   A MOTEUR, DONT LE DISPOSITIF DE COUPE TOURNE DANS UN PLAN HORIZONTAL</v>
      </c>
      <c r="C1602" s="4">
        <v>1480</v>
      </c>
      <c r="D1602" s="4">
        <v>2584599</v>
      </c>
    </row>
    <row r="1603" spans="1:4" x14ac:dyDescent="0.25">
      <c r="A1603" t="str">
        <f>T("   844250")</f>
        <v xml:space="preserve">   844250</v>
      </c>
      <c r="B1603" t="str">
        <f>T("   CLICHES, PLANCHES, CYLINDRES ET AUTRES ORGANES IMPRIMANTS; PIERRES LITHOGRAPHIQUES, P")</f>
        <v xml:space="preserve">   CLICHES, PLANCHES, CYLINDRES ET AUTRES ORGANES IMPRIMANTS; PIERRES LITHOGRAPHIQUES, P</v>
      </c>
      <c r="C1603" s="4">
        <v>140</v>
      </c>
      <c r="D1603" s="4">
        <v>186750</v>
      </c>
    </row>
    <row r="1604" spans="1:4" x14ac:dyDescent="0.25">
      <c r="A1604" t="str">
        <f>T("   847090")</f>
        <v xml:space="preserve">   847090</v>
      </c>
      <c r="B1604" t="str">
        <f>T("   AUTRES")</f>
        <v xml:space="preserve">   AUTRES</v>
      </c>
      <c r="C1604" s="4">
        <v>560</v>
      </c>
      <c r="D1604" s="4">
        <v>467703</v>
      </c>
    </row>
    <row r="1605" spans="1:4" x14ac:dyDescent="0.25">
      <c r="A1605" t="str">
        <f>T("   847160")</f>
        <v xml:space="preserve">   847160</v>
      </c>
      <c r="B1605" t="str">
        <f>T("   UNITES D'ENTREE OU DE SORTIE, POUVANT COMPORTER, SOUS LA MEME ENVELOPPE, DES UNITES D")</f>
        <v xml:space="preserve">   UNITES D'ENTREE OU DE SORTIE, POUVANT COMPORTER, SOUS LA MEME ENVELOPPE, DES UNITES D</v>
      </c>
      <c r="C1605" s="4">
        <v>1.8</v>
      </c>
      <c r="D1605" s="4">
        <v>55310</v>
      </c>
    </row>
    <row r="1606" spans="1:4" x14ac:dyDescent="0.25">
      <c r="A1606" t="str">
        <f>T("   847190")</f>
        <v xml:space="preserve">   847190</v>
      </c>
      <c r="B1606" t="str">
        <f>T("   AUTRES")</f>
        <v xml:space="preserve">   AUTRES</v>
      </c>
      <c r="C1606" s="4">
        <v>558</v>
      </c>
      <c r="D1606" s="4">
        <v>4511837</v>
      </c>
    </row>
    <row r="1607" spans="1:4" x14ac:dyDescent="0.25">
      <c r="A1607" t="str">
        <f>T("   847330")</f>
        <v xml:space="preserve">   847330</v>
      </c>
      <c r="B1607" t="str">
        <f>T("   PARTIES ET ACCESSOIRES DES MACHINES DU N° 84.71")</f>
        <v xml:space="preserve">   PARTIES ET ACCESSOIRES DES MACHINES DU N° 84.71</v>
      </c>
      <c r="C1607" s="4">
        <v>5.2</v>
      </c>
      <c r="D1607" s="4">
        <v>314505</v>
      </c>
    </row>
    <row r="1608" spans="1:4" x14ac:dyDescent="0.25">
      <c r="A1608" t="str">
        <f>T("   847910")</f>
        <v xml:space="preserve">   847910</v>
      </c>
      <c r="B1608" t="str">
        <f>T("   MACHINES ET APPAREILS POUR LES TRAVAUX PUBLICS, LE BATIMENT OU LES TRAVAUX ANALOGUES")</f>
        <v xml:space="preserve">   MACHINES ET APPAREILS POUR LES TRAVAUX PUBLICS, LE BATIMENT OU LES TRAVAUX ANALOGUES</v>
      </c>
      <c r="C1608" s="4">
        <v>516</v>
      </c>
      <c r="D1608" s="4">
        <v>900628</v>
      </c>
    </row>
    <row r="1609" spans="1:4" x14ac:dyDescent="0.25">
      <c r="A1609" t="str">
        <f>T("   847990")</f>
        <v xml:space="preserve">   847990</v>
      </c>
      <c r="B1609" t="str">
        <f>T("   PARTIES")</f>
        <v xml:space="preserve">   PARTIES</v>
      </c>
      <c r="C1609" s="4">
        <v>120</v>
      </c>
      <c r="D1609" s="4">
        <v>298738</v>
      </c>
    </row>
    <row r="1610" spans="1:4" x14ac:dyDescent="0.25">
      <c r="A1610" t="str">
        <f>T("   848120")</f>
        <v xml:space="preserve">   848120</v>
      </c>
      <c r="B1610" t="str">
        <f>T("   VALVES POUR TRANSMISSIONS OLEOHYDRAULIQUES OU PNEUMATIQUES")</f>
        <v xml:space="preserve">   VALVES POUR TRANSMISSIONS OLEOHYDRAULIQUES OU PNEUMATIQUES</v>
      </c>
      <c r="C1610" s="4">
        <v>22</v>
      </c>
      <c r="D1610" s="4">
        <v>159164</v>
      </c>
    </row>
    <row r="1611" spans="1:4" x14ac:dyDescent="0.25">
      <c r="A1611" t="str">
        <f>T("   848180")</f>
        <v xml:space="preserve">   848180</v>
      </c>
      <c r="B1611" t="str">
        <f>T("   Autres articles de robinetterie et organes similaires")</f>
        <v xml:space="preserve">   Autres articles de robinetterie et organes similaires</v>
      </c>
      <c r="C1611" s="4">
        <v>7</v>
      </c>
      <c r="D1611" s="4">
        <v>1867886</v>
      </c>
    </row>
    <row r="1612" spans="1:4" x14ac:dyDescent="0.25">
      <c r="A1612" t="str">
        <f>T("   848210")</f>
        <v xml:space="preserve">   848210</v>
      </c>
      <c r="B1612" t="str">
        <f>T("   ROULEMENTS A BILLES")</f>
        <v xml:space="preserve">   ROULEMENTS A BILLES</v>
      </c>
      <c r="C1612" s="4">
        <v>12.6</v>
      </c>
      <c r="D1612" s="4">
        <v>323171</v>
      </c>
    </row>
    <row r="1613" spans="1:4" x14ac:dyDescent="0.25">
      <c r="A1613" t="str">
        <f>T("   848280")</f>
        <v xml:space="preserve">   848280</v>
      </c>
      <c r="B1613" t="str">
        <f>T("   AUTRES, Y COMPRIS LES ROULEMENTS COMBINES")</f>
        <v xml:space="preserve">   AUTRES, Y COMPRIS LES ROULEMENTS COMBINES</v>
      </c>
      <c r="C1613" s="4">
        <v>842</v>
      </c>
      <c r="D1613" s="4">
        <v>1632140</v>
      </c>
    </row>
    <row r="1614" spans="1:4" x14ac:dyDescent="0.25">
      <c r="A1614" t="str">
        <f>T("   848340")</f>
        <v xml:space="preserve">   848340</v>
      </c>
      <c r="B1614" t="str">
        <f>T("   ENGRENAGES ET ROUES DE FRICTION, AUTRES QUE LES ROUES DENTEES ET AUTRES ORGANES ELEME")</f>
        <v xml:space="preserve">   ENGRENAGES ET ROUES DE FRICTION, AUTRES QUE LES ROUES DENTEES ET AUTRES ORGANES ELEME</v>
      </c>
      <c r="C1614" s="4">
        <v>52.4</v>
      </c>
      <c r="D1614" s="4">
        <v>79663</v>
      </c>
    </row>
    <row r="1615" spans="1:4" x14ac:dyDescent="0.25">
      <c r="A1615" t="str">
        <f>T("   850239")</f>
        <v xml:space="preserve">   850239</v>
      </c>
      <c r="B1615" t="str">
        <f>T("   AUTRES")</f>
        <v xml:space="preserve">   AUTRES</v>
      </c>
      <c r="C1615" s="4">
        <v>7307</v>
      </c>
      <c r="D1615" s="4">
        <v>15864101</v>
      </c>
    </row>
    <row r="1616" spans="1:4" x14ac:dyDescent="0.25">
      <c r="A1616" t="str">
        <f>T("   850432")</f>
        <v xml:space="preserve">   850432</v>
      </c>
      <c r="B1616" t="str">
        <f>T("   D'UNE PUISSANCE EXCEDANT 1 KVA MAIS N'EXCEDANT PAS 16 KVA")</f>
        <v xml:space="preserve">   D'UNE PUISSANCE EXCEDANT 1 KVA MAIS N'EXCEDANT PAS 16 KVA</v>
      </c>
      <c r="C1616" s="4">
        <v>878</v>
      </c>
      <c r="D1616" s="4">
        <v>305022</v>
      </c>
    </row>
    <row r="1617" spans="1:4" x14ac:dyDescent="0.25">
      <c r="A1617" t="str">
        <f>T("   850440")</f>
        <v xml:space="preserve">   850440</v>
      </c>
      <c r="B1617" t="str">
        <f>T("   CONVERTISSEURS STATIQUES")</f>
        <v xml:space="preserve">   CONVERTISSEURS STATIQUES</v>
      </c>
      <c r="C1617" s="4">
        <v>2906</v>
      </c>
      <c r="D1617" s="4">
        <v>15354568</v>
      </c>
    </row>
    <row r="1618" spans="1:4" x14ac:dyDescent="0.25">
      <c r="A1618" t="str">
        <f>T("   850780")</f>
        <v xml:space="preserve">   850780</v>
      </c>
      <c r="B1618" t="str">
        <f>T("   AUTRES ACCUMULATEURS")</f>
        <v xml:space="preserve">   AUTRES ACCUMULATEURS</v>
      </c>
      <c r="C1618" s="4">
        <v>2</v>
      </c>
      <c r="D1618" s="4">
        <v>106600</v>
      </c>
    </row>
    <row r="1619" spans="1:4" x14ac:dyDescent="0.25">
      <c r="A1619" t="str">
        <f>T("   851110")</f>
        <v xml:space="preserve">   851110</v>
      </c>
      <c r="B1619" t="str">
        <f>T("   BOUGIES D'ALLUMAGE")</f>
        <v xml:space="preserve">   BOUGIES D'ALLUMAGE</v>
      </c>
      <c r="C1619" s="4">
        <v>148</v>
      </c>
      <c r="D1619" s="4">
        <v>1374274</v>
      </c>
    </row>
    <row r="1620" spans="1:4" x14ac:dyDescent="0.25">
      <c r="A1620" t="str">
        <f>T("   851220")</f>
        <v xml:space="preserve">   851220</v>
      </c>
      <c r="B1620" t="str">
        <f>T("   AUTRES APPAREILS D'ECLAIRAGE OU DE SIGNALISATION VISUELLE")</f>
        <v xml:space="preserve">   AUTRES APPAREILS D'ECLAIRAGE OU DE SIGNALISATION VISUELLE</v>
      </c>
      <c r="C1620" s="4">
        <v>48</v>
      </c>
      <c r="D1620" s="4">
        <v>5377652</v>
      </c>
    </row>
    <row r="1621" spans="1:4" x14ac:dyDescent="0.25">
      <c r="A1621" t="str">
        <f>T("   851310")</f>
        <v xml:space="preserve">   851310</v>
      </c>
      <c r="B1621" t="str">
        <f>T("   LAMPES")</f>
        <v xml:space="preserve">   LAMPES</v>
      </c>
      <c r="C1621" s="4">
        <v>120</v>
      </c>
      <c r="D1621" s="4">
        <v>274910</v>
      </c>
    </row>
    <row r="1622" spans="1:4" x14ac:dyDescent="0.25">
      <c r="A1622" t="str">
        <f>T("   851762")</f>
        <v xml:space="preserve">   851762</v>
      </c>
      <c r="B1622" t="str">
        <f>T("   APPAREILS POUR LA RECEPTION, LA CONVERSION ET L'EMISSION, LA TRANSMISSION OU LA REGE")</f>
        <v xml:space="preserve">   APPAREILS POUR LA RECEPTION, LA CONVERSION ET L'EMISSION, LA TRANSMISSION OU LA REGE</v>
      </c>
      <c r="C1622" s="4">
        <v>6</v>
      </c>
      <c r="D1622" s="4">
        <v>380099</v>
      </c>
    </row>
    <row r="1623" spans="1:4" x14ac:dyDescent="0.25">
      <c r="A1623" t="str">
        <f>T("   851769")</f>
        <v xml:space="preserve">   851769</v>
      </c>
      <c r="B1623" t="str">
        <f>T("   AUTRES")</f>
        <v xml:space="preserve">   AUTRES</v>
      </c>
      <c r="C1623" s="4">
        <v>662</v>
      </c>
      <c r="D1623" s="4">
        <v>6732334</v>
      </c>
    </row>
    <row r="1624" spans="1:4" x14ac:dyDescent="0.25">
      <c r="A1624" t="str">
        <f>T("   852321")</f>
        <v xml:space="preserve">   852321</v>
      </c>
      <c r="B1624" t="str">
        <f>T("   CARTES MUNIES D'UNE PISTE MAGNETIQUE")</f>
        <v xml:space="preserve">   CARTES MUNIES D'UNE PISTE MAGNETIQUE</v>
      </c>
      <c r="C1624" s="4">
        <v>34</v>
      </c>
      <c r="D1624" s="4">
        <v>1280359</v>
      </c>
    </row>
    <row r="1625" spans="1:4" x14ac:dyDescent="0.25">
      <c r="A1625" t="str">
        <f>T("   852359")</f>
        <v xml:space="preserve">   852359</v>
      </c>
      <c r="B1625" t="str">
        <f>T("   AUTRES")</f>
        <v xml:space="preserve">   AUTRES</v>
      </c>
      <c r="C1625" s="4">
        <v>0.75</v>
      </c>
      <c r="D1625" s="4">
        <v>484761</v>
      </c>
    </row>
    <row r="1626" spans="1:4" x14ac:dyDescent="0.25">
      <c r="A1626" t="str">
        <f>T("   852380")</f>
        <v xml:space="preserve">   852380</v>
      </c>
      <c r="B1626" t="str">
        <f>T("   AUTRES")</f>
        <v xml:space="preserve">   AUTRES</v>
      </c>
      <c r="C1626" s="4">
        <v>1.4</v>
      </c>
      <c r="D1626" s="4">
        <v>167024</v>
      </c>
    </row>
    <row r="1627" spans="1:4" x14ac:dyDescent="0.25">
      <c r="A1627" t="str">
        <f>T("   852550")</f>
        <v xml:space="preserve">   852550</v>
      </c>
      <c r="B1627" t="str">
        <f>T("   APPAREILS D'EMISSION")</f>
        <v xml:space="preserve">   APPAREILS D'EMISSION</v>
      </c>
      <c r="C1627" s="4">
        <v>813</v>
      </c>
      <c r="D1627" s="4">
        <v>48857198</v>
      </c>
    </row>
    <row r="1628" spans="1:4" x14ac:dyDescent="0.25">
      <c r="A1628" t="str">
        <f>T("   852560")</f>
        <v xml:space="preserve">   852560</v>
      </c>
      <c r="B1628" t="str">
        <f>T("   APPAREILS D'EMISSION INCORPORANT UN APPAREIL DE RECEPTION")</f>
        <v xml:space="preserve">   APPAREILS D'EMISSION INCORPORANT UN APPAREIL DE RECEPTION</v>
      </c>
      <c r="C1628" s="4">
        <v>0.35</v>
      </c>
      <c r="D1628" s="4">
        <v>217352</v>
      </c>
    </row>
    <row r="1629" spans="1:4" x14ac:dyDescent="0.25">
      <c r="A1629" t="str">
        <f>T("   852910")</f>
        <v xml:space="preserve">   852910</v>
      </c>
      <c r="B1629" t="str">
        <f>T("   ANTENNES ET REFLECTEURS D’ANTENNES DE TOUS TYPES; PARTIES RECONNAISSABLES COMME ETANT")</f>
        <v xml:space="preserve">   ANTENNES ET REFLECTEURS D’ANTENNES DE TOUS TYPES; PARTIES RECONNAISSABLES COMME ETANT</v>
      </c>
      <c r="C1629" s="4">
        <v>31</v>
      </c>
      <c r="D1629" s="4">
        <v>189186</v>
      </c>
    </row>
    <row r="1630" spans="1:4" x14ac:dyDescent="0.25">
      <c r="A1630" t="str">
        <f>T("   853610")</f>
        <v xml:space="preserve">   853610</v>
      </c>
      <c r="B1630" t="str">
        <f>T("   FUSIBLES ET COUPECIRCUIT A FUSIBLES")</f>
        <v xml:space="preserve">   FUSIBLES ET COUPECIRCUIT A FUSIBLES</v>
      </c>
      <c r="C1630" s="4">
        <v>2000</v>
      </c>
      <c r="D1630" s="4">
        <v>436920</v>
      </c>
    </row>
    <row r="1631" spans="1:4" x14ac:dyDescent="0.25">
      <c r="A1631" t="str">
        <f>T("   853890")</f>
        <v xml:space="preserve">   853890</v>
      </c>
      <c r="B1631" t="str">
        <f>T("   AUTRES")</f>
        <v xml:space="preserve">   AUTRES</v>
      </c>
      <c r="C1631" s="4">
        <v>188</v>
      </c>
      <c r="D1631" s="4">
        <v>664420</v>
      </c>
    </row>
    <row r="1632" spans="1:4" x14ac:dyDescent="0.25">
      <c r="A1632" t="str">
        <f>T("   854420")</f>
        <v xml:space="preserve">   854420</v>
      </c>
      <c r="B1632" t="str">
        <f>T("   Cables coaxiaux et autres conducteurs electriques coaxiaux")</f>
        <v xml:space="preserve">   Cables coaxiaux et autres conducteurs electriques coaxiaux</v>
      </c>
      <c r="C1632" s="4">
        <v>159</v>
      </c>
      <c r="D1632" s="4">
        <v>393089</v>
      </c>
    </row>
    <row r="1633" spans="1:4" x14ac:dyDescent="0.25">
      <c r="A1633" t="str">
        <f>T("   870110")</f>
        <v xml:space="preserve">   870110</v>
      </c>
      <c r="B1633" t="str">
        <f>T("   Motoculteurs")</f>
        <v xml:space="preserve">   Motoculteurs</v>
      </c>
      <c r="C1633" s="4">
        <v>6720</v>
      </c>
      <c r="D1633" s="4">
        <v>8828195</v>
      </c>
    </row>
    <row r="1634" spans="1:4" x14ac:dyDescent="0.25">
      <c r="A1634" t="str">
        <f>T("   870120")</f>
        <v xml:space="preserve">   870120</v>
      </c>
      <c r="B1634" t="str">
        <f>T("   TRACTEURS ROUTIERS POUR SEMIREMORQUES")</f>
        <v xml:space="preserve">   TRACTEURS ROUTIERS POUR SEMIREMORQUES</v>
      </c>
      <c r="C1634" s="4">
        <v>85050</v>
      </c>
      <c r="D1634" s="4">
        <v>27401289</v>
      </c>
    </row>
    <row r="1635" spans="1:4" x14ac:dyDescent="0.25">
      <c r="A1635" t="str">
        <f>T("   870190")</f>
        <v xml:space="preserve">   870190</v>
      </c>
      <c r="B1635" t="str">
        <f>T("   AUTRES")</f>
        <v xml:space="preserve">   AUTRES</v>
      </c>
      <c r="C1635" s="4">
        <v>1820</v>
      </c>
      <c r="D1635" s="4">
        <v>2000000</v>
      </c>
    </row>
    <row r="1636" spans="1:4" x14ac:dyDescent="0.25">
      <c r="A1636" t="str">
        <f>T("   870210")</f>
        <v xml:space="preserve">   870210</v>
      </c>
      <c r="B1636" t="str">
        <f>T("   A MOTEUR A PISTON A ALLUMAGE PAR COMPRESSION (DIESEL OU SEMIDIESEL)")</f>
        <v xml:space="preserve">   A MOTEUR A PISTON A ALLUMAGE PAR COMPRESSION (DIESEL OU SEMIDIESEL)</v>
      </c>
      <c r="C1636" s="4">
        <v>7735</v>
      </c>
      <c r="D1636" s="4">
        <v>4821553</v>
      </c>
    </row>
    <row r="1637" spans="1:4" x14ac:dyDescent="0.25">
      <c r="A1637" t="str">
        <f>T("   870290")</f>
        <v xml:space="preserve">   870290</v>
      </c>
      <c r="B1637" t="str">
        <f>T("   AUTRES")</f>
        <v xml:space="preserve">   AUTRES</v>
      </c>
      <c r="C1637" s="4">
        <v>7250</v>
      </c>
      <c r="D1637" s="4">
        <v>6021553</v>
      </c>
    </row>
    <row r="1638" spans="1:4" x14ac:dyDescent="0.25">
      <c r="A1638" t="str">
        <f>T("   870322")</f>
        <v xml:space="preserve">   870322</v>
      </c>
      <c r="B1638" t="str">
        <f>T("   D’UNE CYLINDREE EXCEDANT 1.000 CM³ MAIS N’EXCEDANT PAS 1.500 CM³")</f>
        <v xml:space="preserve">   D’UNE CYLINDREE EXCEDANT 1.000 CM³ MAIS N’EXCEDANT PAS 1.500 CM³</v>
      </c>
      <c r="C1638" s="4">
        <v>81778</v>
      </c>
      <c r="D1638" s="4">
        <v>108570293</v>
      </c>
    </row>
    <row r="1639" spans="1:4" x14ac:dyDescent="0.25">
      <c r="A1639" t="str">
        <f>T("   870323")</f>
        <v xml:space="preserve">   870323</v>
      </c>
      <c r="B1639" t="str">
        <f>T("   D’UNE CYLINDREE EXCEDANT 1.500 CM³ MAIS N’EXCEDANT PAS 3.000 CM³")</f>
        <v xml:space="preserve">   D’UNE CYLINDREE EXCEDANT 1.500 CM³ MAIS N’EXCEDANT PAS 3.000 CM³</v>
      </c>
      <c r="C1639" s="4">
        <v>394555</v>
      </c>
      <c r="D1639" s="4">
        <v>462540609</v>
      </c>
    </row>
    <row r="1640" spans="1:4" x14ac:dyDescent="0.25">
      <c r="A1640" t="str">
        <f>T("   870324")</f>
        <v xml:space="preserve">   870324</v>
      </c>
      <c r="B1640" t="str">
        <f>T("   D’UNE CYLINDREE EXCEDANT 3.000 CM³")</f>
        <v xml:space="preserve">   D’UNE CYLINDREE EXCEDANT 3.000 CM³</v>
      </c>
      <c r="C1640" s="4">
        <v>18197</v>
      </c>
      <c r="D1640" s="4">
        <v>21531730</v>
      </c>
    </row>
    <row r="1641" spans="1:4" x14ac:dyDescent="0.25">
      <c r="A1641" t="str">
        <f>T("   870331")</f>
        <v xml:space="preserve">   870331</v>
      </c>
      <c r="B1641" t="str">
        <f>T("   D'UNE CYLINDREE N'EXCEDANT PAS 1.500 CM³")</f>
        <v xml:space="preserve">   D'UNE CYLINDREE N'EXCEDANT PAS 1.500 CM³</v>
      </c>
      <c r="C1641" s="4">
        <v>2541</v>
      </c>
      <c r="D1641" s="4">
        <v>8020000</v>
      </c>
    </row>
    <row r="1642" spans="1:4" x14ac:dyDescent="0.25">
      <c r="A1642" t="str">
        <f>T("   870332")</f>
        <v xml:space="preserve">   870332</v>
      </c>
      <c r="B1642" t="str">
        <f>T("   D'UNE CYLINDREE EXCEDANT 1.500 CM³ MAIS N'EXCEDANT PAS 2.500 CM³")</f>
        <v xml:space="preserve">   D'UNE CYLINDREE EXCEDANT 1.500 CM³ MAIS N'EXCEDANT PAS 2.500 CM³</v>
      </c>
      <c r="C1642" s="4">
        <v>7365</v>
      </c>
      <c r="D1642" s="4">
        <v>6808085</v>
      </c>
    </row>
    <row r="1643" spans="1:4" x14ac:dyDescent="0.25">
      <c r="A1643" t="str">
        <f>T("   870333")</f>
        <v xml:space="preserve">   870333</v>
      </c>
      <c r="B1643" t="str">
        <f>T("   D'UNE CYLINDREE EXCEDANT 2.500 CM³")</f>
        <v xml:space="preserve">   D'UNE CYLINDREE EXCEDANT 2.500 CM³</v>
      </c>
      <c r="C1643" s="4">
        <v>13595</v>
      </c>
      <c r="D1643" s="4">
        <v>11911240</v>
      </c>
    </row>
    <row r="1644" spans="1:4" x14ac:dyDescent="0.25">
      <c r="A1644" t="str">
        <f>T("   870421")</f>
        <v xml:space="preserve">   870421</v>
      </c>
      <c r="B1644" t="str">
        <f>T("   D'UN POIDS EN CHARGE MAXIMAL N'EXCEDANT PAS 5 TONNES")</f>
        <v xml:space="preserve">   D'UN POIDS EN CHARGE MAXIMAL N'EXCEDANT PAS 5 TONNES</v>
      </c>
      <c r="C1644" s="4">
        <v>34530</v>
      </c>
      <c r="D1644" s="4">
        <v>30019289</v>
      </c>
    </row>
    <row r="1645" spans="1:4" x14ac:dyDescent="0.25">
      <c r="A1645" t="str">
        <f>T("   870422")</f>
        <v xml:space="preserve">   870422</v>
      </c>
      <c r="B1645" t="str">
        <f>T("   D'UN POIDS EN CHARGE MAXIMAL EXCEDANT 5 TONNES MAIS N'EXCEDANT PAS 20 TONNES")</f>
        <v xml:space="preserve">   D'UN POIDS EN CHARGE MAXIMAL EXCEDANT 5 TONNES MAIS N'EXCEDANT PAS 20 TONNES</v>
      </c>
      <c r="C1645" s="4">
        <v>12270</v>
      </c>
      <c r="D1645" s="4">
        <v>4000000</v>
      </c>
    </row>
    <row r="1646" spans="1:4" x14ac:dyDescent="0.25">
      <c r="A1646" t="str">
        <f>T("   870423")</f>
        <v xml:space="preserve">   870423</v>
      </c>
      <c r="B1646" t="str">
        <f>T("   D'UN POIDS EN CHARGE MAXIMAL EXCEDANT 20 TONNES")</f>
        <v xml:space="preserve">   D'UN POIDS EN CHARGE MAXIMAL EXCEDANT 20 TONNES</v>
      </c>
      <c r="C1646" s="4">
        <v>12680</v>
      </c>
      <c r="D1646" s="4">
        <v>2906572</v>
      </c>
    </row>
    <row r="1647" spans="1:4" x14ac:dyDescent="0.25">
      <c r="A1647" t="str">
        <f>T("   870431")</f>
        <v xml:space="preserve">   870431</v>
      </c>
      <c r="B1647" t="str">
        <f>T("   D'UN POIDS EN CHARGE MAXIMAL N'EXCEDANT PAS 5 TONNES")</f>
        <v xml:space="preserve">   D'UN POIDS EN CHARGE MAXIMAL N'EXCEDANT PAS 5 TONNES</v>
      </c>
      <c r="C1647" s="4">
        <v>63334</v>
      </c>
      <c r="D1647" s="4">
        <v>53351605</v>
      </c>
    </row>
    <row r="1648" spans="1:4" x14ac:dyDescent="0.25">
      <c r="A1648" t="str">
        <f>T("   870899")</f>
        <v xml:space="preserve">   870899</v>
      </c>
      <c r="B1648" t="str">
        <f>T("   AUTRES")</f>
        <v xml:space="preserve">   AUTRES</v>
      </c>
      <c r="C1648" s="4">
        <v>126.3</v>
      </c>
      <c r="D1648" s="4">
        <v>1300349</v>
      </c>
    </row>
    <row r="1649" spans="1:4" x14ac:dyDescent="0.25">
      <c r="A1649" t="str">
        <f>T("   871110")</f>
        <v xml:space="preserve">   871110</v>
      </c>
      <c r="B1649" t="str">
        <f>T("   A MOTEUR A PISTON ALTERNATIF, D'UNE CYLINDREE N'EXCEDANT PAS 50 CM³")</f>
        <v xml:space="preserve">   A MOTEUR A PISTON ALTERNATIF, D'UNE CYLINDREE N'EXCEDANT PAS 50 CM³</v>
      </c>
      <c r="C1649" s="4">
        <v>1360</v>
      </c>
      <c r="D1649" s="4">
        <v>630000</v>
      </c>
    </row>
    <row r="1650" spans="1:4" x14ac:dyDescent="0.25">
      <c r="A1650" t="str">
        <f>T("   871120")</f>
        <v xml:space="preserve">   871120</v>
      </c>
      <c r="B1650" t="str">
        <f>T("   A MOTEUR A PISTON ALTERNATIF, D'UNE CYLINDREE EXCEDANT 50 CM³ MAIS N'EXCEDANT PAS 250")</f>
        <v xml:space="preserve">   A MOTEUR A PISTON ALTERNATIF, D'UNE CYLINDREE EXCEDANT 50 CM³ MAIS N'EXCEDANT PAS 250</v>
      </c>
      <c r="C1650" s="4">
        <v>15659</v>
      </c>
      <c r="D1650" s="4">
        <v>5035000</v>
      </c>
    </row>
    <row r="1651" spans="1:4" x14ac:dyDescent="0.25">
      <c r="A1651" t="str">
        <f>T("   871130")</f>
        <v xml:space="preserve">   871130</v>
      </c>
      <c r="B1651" t="str">
        <f>T("   A MOTEUR A PISTON ALTERNATIF, D'UNE CYLINDREE EXCEDANT 250 CM³ MAIS N'EXCEDANT PAS 50")</f>
        <v xml:space="preserve">   A MOTEUR A PISTON ALTERNATIF, D'UNE CYLINDREE EXCEDANT 250 CM³ MAIS N'EXCEDANT PAS 50</v>
      </c>
      <c r="C1651" s="4">
        <v>3000</v>
      </c>
      <c r="D1651" s="4">
        <v>1100000</v>
      </c>
    </row>
    <row r="1652" spans="1:4" x14ac:dyDescent="0.25">
      <c r="A1652" t="str">
        <f>T("   871140")</f>
        <v xml:space="preserve">   871140</v>
      </c>
      <c r="B1652" t="str">
        <f>T("   A MOTEUR A PISTON ALTERNATIF, D'UNE CYLINDREE EXCEDANT 500 CM³ MAIS N'EXCEDANT PAS 80")</f>
        <v xml:space="preserve">   A MOTEUR A PISTON ALTERNATIF, D'UNE CYLINDREE EXCEDANT 500 CM³ MAIS N'EXCEDANT PAS 80</v>
      </c>
      <c r="C1652" s="4">
        <v>1500</v>
      </c>
      <c r="D1652" s="4">
        <v>1040000</v>
      </c>
    </row>
    <row r="1653" spans="1:4" x14ac:dyDescent="0.25">
      <c r="A1653" t="str">
        <f>T("   871190")</f>
        <v xml:space="preserve">   871190</v>
      </c>
      <c r="B1653" t="str">
        <f>T("   AUTRES")</f>
        <v xml:space="preserve">   AUTRES</v>
      </c>
      <c r="C1653" s="4">
        <v>175</v>
      </c>
      <c r="D1653" s="4">
        <v>92595</v>
      </c>
    </row>
    <row r="1654" spans="1:4" x14ac:dyDescent="0.25">
      <c r="A1654" t="str">
        <f>T("   871640")</f>
        <v xml:space="preserve">   871640</v>
      </c>
      <c r="B1654" t="str">
        <f>T("   AUTRES REMORQUES ET SEMIREMORQUES")</f>
        <v xml:space="preserve">   AUTRES REMORQUES ET SEMIREMORQUES</v>
      </c>
      <c r="C1654" s="4">
        <v>2500</v>
      </c>
      <c r="D1654" s="4">
        <v>2000000</v>
      </c>
    </row>
    <row r="1655" spans="1:4" x14ac:dyDescent="0.25">
      <c r="A1655" t="str">
        <f>T("   871680")</f>
        <v xml:space="preserve">   871680</v>
      </c>
      <c r="B1655" t="str">
        <f>T("   AUTRES VEHICULES")</f>
        <v xml:space="preserve">   AUTRES VEHICULES</v>
      </c>
      <c r="C1655" s="4">
        <v>589</v>
      </c>
      <c r="D1655" s="4">
        <v>466842</v>
      </c>
    </row>
    <row r="1656" spans="1:4" x14ac:dyDescent="0.25">
      <c r="A1656" t="str">
        <f>T("   890200")</f>
        <v xml:space="preserve">   890200</v>
      </c>
      <c r="B1656" t="str">
        <f>T("   BATEAUX DE PECHE; NAVIRESUSINES ET AUTRES BATEAUX POUR LE TRAITEMENT OU LA MISE EN CON")</f>
        <v xml:space="preserve">   BATEAUX DE PECHE; NAVIRESUSINES ET AUTRES BATEAUX POUR LE TRAITEMENT OU LA MISE EN CON</v>
      </c>
      <c r="C1656" s="4">
        <v>202</v>
      </c>
      <c r="D1656" s="4">
        <v>208121</v>
      </c>
    </row>
    <row r="1657" spans="1:4" x14ac:dyDescent="0.25">
      <c r="A1657" t="str">
        <f>T("   901819")</f>
        <v xml:space="preserve">   901819</v>
      </c>
      <c r="B1657" t="str">
        <f>T("   AUTRES")</f>
        <v xml:space="preserve">   AUTRES</v>
      </c>
      <c r="C1657" s="4">
        <v>98</v>
      </c>
      <c r="D1657" s="4">
        <v>153950</v>
      </c>
    </row>
    <row r="1658" spans="1:4" x14ac:dyDescent="0.25">
      <c r="A1658" t="str">
        <f>T("   901890")</f>
        <v xml:space="preserve">   901890</v>
      </c>
      <c r="B1658" t="str">
        <f>T("   AUTRES INSTRUMENTS ET APPAREILS")</f>
        <v xml:space="preserve">   AUTRES INSTRUMENTS ET APPAREILS</v>
      </c>
      <c r="C1658" s="4">
        <v>787</v>
      </c>
      <c r="D1658" s="4">
        <v>274847</v>
      </c>
    </row>
    <row r="1659" spans="1:4" x14ac:dyDescent="0.25">
      <c r="A1659" t="str">
        <f>T("   902214")</f>
        <v xml:space="preserve">   902214</v>
      </c>
      <c r="B1659" t="str">
        <f>T("   AUTRES, POUR USAGES MEDICAUX, CHIRURGICAUX OU VETERINAIRES")</f>
        <v xml:space="preserve">   AUTRES, POUR USAGES MEDICAUX, CHIRURGICAUX OU VETERINAIRES</v>
      </c>
      <c r="C1659" s="4">
        <v>9800</v>
      </c>
      <c r="D1659" s="4">
        <v>3607780</v>
      </c>
    </row>
    <row r="1660" spans="1:4" x14ac:dyDescent="0.25">
      <c r="A1660" t="str">
        <f>T("   902580")</f>
        <v xml:space="preserve">   902580</v>
      </c>
      <c r="B1660" t="str">
        <f>T("   AUTRES INSTRUMENTS")</f>
        <v xml:space="preserve">   AUTRES INSTRUMENTS</v>
      </c>
      <c r="C1660" s="4">
        <v>7</v>
      </c>
      <c r="D1660" s="4">
        <v>72555</v>
      </c>
    </row>
    <row r="1661" spans="1:4" x14ac:dyDescent="0.25">
      <c r="A1661" t="str">
        <f>T("   902750")</f>
        <v xml:space="preserve">   902750</v>
      </c>
      <c r="B1661" t="str">
        <f>T("   AUTRES INSTRUMENTS ET APPAREILS UTILISANT LES RAYONNEMENTS OPTIQUES (UV, VISIBLES, IR")</f>
        <v xml:space="preserve">   AUTRES INSTRUMENTS ET APPAREILS UTILISANT LES RAYONNEMENTS OPTIQUES (UV, VISIBLES, IR</v>
      </c>
      <c r="C1661" s="4">
        <v>8</v>
      </c>
      <c r="D1661" s="4">
        <v>1593327</v>
      </c>
    </row>
    <row r="1662" spans="1:4" x14ac:dyDescent="0.25">
      <c r="A1662" t="str">
        <f>T("   903289")</f>
        <v xml:space="preserve">   903289</v>
      </c>
      <c r="B1662" t="str">
        <f>T("   AUTRES")</f>
        <v xml:space="preserve">   AUTRES</v>
      </c>
      <c r="C1662" s="4">
        <v>4425</v>
      </c>
      <c r="D1662" s="4">
        <v>7729000</v>
      </c>
    </row>
    <row r="1663" spans="1:4" x14ac:dyDescent="0.25">
      <c r="A1663" t="str">
        <f>T("   940210")</f>
        <v xml:space="preserve">   940210</v>
      </c>
      <c r="B1663" t="str">
        <f>T("   FAUTEUILS DE DENTISTES, FAUTEUILS POUR SALONS DE COIFFURE ET FAUTEUILS SIMILAIRES, ET")</f>
        <v xml:space="preserve">   FAUTEUILS DE DENTISTES, FAUTEUILS POUR SALONS DE COIFFURE ET FAUTEUILS SIMILAIRES, ET</v>
      </c>
      <c r="C1663" s="4">
        <v>6226</v>
      </c>
      <c r="D1663" s="4">
        <v>2154829</v>
      </c>
    </row>
    <row r="1664" spans="1:4" x14ac:dyDescent="0.25">
      <c r="A1664" t="str">
        <f>T("   940290")</f>
        <v xml:space="preserve">   940290</v>
      </c>
      <c r="B1664" t="str">
        <f>T("   AUTRES")</f>
        <v xml:space="preserve">   AUTRES</v>
      </c>
      <c r="C1664" s="4">
        <v>6950</v>
      </c>
      <c r="D1664" s="4">
        <v>53108062</v>
      </c>
    </row>
    <row r="1665" spans="1:4" x14ac:dyDescent="0.25">
      <c r="A1665" t="str">
        <f>T("   940360")</f>
        <v xml:space="preserve">   940360</v>
      </c>
      <c r="B1665" t="str">
        <f>T("   Autres meubles en bois")</f>
        <v xml:space="preserve">   Autres meubles en bois</v>
      </c>
      <c r="C1665" s="4">
        <v>7680</v>
      </c>
      <c r="D1665" s="4">
        <v>4496778</v>
      </c>
    </row>
    <row r="1666" spans="1:4" x14ac:dyDescent="0.25">
      <c r="A1666" t="str">
        <f>T("   940429")</f>
        <v xml:space="preserve">   940429</v>
      </c>
      <c r="B1666" t="str">
        <f>T("   EN AUTRES MATIERES")</f>
        <v xml:space="preserve">   EN AUTRES MATIERES</v>
      </c>
      <c r="C1666" s="4">
        <v>137</v>
      </c>
      <c r="D1666" s="4">
        <v>250000</v>
      </c>
    </row>
    <row r="1667" spans="1:4" x14ac:dyDescent="0.25">
      <c r="A1667" t="str">
        <f>T("   940510")</f>
        <v xml:space="preserve">   940510</v>
      </c>
      <c r="B1667" t="str">
        <f>T("   LUSTRES ET AUTRES APPAREILS D'ECLAIRAGE ELECTRIQUES A SUSPENDRE OU A FIXER AU PLAFOND")</f>
        <v xml:space="preserve">   LUSTRES ET AUTRES APPAREILS D'ECLAIRAGE ELECTRIQUES A SUSPENDRE OU A FIXER AU PLAFOND</v>
      </c>
      <c r="C1667" s="4">
        <v>100</v>
      </c>
      <c r="D1667" s="4">
        <v>391595</v>
      </c>
    </row>
    <row r="1668" spans="1:4" x14ac:dyDescent="0.25">
      <c r="A1668" t="str">
        <f>T("   950300")</f>
        <v xml:space="preserve">   950300</v>
      </c>
      <c r="B1668" t="str">
        <f>T("   TRICYCLES, TROTTINETTES, AUTOS A PEDALES ET JOUETS A ROUES SIMILAIRES; LANDAUS ET POUSS")</f>
        <v xml:space="preserve">   TRICYCLES, TROTTINETTES, AUTOS A PEDALES ET JOUETS A ROUES SIMILAIRES; LANDAUS ET POUSS</v>
      </c>
      <c r="C1668" s="4">
        <v>6</v>
      </c>
      <c r="D1668" s="4">
        <v>12258</v>
      </c>
    </row>
    <row r="1669" spans="1:4" x14ac:dyDescent="0.25">
      <c r="A1669" t="str">
        <f>T("   950699")</f>
        <v xml:space="preserve">   950699</v>
      </c>
      <c r="B1669" t="str">
        <f>T("   AUTRES")</f>
        <v xml:space="preserve">   AUTRES</v>
      </c>
      <c r="C1669" s="4">
        <v>3382</v>
      </c>
      <c r="D1669" s="4">
        <v>6063582</v>
      </c>
    </row>
    <row r="1670" spans="1:4" x14ac:dyDescent="0.25">
      <c r="A1670" t="str">
        <f>T("   960350")</f>
        <v xml:space="preserve">   960350</v>
      </c>
      <c r="B1670" t="str">
        <f>T("   AUTRES BROSSES CONSTITUANT DES PARTIES DE MACHINES, D'APPAREILS OU DE VEHICULES")</f>
        <v xml:space="preserve">   AUTRES BROSSES CONSTITUANT DES PARTIES DE MACHINES, D'APPAREILS OU DE VEHICULES</v>
      </c>
      <c r="C1670" s="4">
        <v>240</v>
      </c>
      <c r="D1670" s="4">
        <v>3805106</v>
      </c>
    </row>
    <row r="1671" spans="1:4" s="5" customFormat="1" x14ac:dyDescent="0.25">
      <c r="A1671" s="5" t="str">
        <f>T("   ZZ_Total_Produit_SH6")</f>
        <v xml:space="preserve">   ZZ_Total_Produit_SH6</v>
      </c>
      <c r="B1671" s="5" t="str">
        <f>T("   ZZ_Total_Produit_SH6")</f>
        <v xml:space="preserve">   ZZ_Total_Produit_SH6</v>
      </c>
      <c r="C1671" s="1">
        <v>29738537.899999999</v>
      </c>
      <c r="D1671" s="1">
        <v>10450261893.823</v>
      </c>
    </row>
    <row r="1672" spans="1:4" s="5" customFormat="1" x14ac:dyDescent="0.25">
      <c r="B1672" s="5" t="str">
        <f>T("Côte d'Ivoire")</f>
        <v>Côte d'Ivoire</v>
      </c>
      <c r="C1672" s="1"/>
      <c r="D1672" s="1"/>
    </row>
    <row r="1673" spans="1:4" x14ac:dyDescent="0.25">
      <c r="A1673" t="str">
        <f>T("   080300")</f>
        <v xml:space="preserve">   080300</v>
      </c>
      <c r="B1673" t="str">
        <f>T("   Bananes,y compris les plantains,fraiches ou seches")</f>
        <v xml:space="preserve">   Bananes,y compris les plantains,fraiches ou seches</v>
      </c>
      <c r="C1673" s="4">
        <v>408000</v>
      </c>
      <c r="D1673" s="4">
        <v>20408840</v>
      </c>
    </row>
    <row r="1674" spans="1:4" x14ac:dyDescent="0.25">
      <c r="A1674" t="str">
        <f>T("   090112")</f>
        <v xml:space="preserve">   090112</v>
      </c>
      <c r="B1674" t="str">
        <f>T("   DECAFEINE")</f>
        <v xml:space="preserve">   DECAFEINE</v>
      </c>
      <c r="C1674" s="4">
        <v>8736</v>
      </c>
      <c r="D1674" s="4">
        <v>7552000</v>
      </c>
    </row>
    <row r="1675" spans="1:4" x14ac:dyDescent="0.25">
      <c r="A1675" t="str">
        <f>T("   090121")</f>
        <v xml:space="preserve">   090121</v>
      </c>
      <c r="B1675" t="str">
        <f>T("   NON DECAFEINE")</f>
        <v xml:space="preserve">   NON DECAFEINE</v>
      </c>
      <c r="C1675" s="4">
        <v>44688</v>
      </c>
      <c r="D1675" s="4">
        <v>109493000</v>
      </c>
    </row>
    <row r="1676" spans="1:4" x14ac:dyDescent="0.25">
      <c r="A1676" t="str">
        <f>T("   090190")</f>
        <v xml:space="preserve">   090190</v>
      </c>
      <c r="B1676" t="str">
        <f>T("   AUTRES")</f>
        <v xml:space="preserve">   AUTRES</v>
      </c>
      <c r="C1676" s="4">
        <v>21880</v>
      </c>
      <c r="D1676" s="4">
        <v>16639654</v>
      </c>
    </row>
    <row r="1677" spans="1:4" x14ac:dyDescent="0.25">
      <c r="A1677" t="str">
        <f>T("   100590")</f>
        <v xml:space="preserve">   100590</v>
      </c>
      <c r="B1677" t="str">
        <f>T("   AUTRE")</f>
        <v xml:space="preserve">   AUTRE</v>
      </c>
      <c r="C1677" s="4">
        <v>296060</v>
      </c>
      <c r="D1677" s="4">
        <v>55911000</v>
      </c>
    </row>
    <row r="1678" spans="1:4" x14ac:dyDescent="0.25">
      <c r="A1678" t="str">
        <f>T("   110100")</f>
        <v xml:space="preserve">   110100</v>
      </c>
      <c r="B1678" t="str">
        <f>T("   FARINES DE FROMENT (BLE) OU DE METEIL.")</f>
        <v xml:space="preserve">   FARINES DE FROMENT (BLE) OU DE METEIL.</v>
      </c>
      <c r="C1678" s="4">
        <v>96755</v>
      </c>
      <c r="D1678" s="4">
        <v>31460164.991</v>
      </c>
    </row>
    <row r="1679" spans="1:4" x14ac:dyDescent="0.25">
      <c r="A1679" t="str">
        <f>T("   151710")</f>
        <v xml:space="preserve">   151710</v>
      </c>
      <c r="B1679" t="str">
        <f>T("   Margarine, a l'exclusion de la margarine liquide")</f>
        <v xml:space="preserve">   Margarine, a l'exclusion de la margarine liquide</v>
      </c>
      <c r="C1679" s="4">
        <v>3079</v>
      </c>
      <c r="D1679" s="4">
        <v>3558390</v>
      </c>
    </row>
    <row r="1680" spans="1:4" x14ac:dyDescent="0.25">
      <c r="A1680" t="str">
        <f>T("   170410")</f>
        <v xml:space="preserve">   170410</v>
      </c>
      <c r="B1680" t="str">
        <f>T("   GOMMES A MACHER (CHEWINGGUM), MEME ENROBEES DE SUCRE")</f>
        <v xml:space="preserve">   GOMMES A MACHER (CHEWINGGUM), MEME ENROBEES DE SUCRE</v>
      </c>
      <c r="C1680" s="4">
        <v>30114</v>
      </c>
      <c r="D1680" s="4">
        <v>10486076</v>
      </c>
    </row>
    <row r="1681" spans="1:4" x14ac:dyDescent="0.25">
      <c r="A1681" t="str">
        <f>T("   190110")</f>
        <v xml:space="preserve">   190110</v>
      </c>
      <c r="B1681" t="str">
        <f>T("   PREPARATIONS POUR L'ALIMENTATION DES ENFANTS, CONDITIONNEES POUR LA VENTE AU DETAIL")</f>
        <v xml:space="preserve">   PREPARATIONS POUR L'ALIMENTATION DES ENFANTS, CONDITIONNEES POUR LA VENTE AU DETAIL</v>
      </c>
      <c r="C1681" s="4">
        <v>4337</v>
      </c>
      <c r="D1681" s="4">
        <v>1197068</v>
      </c>
    </row>
    <row r="1682" spans="1:4" x14ac:dyDescent="0.25">
      <c r="A1682" t="str">
        <f>T("   190190")</f>
        <v xml:space="preserve">   190190</v>
      </c>
      <c r="B1682" t="str">
        <f>T("   AUTRES")</f>
        <v xml:space="preserve">   AUTRES</v>
      </c>
      <c r="C1682" s="4">
        <v>5000</v>
      </c>
      <c r="D1682" s="4">
        <v>1296596</v>
      </c>
    </row>
    <row r="1683" spans="1:4" x14ac:dyDescent="0.25">
      <c r="A1683" t="str">
        <f>T("   190219")</f>
        <v xml:space="preserve">   190219</v>
      </c>
      <c r="B1683" t="str">
        <f>T("   AUTRES")</f>
        <v xml:space="preserve">   AUTRES</v>
      </c>
      <c r="C1683" s="4">
        <v>475258</v>
      </c>
      <c r="D1683" s="4">
        <v>161418866</v>
      </c>
    </row>
    <row r="1684" spans="1:4" x14ac:dyDescent="0.25">
      <c r="A1684" t="str">
        <f>T("   210111")</f>
        <v xml:space="preserve">   210111</v>
      </c>
      <c r="B1684" t="str">
        <f>T("   EXTRAITS, ESSENCES ET CONCENTRES")</f>
        <v xml:space="preserve">   EXTRAITS, ESSENCES ET CONCENTRES</v>
      </c>
      <c r="C1684" s="4">
        <v>26972</v>
      </c>
      <c r="D1684" s="4">
        <v>252126687</v>
      </c>
    </row>
    <row r="1685" spans="1:4" x14ac:dyDescent="0.25">
      <c r="A1685" t="str">
        <f>T("   210390")</f>
        <v xml:space="preserve">   210390</v>
      </c>
      <c r="B1685" t="str">
        <f>T("   AUTRES")</f>
        <v xml:space="preserve">   AUTRES</v>
      </c>
      <c r="C1685" s="4">
        <v>19441</v>
      </c>
      <c r="D1685" s="4">
        <v>38477242</v>
      </c>
    </row>
    <row r="1686" spans="1:4" x14ac:dyDescent="0.25">
      <c r="A1686" t="str">
        <f>T("   210410")</f>
        <v xml:space="preserve">   210410</v>
      </c>
      <c r="B1686" t="str">
        <f>T("   PREPARATIONS POUR SOUPES, POTAGES OU BOUILLONS; SOUPES, POTAGES OU BOUILLONS PREPARES")</f>
        <v xml:space="preserve">   PREPARATIONS POUR SOUPES, POTAGES OU BOUILLONS; SOUPES, POTAGES OU BOUILLONS PREPARES</v>
      </c>
      <c r="C1686" s="4">
        <v>14200</v>
      </c>
      <c r="D1686" s="4">
        <v>4321988</v>
      </c>
    </row>
    <row r="1687" spans="1:4" x14ac:dyDescent="0.25">
      <c r="A1687" t="str">
        <f>T("   210690")</f>
        <v xml:space="preserve">   210690</v>
      </c>
      <c r="B1687" t="str">
        <f>T("   AUTRES")</f>
        <v xml:space="preserve">   AUTRES</v>
      </c>
      <c r="C1687" s="4">
        <v>34</v>
      </c>
      <c r="D1687" s="4">
        <v>1512500</v>
      </c>
    </row>
    <row r="1688" spans="1:4" x14ac:dyDescent="0.25">
      <c r="A1688" t="str">
        <f>T("   220850")</f>
        <v xml:space="preserve">   220850</v>
      </c>
      <c r="B1688" t="str">
        <f>T("   GIN ET GENIEVRE")</f>
        <v xml:space="preserve">   GIN ET GENIEVRE</v>
      </c>
      <c r="C1688" s="4">
        <v>4015</v>
      </c>
      <c r="D1688" s="4">
        <v>402238</v>
      </c>
    </row>
    <row r="1689" spans="1:4" x14ac:dyDescent="0.25">
      <c r="A1689" t="str">
        <f>T("   240220")</f>
        <v xml:space="preserve">   240220</v>
      </c>
      <c r="B1689" t="str">
        <f>T("   Cigarettes contenant du tabac")</f>
        <v xml:space="preserve">   Cigarettes contenant du tabac</v>
      </c>
      <c r="C1689" s="4">
        <v>42400</v>
      </c>
      <c r="D1689" s="4">
        <v>223140100</v>
      </c>
    </row>
    <row r="1690" spans="1:4" x14ac:dyDescent="0.25">
      <c r="A1690" t="str">
        <f>T("   271011")</f>
        <v xml:space="preserve">   271011</v>
      </c>
      <c r="B1690" t="str">
        <f>T("   HUILLES DE PETROLE OU D'ESSENCE")</f>
        <v xml:space="preserve">   HUILLES DE PETROLE OU D'ESSENCE</v>
      </c>
      <c r="C1690" s="4">
        <v>105053</v>
      </c>
      <c r="D1690" s="4">
        <v>88206537</v>
      </c>
    </row>
    <row r="1691" spans="1:4" x14ac:dyDescent="0.25">
      <c r="A1691" t="str">
        <f>T("   271019")</f>
        <v xml:space="preserve">   271019</v>
      </c>
      <c r="B1691" t="str">
        <f>T("   AUTRES")</f>
        <v xml:space="preserve">   AUTRES</v>
      </c>
      <c r="C1691" s="4">
        <v>1650232</v>
      </c>
      <c r="D1691" s="4">
        <v>563987353</v>
      </c>
    </row>
    <row r="1692" spans="1:4" x14ac:dyDescent="0.25">
      <c r="A1692" t="str">
        <f>T("   271113")</f>
        <v xml:space="preserve">   271113</v>
      </c>
      <c r="B1692" t="str">
        <f>T("   BUTANES")</f>
        <v xml:space="preserve">   BUTANES</v>
      </c>
      <c r="C1692" s="4">
        <v>32000</v>
      </c>
      <c r="D1692" s="4">
        <v>11200000</v>
      </c>
    </row>
    <row r="1693" spans="1:4" x14ac:dyDescent="0.25">
      <c r="A1693" t="str">
        <f>T("   271320")</f>
        <v xml:space="preserve">   271320</v>
      </c>
      <c r="B1693" t="str">
        <f>T("   BITUME DE PETROLE")</f>
        <v xml:space="preserve">   BITUME DE PETROLE</v>
      </c>
      <c r="C1693" s="4">
        <v>874860</v>
      </c>
      <c r="D1693" s="4">
        <v>365850228</v>
      </c>
    </row>
    <row r="1694" spans="1:4" x14ac:dyDescent="0.25">
      <c r="A1694" t="str">
        <f>T("   271500")</f>
        <v xml:space="preserve">   271500</v>
      </c>
      <c r="B1694" t="str">
        <f>T("   MELANGES BITUMINEUX A BASE D'ASPHALTE OU DE BITUME NATURELS, DE BITUME DE PETROLE, DE G")</f>
        <v xml:space="preserve">   MELANGES BITUMINEUX A BASE D'ASPHALTE OU DE BITUME NATURELS, DE BITUME DE PETROLE, DE G</v>
      </c>
      <c r="C1694" s="4">
        <v>5000</v>
      </c>
      <c r="D1694" s="4">
        <v>2262960</v>
      </c>
    </row>
    <row r="1695" spans="1:4" x14ac:dyDescent="0.25">
      <c r="A1695" t="str">
        <f>T("   290110")</f>
        <v xml:space="preserve">   290110</v>
      </c>
      <c r="B1695" t="str">
        <f>T("   SATURES")</f>
        <v xml:space="preserve">   SATURES</v>
      </c>
      <c r="C1695" s="4">
        <v>21470</v>
      </c>
      <c r="D1695" s="4">
        <v>24849000</v>
      </c>
    </row>
    <row r="1696" spans="1:4" x14ac:dyDescent="0.25">
      <c r="A1696" t="str">
        <f>T("   300490")</f>
        <v xml:space="preserve">   300490</v>
      </c>
      <c r="B1696" t="str">
        <f>T("   AUTRES")</f>
        <v xml:space="preserve">   AUTRES</v>
      </c>
      <c r="C1696" s="4">
        <v>130</v>
      </c>
      <c r="D1696" s="4">
        <v>200000</v>
      </c>
    </row>
    <row r="1697" spans="1:4" x14ac:dyDescent="0.25">
      <c r="A1697" t="str">
        <f>T("   320417")</f>
        <v xml:space="preserve">   320417</v>
      </c>
      <c r="B1697" t="str">
        <f>T("   Colorants pigmentaires et preparations a base de ces colorants")</f>
        <v xml:space="preserve">   Colorants pigmentaires et preparations a base de ces colorants</v>
      </c>
      <c r="C1697" s="4">
        <v>2008</v>
      </c>
      <c r="D1697" s="4">
        <v>4493999</v>
      </c>
    </row>
    <row r="1698" spans="1:4" x14ac:dyDescent="0.25">
      <c r="A1698" t="str">
        <f>T("   320890")</f>
        <v xml:space="preserve">   320890</v>
      </c>
      <c r="B1698" t="str">
        <f>T("   AUTRES")</f>
        <v xml:space="preserve">   AUTRES</v>
      </c>
      <c r="C1698" s="4">
        <v>139676</v>
      </c>
      <c r="D1698" s="4">
        <v>46526653</v>
      </c>
    </row>
    <row r="1699" spans="1:4" x14ac:dyDescent="0.25">
      <c r="A1699" t="str">
        <f>T("   321000")</f>
        <v xml:space="preserve">   321000</v>
      </c>
      <c r="B1699" t="str">
        <f>T("   AUTRES PEINTURES ET VERNIS; PIGMENTS A L'EAU PREPARES DES TYPES UTILISES POUR LE FINISS")</f>
        <v xml:space="preserve">   AUTRES PEINTURES ET VERNIS; PIGMENTS A L'EAU PREPARES DES TYPES UTILISES POUR LE FINISS</v>
      </c>
      <c r="C1699" s="4">
        <v>21901</v>
      </c>
      <c r="D1699" s="4">
        <v>1966139</v>
      </c>
    </row>
    <row r="1700" spans="1:4" x14ac:dyDescent="0.25">
      <c r="A1700" t="str">
        <f>T("   321290")</f>
        <v xml:space="preserve">   321290</v>
      </c>
      <c r="B1700" t="str">
        <f>T("   AUTRES")</f>
        <v xml:space="preserve">   AUTRES</v>
      </c>
      <c r="C1700" s="4">
        <v>45955</v>
      </c>
      <c r="D1700" s="4">
        <v>12566592</v>
      </c>
    </row>
    <row r="1701" spans="1:4" x14ac:dyDescent="0.25">
      <c r="A1701" t="str">
        <f>T("   321519")</f>
        <v xml:space="preserve">   321519</v>
      </c>
      <c r="B1701" t="str">
        <f>T("   AUTRES")</f>
        <v xml:space="preserve">   AUTRES</v>
      </c>
      <c r="C1701" s="4">
        <v>95</v>
      </c>
      <c r="D1701" s="4">
        <v>2411428</v>
      </c>
    </row>
    <row r="1702" spans="1:4" x14ac:dyDescent="0.25">
      <c r="A1702" t="str">
        <f>T("   330300")</f>
        <v xml:space="preserve">   330300</v>
      </c>
      <c r="B1702" t="str">
        <f>T("   PARFUMS ET EAUX DE TOILETTE.")</f>
        <v xml:space="preserve">   PARFUMS ET EAUX DE TOILETTE.</v>
      </c>
      <c r="C1702" s="4">
        <v>19351</v>
      </c>
      <c r="D1702" s="4">
        <v>13892890</v>
      </c>
    </row>
    <row r="1703" spans="1:4" x14ac:dyDescent="0.25">
      <c r="A1703" t="str">
        <f>T("   330499")</f>
        <v xml:space="preserve">   330499</v>
      </c>
      <c r="B1703" t="str">
        <f>T("   AUTRES")</f>
        <v xml:space="preserve">   AUTRES</v>
      </c>
      <c r="C1703" s="4">
        <v>260174</v>
      </c>
      <c r="D1703" s="4">
        <v>97044400</v>
      </c>
    </row>
    <row r="1704" spans="1:4" x14ac:dyDescent="0.25">
      <c r="A1704" t="str">
        <f>T("   330590")</f>
        <v xml:space="preserve">   330590</v>
      </c>
      <c r="B1704" t="str">
        <f>T("   AUTRES")</f>
        <v xml:space="preserve">   AUTRES</v>
      </c>
      <c r="C1704" s="4">
        <v>1308</v>
      </c>
      <c r="D1704" s="4">
        <v>1324680</v>
      </c>
    </row>
    <row r="1705" spans="1:4" x14ac:dyDescent="0.25">
      <c r="A1705" t="str">
        <f>T("   330610")</f>
        <v xml:space="preserve">   330610</v>
      </c>
      <c r="B1705" t="str">
        <f>T("   Dentifrices")</f>
        <v xml:space="preserve">   Dentifrices</v>
      </c>
      <c r="C1705" s="4">
        <v>39433</v>
      </c>
      <c r="D1705" s="4">
        <v>39032908</v>
      </c>
    </row>
    <row r="1706" spans="1:4" x14ac:dyDescent="0.25">
      <c r="A1706" t="str">
        <f>T("   340111")</f>
        <v xml:space="preserve">   340111</v>
      </c>
      <c r="B1706" t="str">
        <f>T("   DE TOILETTE (Y COMPRIS CEUX A USAGES MEDICAUX)")</f>
        <v xml:space="preserve">   DE TOILETTE (Y COMPRIS CEUX A USAGES MEDICAUX)</v>
      </c>
      <c r="C1706" s="4">
        <v>115505</v>
      </c>
      <c r="D1706" s="4">
        <v>26833775</v>
      </c>
    </row>
    <row r="1707" spans="1:4" x14ac:dyDescent="0.25">
      <c r="A1707" t="str">
        <f>T("   340119")</f>
        <v xml:space="preserve">   340119</v>
      </c>
      <c r="B1707" t="str">
        <f>T("   AUTRES")</f>
        <v xml:space="preserve">   AUTRES</v>
      </c>
      <c r="C1707" s="4">
        <v>1312609</v>
      </c>
      <c r="D1707" s="4">
        <v>854263341</v>
      </c>
    </row>
    <row r="1708" spans="1:4" x14ac:dyDescent="0.25">
      <c r="A1708" t="str">
        <f>T("   340220")</f>
        <v xml:space="preserve">   340220</v>
      </c>
      <c r="B1708" t="str">
        <f>T("   PREPARATIONS CONDITIONNEES POUR LA VENTE AU DETAIL")</f>
        <v xml:space="preserve">   PREPARATIONS CONDITIONNEES POUR LA VENTE AU DETAIL</v>
      </c>
      <c r="C1708" s="4">
        <v>99984</v>
      </c>
      <c r="D1708" s="4">
        <v>100129071</v>
      </c>
    </row>
    <row r="1709" spans="1:4" x14ac:dyDescent="0.25">
      <c r="A1709" t="str">
        <f>T("   350699")</f>
        <v xml:space="preserve">   350699</v>
      </c>
      <c r="B1709" t="str">
        <f>T("   AUTRES")</f>
        <v xml:space="preserve">   AUTRES</v>
      </c>
      <c r="C1709" s="4">
        <v>24</v>
      </c>
      <c r="D1709" s="4">
        <v>9997</v>
      </c>
    </row>
    <row r="1710" spans="1:4" x14ac:dyDescent="0.25">
      <c r="A1710" t="str">
        <f>T("   380850")</f>
        <v xml:space="preserve">   380850</v>
      </c>
      <c r="B1710" t="str">
        <f>T("   MARCHANDISES MENTIONNEES DANS LA NOTE 1 DE SOUSPOSITIONS DU PRESENT CHAPITRE")</f>
        <v xml:space="preserve">   MARCHANDISES MENTIONNEES DANS LA NOTE 1 DE SOUSPOSITIONS DU PRESENT CHAPITRE</v>
      </c>
      <c r="C1710" s="4">
        <v>3860</v>
      </c>
      <c r="D1710" s="4">
        <v>1310759</v>
      </c>
    </row>
    <row r="1711" spans="1:4" x14ac:dyDescent="0.25">
      <c r="A1711" t="str">
        <f>T("   380891")</f>
        <v xml:space="preserve">   380891</v>
      </c>
      <c r="B1711" t="str">
        <f>T("   INSECTICIDES")</f>
        <v xml:space="preserve">   INSECTICIDES</v>
      </c>
      <c r="C1711" s="4">
        <v>20639</v>
      </c>
      <c r="D1711" s="4">
        <v>6920969</v>
      </c>
    </row>
    <row r="1712" spans="1:4" x14ac:dyDescent="0.25">
      <c r="A1712" t="str">
        <f>T("   380894")</f>
        <v xml:space="preserve">   380894</v>
      </c>
      <c r="B1712" t="str">
        <f>T("   DESINFECTANTS")</f>
        <v xml:space="preserve">   DESINFECTANTS</v>
      </c>
      <c r="C1712" s="4">
        <v>26857</v>
      </c>
      <c r="D1712" s="4">
        <v>8284288</v>
      </c>
    </row>
    <row r="1713" spans="1:4" x14ac:dyDescent="0.25">
      <c r="A1713" t="str">
        <f>T("   380899")</f>
        <v xml:space="preserve">   380899</v>
      </c>
      <c r="B1713" t="str">
        <f>T("   AUTRES")</f>
        <v xml:space="preserve">   AUTRES</v>
      </c>
      <c r="C1713" s="4">
        <v>5734</v>
      </c>
      <c r="D1713" s="4">
        <v>1639806</v>
      </c>
    </row>
    <row r="1714" spans="1:4" x14ac:dyDescent="0.25">
      <c r="A1714" t="str">
        <f>T("   391723")</f>
        <v xml:space="preserve">   391723</v>
      </c>
      <c r="B1714" t="str">
        <f>T("   EN POLYMERES DU CHLORURE DE VINYLE")</f>
        <v xml:space="preserve">   EN POLYMERES DU CHLORURE DE VINYLE</v>
      </c>
      <c r="C1714" s="4">
        <v>197907</v>
      </c>
      <c r="D1714" s="4">
        <v>143577128</v>
      </c>
    </row>
    <row r="1715" spans="1:4" x14ac:dyDescent="0.25">
      <c r="A1715" t="str">
        <f>T("   391731")</f>
        <v xml:space="preserve">   391731</v>
      </c>
      <c r="B1715" t="str">
        <f>T("   TUBES ET TUYAUX SOUPLES POUVANT SUPPORTER AU MINIMUM UNE PRESSION DE 27,6 MPA")</f>
        <v xml:space="preserve">   TUBES ET TUYAUX SOUPLES POUVANT SUPPORTER AU MINIMUM UNE PRESSION DE 27,6 MPA</v>
      </c>
      <c r="C1715" s="4">
        <v>23500</v>
      </c>
      <c r="D1715" s="4">
        <v>4000000</v>
      </c>
    </row>
    <row r="1716" spans="1:4" x14ac:dyDescent="0.25">
      <c r="A1716" t="str">
        <f>T("   391740")</f>
        <v xml:space="preserve">   391740</v>
      </c>
      <c r="B1716" t="str">
        <f>T("   ACCESSOIRES")</f>
        <v xml:space="preserve">   ACCESSOIRES</v>
      </c>
      <c r="C1716" s="4">
        <v>38512</v>
      </c>
      <c r="D1716" s="4">
        <v>22254773</v>
      </c>
    </row>
    <row r="1717" spans="1:4" x14ac:dyDescent="0.25">
      <c r="A1717" t="str">
        <f>T("   392310")</f>
        <v xml:space="preserve">   392310</v>
      </c>
      <c r="B1717" t="str">
        <f>T("   BOITES, CAISSES, CASIERS ET ARTICLES SIMILAIRES")</f>
        <v xml:space="preserve">   BOITES, CAISSES, CASIERS ET ARTICLES SIMILAIRES</v>
      </c>
      <c r="C1717" s="4">
        <v>67474</v>
      </c>
      <c r="D1717" s="4">
        <v>114891336</v>
      </c>
    </row>
    <row r="1718" spans="1:4" x14ac:dyDescent="0.25">
      <c r="A1718" t="str">
        <f>T("   392321")</f>
        <v xml:space="preserve">   392321</v>
      </c>
      <c r="B1718" t="str">
        <f>T("   EN POLYMERES DE L'ETHYLENE")</f>
        <v xml:space="preserve">   EN POLYMERES DE L'ETHYLENE</v>
      </c>
      <c r="C1718" s="4">
        <v>101071</v>
      </c>
      <c r="D1718" s="4">
        <v>227260287</v>
      </c>
    </row>
    <row r="1719" spans="1:4" x14ac:dyDescent="0.25">
      <c r="A1719" t="str">
        <f>T("   392329")</f>
        <v xml:space="preserve">   392329</v>
      </c>
      <c r="B1719" t="str">
        <f>T("   EN AUTRES MATIERES PLASTIQUES")</f>
        <v xml:space="preserve">   EN AUTRES MATIERES PLASTIQUES</v>
      </c>
      <c r="C1719" s="4">
        <v>21779</v>
      </c>
      <c r="D1719" s="4">
        <v>26051092</v>
      </c>
    </row>
    <row r="1720" spans="1:4" x14ac:dyDescent="0.25">
      <c r="A1720" t="str">
        <f>T("   392330")</f>
        <v xml:space="preserve">   392330</v>
      </c>
      <c r="B1720" t="str">
        <f>T("   BONBONNES, BOUTEILLES, FLACONS ET ARTICLES SIMILAIRES")</f>
        <v xml:space="preserve">   BONBONNES, BOUTEILLES, FLACONS ET ARTICLES SIMILAIRES</v>
      </c>
      <c r="C1720" s="4">
        <v>93657</v>
      </c>
      <c r="D1720" s="4">
        <v>135439884</v>
      </c>
    </row>
    <row r="1721" spans="1:4" x14ac:dyDescent="0.25">
      <c r="A1721" t="str">
        <f>T("   392350")</f>
        <v xml:space="preserve">   392350</v>
      </c>
      <c r="B1721" t="str">
        <f>T("   BOUCHONS, COUVERCLES, CAPSULES ET AUTRES DISPOSITIFS DE FERMETURE")</f>
        <v xml:space="preserve">   BOUCHONS, COUVERCLES, CAPSULES ET AUTRES DISPOSITIFS DE FERMETURE</v>
      </c>
      <c r="C1721" s="4">
        <v>10828</v>
      </c>
      <c r="D1721" s="4">
        <v>19829261</v>
      </c>
    </row>
    <row r="1722" spans="1:4" x14ac:dyDescent="0.25">
      <c r="A1722" t="str">
        <f>T("   392390")</f>
        <v xml:space="preserve">   392390</v>
      </c>
      <c r="B1722" t="str">
        <f>T("   AUTRES")</f>
        <v xml:space="preserve">   AUTRES</v>
      </c>
      <c r="C1722" s="4">
        <v>9805</v>
      </c>
      <c r="D1722" s="4">
        <v>22727598</v>
      </c>
    </row>
    <row r="1723" spans="1:4" x14ac:dyDescent="0.25">
      <c r="A1723" t="str">
        <f>T("   392490")</f>
        <v xml:space="preserve">   392490</v>
      </c>
      <c r="B1723" t="str">
        <f>T("   AUTRES")</f>
        <v xml:space="preserve">   AUTRES</v>
      </c>
      <c r="C1723" s="4">
        <v>17813</v>
      </c>
      <c r="D1723" s="4">
        <v>21572582</v>
      </c>
    </row>
    <row r="1724" spans="1:4" x14ac:dyDescent="0.25">
      <c r="A1724" t="str">
        <f>T("   420222")</f>
        <v xml:space="preserve">   420222</v>
      </c>
      <c r="B1724" t="str">
        <f>T("   A SURFACE EXTERIEURE EN FEUILLES DE MATIERES PLASTIQUES OU EN MATIERES TEXTILES")</f>
        <v xml:space="preserve">   A SURFACE EXTERIEURE EN FEUILLES DE MATIERES PLASTIQUES OU EN MATIERES TEXTILES</v>
      </c>
      <c r="C1724" s="4">
        <v>78</v>
      </c>
      <c r="D1724" s="4">
        <v>1893804</v>
      </c>
    </row>
    <row r="1725" spans="1:4" x14ac:dyDescent="0.25">
      <c r="A1725" t="str">
        <f>T("   441231")</f>
        <v xml:space="preserve">   441231</v>
      </c>
      <c r="B1725" t="str">
        <f>T("   AYANT AU MOINS UN PLI EXTERIEUR EN BOIS TROPICAUX VISES A LA NOTE 2 DE SOUSPOSITION")</f>
        <v xml:space="preserve">   AYANT AU MOINS UN PLI EXTERIEUR EN BOIS TROPICAUX VISES A LA NOTE 2 DE SOUSPOSITION</v>
      </c>
      <c r="C1725" s="4">
        <v>678431</v>
      </c>
      <c r="D1725" s="4">
        <v>215964816</v>
      </c>
    </row>
    <row r="1726" spans="1:4" x14ac:dyDescent="0.25">
      <c r="A1726" t="str">
        <f>T("   441299")</f>
        <v xml:space="preserve">   441299</v>
      </c>
      <c r="B1726" t="str">
        <f>T("   AUTRES")</f>
        <v xml:space="preserve">   AUTRES</v>
      </c>
      <c r="C1726" s="4">
        <v>119500</v>
      </c>
      <c r="D1726" s="4">
        <v>47858706</v>
      </c>
    </row>
    <row r="1727" spans="1:4" x14ac:dyDescent="0.25">
      <c r="A1727" t="str">
        <f>T("   481013")</f>
        <v xml:space="preserve">   481013</v>
      </c>
      <c r="B1727" t="str">
        <f>T("   EN ROULEAUX")</f>
        <v xml:space="preserve">   EN ROULEAUX</v>
      </c>
      <c r="C1727" s="4">
        <v>68</v>
      </c>
      <c r="D1727" s="4">
        <v>189000</v>
      </c>
    </row>
    <row r="1728" spans="1:4" x14ac:dyDescent="0.25">
      <c r="A1728" t="str">
        <f>T("   481810")</f>
        <v xml:space="preserve">   481810</v>
      </c>
      <c r="B1728" t="str">
        <f>T("   Papier hygienique")</f>
        <v xml:space="preserve">   Papier hygienique</v>
      </c>
      <c r="C1728" s="4">
        <v>3291</v>
      </c>
      <c r="D1728" s="4">
        <v>1344391</v>
      </c>
    </row>
    <row r="1729" spans="1:4" x14ac:dyDescent="0.25">
      <c r="A1729" t="str">
        <f>T("   481820")</f>
        <v xml:space="preserve">   481820</v>
      </c>
      <c r="B1729" t="str">
        <f>T("   MOUCHOIRS, SERVIETTES A DEMAQUILLER ET ESSUIEMAINS")</f>
        <v xml:space="preserve">   MOUCHOIRS, SERVIETTES A DEMAQUILLER ET ESSUIEMAINS</v>
      </c>
      <c r="C1729" s="4">
        <v>803</v>
      </c>
      <c r="D1729" s="4">
        <v>75635</v>
      </c>
    </row>
    <row r="1730" spans="1:4" x14ac:dyDescent="0.25">
      <c r="A1730" t="str">
        <f>T("   481930")</f>
        <v xml:space="preserve">   481930</v>
      </c>
      <c r="B1730" t="str">
        <f>T("   SACS D'UNE LARGEUR A LA BASE DE 40 CM OU PLUS")</f>
        <v xml:space="preserve">   SACS D'UNE LARGEUR A LA BASE DE 40 CM OU PLUS</v>
      </c>
      <c r="C1730" s="4">
        <v>517624</v>
      </c>
      <c r="D1730" s="4">
        <v>461533091</v>
      </c>
    </row>
    <row r="1731" spans="1:4" x14ac:dyDescent="0.25">
      <c r="A1731" t="str">
        <f>T("   481940")</f>
        <v xml:space="preserve">   481940</v>
      </c>
      <c r="B1731" t="str">
        <f>T("   AUTRES SACS; SACHETS, POCHETTES (AUTRES QUE CELLES POUR DISQUES) ET CORNETS")</f>
        <v xml:space="preserve">   AUTRES SACS; SACHETS, POCHETTES (AUTRES QUE CELLES POUR DISQUES) ET CORNETS</v>
      </c>
      <c r="C1731" s="4">
        <v>272</v>
      </c>
      <c r="D1731" s="4">
        <v>20000</v>
      </c>
    </row>
    <row r="1732" spans="1:4" x14ac:dyDescent="0.25">
      <c r="A1732" t="str">
        <f>T("   482010")</f>
        <v xml:space="preserve">   482010</v>
      </c>
      <c r="B1732" t="str">
        <f>T("   REGISTRES, LIVRES COMPTABLES, CARNETS (DE NOTES, DE COMMANDES, DE QUITTANCES), BLOCS")</f>
        <v xml:space="preserve">   REGISTRES, LIVRES COMPTABLES, CARNETS (DE NOTES, DE COMMANDES, DE QUITTANCES), BLOCS</v>
      </c>
      <c r="C1732" s="4">
        <v>2188</v>
      </c>
      <c r="D1732" s="4">
        <v>862052</v>
      </c>
    </row>
    <row r="1733" spans="1:4" x14ac:dyDescent="0.25">
      <c r="A1733" t="str">
        <f>T("   482030")</f>
        <v xml:space="preserve">   482030</v>
      </c>
      <c r="B1733" t="str">
        <f>T("   CLASSEURS, RELIURES (AUTRES QUE LES COUVERTURES POUR LIVRES), CHEMISES ET COUVERTURES")</f>
        <v xml:space="preserve">   CLASSEURS, RELIURES (AUTRES QUE LES COUVERTURES POUR LIVRES), CHEMISES ET COUVERTURES</v>
      </c>
      <c r="C1733" s="4">
        <v>11075</v>
      </c>
      <c r="D1733" s="4">
        <v>5154466</v>
      </c>
    </row>
    <row r="1734" spans="1:4" x14ac:dyDescent="0.25">
      <c r="A1734" t="str">
        <f>T("   482040")</f>
        <v xml:space="preserve">   482040</v>
      </c>
      <c r="B1734" t="str">
        <f>T("   LIASSES ET CARNETS MANIFOLD, MEME COMPORTANT DES FEUILLES DE PAPIER CARBONE")</f>
        <v xml:space="preserve">   LIASSES ET CARNETS MANIFOLD, MEME COMPORTANT DES FEUILLES DE PAPIER CARBONE</v>
      </c>
      <c r="C1734" s="4">
        <v>1980</v>
      </c>
      <c r="D1734" s="4">
        <v>424013</v>
      </c>
    </row>
    <row r="1735" spans="1:4" x14ac:dyDescent="0.25">
      <c r="A1735" t="str">
        <f>T("   482190")</f>
        <v xml:space="preserve">   482190</v>
      </c>
      <c r="B1735" t="str">
        <f>T("   AUTRES")</f>
        <v xml:space="preserve">   AUTRES</v>
      </c>
      <c r="C1735" s="4">
        <v>100</v>
      </c>
      <c r="D1735" s="4">
        <v>50000</v>
      </c>
    </row>
    <row r="1736" spans="1:4" x14ac:dyDescent="0.25">
      <c r="A1736" t="str">
        <f>T("   490290")</f>
        <v xml:space="preserve">   490290</v>
      </c>
      <c r="B1736" t="str">
        <f>T("   AUTRES")</f>
        <v xml:space="preserve">   AUTRES</v>
      </c>
      <c r="C1736" s="4">
        <v>497</v>
      </c>
      <c r="D1736" s="4">
        <v>1384022</v>
      </c>
    </row>
    <row r="1737" spans="1:4" x14ac:dyDescent="0.25">
      <c r="A1737" t="str">
        <f>T("   490700")</f>
        <v xml:space="preserve">   490700</v>
      </c>
      <c r="B1737" t="str">
        <f>T("   TIMBRESPOSTE, TIMBRES FISCAUX ET ANALOGUES, NON OBLITERES, AYANT COURS OU DESTINES A A")</f>
        <v xml:space="preserve">   TIMBRESPOSTE, TIMBRES FISCAUX ET ANALOGUES, NON OBLITERES, AYANT COURS OU DESTINES A A</v>
      </c>
      <c r="C1737" s="4">
        <v>423</v>
      </c>
      <c r="D1737" s="4">
        <v>917280</v>
      </c>
    </row>
    <row r="1738" spans="1:4" x14ac:dyDescent="0.25">
      <c r="A1738" t="str">
        <f>T("   491000")</f>
        <v xml:space="preserve">   491000</v>
      </c>
      <c r="B1738" t="str">
        <f>T("   CALENDRIERS DE TOUS GENRES, IMPRIMES, Y COMPRIS LES BLOCS DE CALENDRIERS A EFFEUILLER.")</f>
        <v xml:space="preserve">   CALENDRIERS DE TOUS GENRES, IMPRIMES, Y COMPRIS LES BLOCS DE CALENDRIERS A EFFEUILLER.</v>
      </c>
      <c r="C1738" s="4">
        <v>1383</v>
      </c>
      <c r="D1738" s="4">
        <v>2665999</v>
      </c>
    </row>
    <row r="1739" spans="1:4" x14ac:dyDescent="0.25">
      <c r="A1739" t="str">
        <f>T("   491110")</f>
        <v xml:space="preserve">   491110</v>
      </c>
      <c r="B1739" t="str">
        <f>T("   IMPRIMES PUBLICITAIRES, CATALOGUES COMMERCIAUX ET SIMILAIRES")</f>
        <v xml:space="preserve">   IMPRIMES PUBLICITAIRES, CATALOGUES COMMERCIAUX ET SIMILAIRES</v>
      </c>
      <c r="C1739" s="4">
        <v>2522</v>
      </c>
      <c r="D1739" s="4">
        <v>5406743</v>
      </c>
    </row>
    <row r="1740" spans="1:4" x14ac:dyDescent="0.25">
      <c r="A1740" t="str">
        <f>T("   491199")</f>
        <v xml:space="preserve">   491199</v>
      </c>
      <c r="B1740" t="str">
        <f>T("   AUTRES")</f>
        <v xml:space="preserve">   AUTRES</v>
      </c>
      <c r="C1740" s="4">
        <v>1820</v>
      </c>
      <c r="D1740" s="4">
        <v>885000</v>
      </c>
    </row>
    <row r="1741" spans="1:4" x14ac:dyDescent="0.25">
      <c r="A1741" t="str">
        <f>T("   520852")</f>
        <v xml:space="preserve">   520852</v>
      </c>
      <c r="B1741" t="str">
        <f>T("   A ARMURE TOILE, D'UN POIDS EXCEDANT 100 G/M²")</f>
        <v xml:space="preserve">   A ARMURE TOILE, D'UN POIDS EXCEDANT 100 G/M²</v>
      </c>
      <c r="C1741" s="4">
        <v>693809</v>
      </c>
      <c r="D1741" s="4">
        <v>7675003443</v>
      </c>
    </row>
    <row r="1742" spans="1:4" x14ac:dyDescent="0.25">
      <c r="A1742" t="str">
        <f>T("   520951")</f>
        <v xml:space="preserve">   520951</v>
      </c>
      <c r="B1742" t="str">
        <f>T("   A ARMURE TOILE")</f>
        <v xml:space="preserve">   A ARMURE TOILE</v>
      </c>
      <c r="C1742" s="4">
        <v>2011</v>
      </c>
      <c r="D1742" s="4">
        <v>10831614</v>
      </c>
    </row>
    <row r="1743" spans="1:4" x14ac:dyDescent="0.25">
      <c r="A1743" t="str">
        <f>T("   590390")</f>
        <v xml:space="preserve">   590390</v>
      </c>
      <c r="B1743" t="str">
        <f>T("   AUTRES")</f>
        <v xml:space="preserve">   AUTRES</v>
      </c>
      <c r="C1743" s="4">
        <v>16508</v>
      </c>
      <c r="D1743" s="4">
        <v>45212510</v>
      </c>
    </row>
    <row r="1744" spans="1:4" x14ac:dyDescent="0.25">
      <c r="A1744" t="str">
        <f>T("   610990")</f>
        <v xml:space="preserve">   610990</v>
      </c>
      <c r="B1744" t="str">
        <f>T("   D'AUTRES MATIERES TEXTILES")</f>
        <v xml:space="preserve">   D'AUTRES MATIERES TEXTILES</v>
      </c>
      <c r="C1744" s="4">
        <v>124</v>
      </c>
      <c r="D1744" s="4">
        <v>90000</v>
      </c>
    </row>
    <row r="1745" spans="1:4" x14ac:dyDescent="0.25">
      <c r="A1745" t="str">
        <f>T("   611699")</f>
        <v xml:space="preserve">   611699</v>
      </c>
      <c r="B1745" t="str">
        <f>T("   D'AUTRES MATIERES TEXTILES")</f>
        <v xml:space="preserve">   D'AUTRES MATIERES TEXTILES</v>
      </c>
      <c r="C1745" s="4">
        <v>36</v>
      </c>
      <c r="D1745" s="4">
        <v>329928</v>
      </c>
    </row>
    <row r="1746" spans="1:4" x14ac:dyDescent="0.25">
      <c r="A1746" t="str">
        <f>T("   620349")</f>
        <v xml:space="preserve">   620349</v>
      </c>
      <c r="B1746" t="str">
        <f>T("   D'AUTRES MATIERES TEXTILES")</f>
        <v xml:space="preserve">   D'AUTRES MATIERES TEXTILES</v>
      </c>
      <c r="C1746" s="4">
        <v>240</v>
      </c>
      <c r="D1746" s="4">
        <v>25000</v>
      </c>
    </row>
    <row r="1747" spans="1:4" x14ac:dyDescent="0.25">
      <c r="A1747" t="str">
        <f>T("   620442")</f>
        <v xml:space="preserve">   620442</v>
      </c>
      <c r="B1747" t="str">
        <f>T("   DE COTON")</f>
        <v xml:space="preserve">   DE COTON</v>
      </c>
      <c r="C1747" s="4">
        <v>103</v>
      </c>
      <c r="D1747" s="4">
        <v>2674290</v>
      </c>
    </row>
    <row r="1748" spans="1:4" x14ac:dyDescent="0.25">
      <c r="A1748" t="str">
        <f>T("   620520")</f>
        <v xml:space="preserve">   620520</v>
      </c>
      <c r="B1748" t="str">
        <f>T("   DE COTON")</f>
        <v xml:space="preserve">   DE COTON</v>
      </c>
      <c r="C1748" s="4">
        <v>1475</v>
      </c>
      <c r="D1748" s="4">
        <v>39625436</v>
      </c>
    </row>
    <row r="1749" spans="1:4" x14ac:dyDescent="0.25">
      <c r="A1749" t="str">
        <f>T("   620590")</f>
        <v xml:space="preserve">   620590</v>
      </c>
      <c r="B1749" t="str">
        <f>T("   D'AUTRES MATIERES TEXTILES")</f>
        <v xml:space="preserve">   D'AUTRES MATIERES TEXTILES</v>
      </c>
      <c r="C1749" s="4">
        <v>300</v>
      </c>
      <c r="D1749" s="4">
        <v>700000</v>
      </c>
    </row>
    <row r="1750" spans="1:4" x14ac:dyDescent="0.25">
      <c r="A1750" t="str">
        <f>T("   620630")</f>
        <v xml:space="preserve">   620630</v>
      </c>
      <c r="B1750" t="str">
        <f>T("   DE COTON")</f>
        <v xml:space="preserve">   DE COTON</v>
      </c>
      <c r="C1750" s="4">
        <v>68</v>
      </c>
      <c r="D1750" s="4">
        <v>1819180</v>
      </c>
    </row>
    <row r="1751" spans="1:4" x14ac:dyDescent="0.25">
      <c r="A1751" t="str">
        <f>T("   620690")</f>
        <v xml:space="preserve">   620690</v>
      </c>
      <c r="B1751" t="str">
        <f>T("   D'AUTRES MATIERES TEXTILES")</f>
        <v xml:space="preserve">   D'AUTRES MATIERES TEXTILES</v>
      </c>
      <c r="C1751" s="4">
        <v>35</v>
      </c>
      <c r="D1751" s="4">
        <v>110500</v>
      </c>
    </row>
    <row r="1752" spans="1:4" x14ac:dyDescent="0.25">
      <c r="A1752" t="str">
        <f>T("   621040")</f>
        <v xml:space="preserve">   621040</v>
      </c>
      <c r="B1752" t="str">
        <f>T("   AUTRES VETEMENTS POUR HOMMES OU GARCONNETS")</f>
        <v xml:space="preserve">   AUTRES VETEMENTS POUR HOMMES OU GARCONNETS</v>
      </c>
      <c r="C1752" s="4">
        <v>38</v>
      </c>
      <c r="D1752" s="4">
        <v>85000</v>
      </c>
    </row>
    <row r="1753" spans="1:4" x14ac:dyDescent="0.25">
      <c r="A1753" t="str">
        <f>T("   621050")</f>
        <v xml:space="preserve">   621050</v>
      </c>
      <c r="B1753" t="str">
        <f>T("   AUTRES VETEMENTS POUR FEMMES OU FILLETTES")</f>
        <v xml:space="preserve">   AUTRES VETEMENTS POUR FEMMES OU FILLETTES</v>
      </c>
      <c r="C1753" s="4">
        <v>250</v>
      </c>
      <c r="D1753" s="4">
        <v>41726</v>
      </c>
    </row>
    <row r="1754" spans="1:4" x14ac:dyDescent="0.25">
      <c r="A1754" t="str">
        <f>T("   630533")</f>
        <v xml:space="preserve">   630533</v>
      </c>
      <c r="B1754" t="str">
        <f>T("   AUTRES, OBTENUES A PARTIR DE LAMES OU FORMES SIMILAIRES DE POLYETHYLENE OU DE POLYPR")</f>
        <v xml:space="preserve">   AUTRES, OBTENUES A PARTIR DE LAMES OU FORMES SIMILAIRES DE POLYETHYLENE OU DE POLYPR</v>
      </c>
      <c r="C1754" s="4">
        <v>51282</v>
      </c>
      <c r="D1754" s="4">
        <v>76140000</v>
      </c>
    </row>
    <row r="1755" spans="1:4" x14ac:dyDescent="0.25">
      <c r="A1755" t="str">
        <f>T("   630612")</f>
        <v xml:space="preserve">   630612</v>
      </c>
      <c r="B1755" t="str">
        <f>T("   DE FIBRES SYNTHETIQUES")</f>
        <v xml:space="preserve">   DE FIBRES SYNTHETIQUES</v>
      </c>
      <c r="C1755" s="4">
        <v>2503</v>
      </c>
      <c r="D1755" s="4">
        <v>11952500</v>
      </c>
    </row>
    <row r="1756" spans="1:4" x14ac:dyDescent="0.25">
      <c r="A1756" t="str">
        <f>T("   630790")</f>
        <v xml:space="preserve">   630790</v>
      </c>
      <c r="B1756" t="str">
        <f>T("   AUTRES")</f>
        <v xml:space="preserve">   AUTRES</v>
      </c>
      <c r="C1756" s="4">
        <v>54</v>
      </c>
      <c r="D1756" s="4">
        <v>813538</v>
      </c>
    </row>
    <row r="1757" spans="1:4" x14ac:dyDescent="0.25">
      <c r="A1757" t="str">
        <f>T("   640220")</f>
        <v xml:space="preserve">   640220</v>
      </c>
      <c r="B1757" t="str">
        <f>T("   CHAUSSURES AVEC DESSUS EN LANIERES OU BRIDES FIXEES A LA SEMELLE PAR DES TETONS")</f>
        <v xml:space="preserve">   CHAUSSURES AVEC DESSUS EN LANIERES OU BRIDES FIXEES A LA SEMELLE PAR DES TETONS</v>
      </c>
      <c r="C1757" s="4">
        <v>64593</v>
      </c>
      <c r="D1757" s="4">
        <v>10510253</v>
      </c>
    </row>
    <row r="1758" spans="1:4" x14ac:dyDescent="0.25">
      <c r="A1758" t="str">
        <f>T("   640590")</f>
        <v xml:space="preserve">   640590</v>
      </c>
      <c r="B1758" t="str">
        <f>T("   AUTRES")</f>
        <v xml:space="preserve">   AUTRES</v>
      </c>
      <c r="C1758" s="4">
        <v>43620</v>
      </c>
      <c r="D1758" s="4">
        <v>15209575</v>
      </c>
    </row>
    <row r="1759" spans="1:4" x14ac:dyDescent="0.25">
      <c r="A1759" t="str">
        <f>T("   680710")</f>
        <v xml:space="preserve">   680710</v>
      </c>
      <c r="B1759" t="str">
        <f>T("   EN ROULEAUX")</f>
        <v xml:space="preserve">   EN ROULEAUX</v>
      </c>
      <c r="C1759" s="4">
        <v>19300</v>
      </c>
      <c r="D1759" s="4">
        <v>8093412</v>
      </c>
    </row>
    <row r="1760" spans="1:4" x14ac:dyDescent="0.25">
      <c r="A1760" t="str">
        <f>T("   721420")</f>
        <v xml:space="preserve">   721420</v>
      </c>
      <c r="B1760" t="str">
        <f>T("   COMPORTANT DES INDENTATIONS, BOURRELETS, CREUX OU RELIEFS OBTENUS AU COURS DU LAMINAG")</f>
        <v xml:space="preserve">   COMPORTANT DES INDENTATIONS, BOURRELETS, CREUX OU RELIEFS OBTENUS AU COURS DU LAMINAG</v>
      </c>
      <c r="C1760" s="4">
        <v>1892720</v>
      </c>
      <c r="D1760" s="4">
        <v>733871782</v>
      </c>
    </row>
    <row r="1761" spans="1:4" x14ac:dyDescent="0.25">
      <c r="A1761" t="str">
        <f>T("   730820")</f>
        <v xml:space="preserve">   730820</v>
      </c>
      <c r="B1761" t="str">
        <f>T("   TOURS ET PYLONES")</f>
        <v xml:space="preserve">   TOURS ET PYLONES</v>
      </c>
      <c r="C1761" s="4">
        <v>7440</v>
      </c>
      <c r="D1761" s="4">
        <v>14232551</v>
      </c>
    </row>
    <row r="1762" spans="1:4" x14ac:dyDescent="0.25">
      <c r="A1762" t="str">
        <f>T("   731021")</f>
        <v xml:space="preserve">   731021</v>
      </c>
      <c r="B1762" t="str">
        <f>T("   BOITES A FERMER PAR SOUDAGE OU SERTISSAGE")</f>
        <v xml:space="preserve">   BOITES A FERMER PAR SOUDAGE OU SERTISSAGE</v>
      </c>
      <c r="C1762" s="4">
        <v>12697</v>
      </c>
      <c r="D1762" s="4">
        <v>5586811</v>
      </c>
    </row>
    <row r="1763" spans="1:4" x14ac:dyDescent="0.25">
      <c r="A1763" t="str">
        <f>T("   731029")</f>
        <v xml:space="preserve">   731029</v>
      </c>
      <c r="B1763" t="str">
        <f>T("   AUTRES")</f>
        <v xml:space="preserve">   AUTRES</v>
      </c>
      <c r="C1763" s="4">
        <v>22215</v>
      </c>
      <c r="D1763" s="4">
        <v>21389968</v>
      </c>
    </row>
    <row r="1764" spans="1:4" x14ac:dyDescent="0.25">
      <c r="A1764" t="str">
        <f>T("   731811")</f>
        <v xml:space="preserve">   731811</v>
      </c>
      <c r="B1764" t="str">
        <f>T("   TIREFOND")</f>
        <v xml:space="preserve">   TIREFOND</v>
      </c>
      <c r="C1764" s="4">
        <v>46970</v>
      </c>
      <c r="D1764" s="4">
        <v>43733913</v>
      </c>
    </row>
    <row r="1765" spans="1:4" x14ac:dyDescent="0.25">
      <c r="A1765" t="str">
        <f>T("   731815")</f>
        <v xml:space="preserve">   731815</v>
      </c>
      <c r="B1765" t="str">
        <f>T("   AUTRES VIS ET BOULONS, MEME AVEC LEURS ECROUS OU RONDELLES")</f>
        <v xml:space="preserve">   AUTRES VIS ET BOULONS, MEME AVEC LEURS ECROUS OU RONDELLES</v>
      </c>
      <c r="C1765" s="4">
        <v>345</v>
      </c>
      <c r="D1765" s="4">
        <v>3007923</v>
      </c>
    </row>
    <row r="1766" spans="1:4" x14ac:dyDescent="0.25">
      <c r="A1766" t="str">
        <f>T("   732392")</f>
        <v xml:space="preserve">   732392</v>
      </c>
      <c r="B1766" t="str">
        <f>T("   EN FONTE, EMAILLES")</f>
        <v xml:space="preserve">   EN FONTE, EMAILLES</v>
      </c>
      <c r="C1766" s="4">
        <v>4578</v>
      </c>
      <c r="D1766" s="4">
        <v>1080497</v>
      </c>
    </row>
    <row r="1767" spans="1:4" x14ac:dyDescent="0.25">
      <c r="A1767" t="str">
        <f>T("   732394")</f>
        <v xml:space="preserve">   732394</v>
      </c>
      <c r="B1767" t="str">
        <f>T("   EN FER OU EN ACIER, EMAILLES")</f>
        <v xml:space="preserve">   EN FER OU EN ACIER, EMAILLES</v>
      </c>
      <c r="C1767" s="4">
        <v>250</v>
      </c>
      <c r="D1767" s="4">
        <v>500000</v>
      </c>
    </row>
    <row r="1768" spans="1:4" x14ac:dyDescent="0.25">
      <c r="A1768" t="str">
        <f>T("   820140")</f>
        <v xml:space="preserve">   820140</v>
      </c>
      <c r="B1768" t="str">
        <f>T("   HACHES, SERPES ET OUTILS SIMILAIRES A TAILLANTS")</f>
        <v xml:space="preserve">   HACHES, SERPES ET OUTILS SIMILAIRES A TAILLANTS</v>
      </c>
      <c r="C1768" s="4">
        <v>49290</v>
      </c>
      <c r="D1768" s="4">
        <v>66720808</v>
      </c>
    </row>
    <row r="1769" spans="1:4" x14ac:dyDescent="0.25">
      <c r="A1769" t="str">
        <f>T("   820580")</f>
        <v xml:space="preserve">   820580</v>
      </c>
      <c r="B1769" t="str">
        <f>T("   ENCLUMES, FORGES PORTATIVES, MEULES AVEC BATIS, A MAIN OU A PEDALE")</f>
        <v xml:space="preserve">   ENCLUMES, FORGES PORTATIVES, MEULES AVEC BATIS, A MAIN OU A PEDALE</v>
      </c>
      <c r="C1769" s="4">
        <v>7738</v>
      </c>
      <c r="D1769" s="4">
        <v>37068357</v>
      </c>
    </row>
    <row r="1770" spans="1:4" x14ac:dyDescent="0.25">
      <c r="A1770" t="str">
        <f>T("   820719")</f>
        <v xml:space="preserve">   820719</v>
      </c>
      <c r="B1770" t="str">
        <f>T("   AUTRES, Y COMPRIS LES PARTIES")</f>
        <v xml:space="preserve">   AUTRES, Y COMPRIS LES PARTIES</v>
      </c>
      <c r="C1770" s="4">
        <v>255</v>
      </c>
      <c r="D1770" s="4">
        <v>19298947</v>
      </c>
    </row>
    <row r="1771" spans="1:4" x14ac:dyDescent="0.25">
      <c r="A1771" t="str">
        <f>T("   830400")</f>
        <v xml:space="preserve">   830400</v>
      </c>
      <c r="B1771" t="str">
        <f>T("   CLASSEURS, FICHIERS, BOITES DE CLASSEMENT, PORTECOPIES, PLUMIERS, PORTECACHETS ET MAT")</f>
        <v xml:space="preserve">   CLASSEURS, FICHIERS, BOITES DE CLASSEMENT, PORTECOPIES, PLUMIERS, PORTECACHETS ET MAT</v>
      </c>
      <c r="C1771" s="4">
        <v>1605</v>
      </c>
      <c r="D1771" s="4">
        <v>7541775</v>
      </c>
    </row>
    <row r="1772" spans="1:4" x14ac:dyDescent="0.25">
      <c r="A1772" t="str">
        <f>T("   831000")</f>
        <v xml:space="preserve">   831000</v>
      </c>
      <c r="B1772" t="str">
        <f>T("   PLAQUES INDICATRICES, PLAQUESENSEIGNES, PLAQUESADRESSES ET PLAQUES SIMILAIRES, CHIFFR")</f>
        <v xml:space="preserve">   PLAQUES INDICATRICES, PLAQUESENSEIGNES, PLAQUESADRESSES ET PLAQUES SIMILAIRES, CHIFFR</v>
      </c>
      <c r="C1772" s="4">
        <v>234</v>
      </c>
      <c r="D1772" s="4">
        <v>5252378</v>
      </c>
    </row>
    <row r="1773" spans="1:4" x14ac:dyDescent="0.25">
      <c r="A1773" t="str">
        <f>T("   831110")</f>
        <v xml:space="preserve">   831110</v>
      </c>
      <c r="B1773" t="str">
        <f>T("   ELECTRODES ENROBEES POUR LE SOUDAGE A L'ARC, EN METAUX COMMUNS")</f>
        <v xml:space="preserve">   ELECTRODES ENROBEES POUR LE SOUDAGE A L'ARC, EN METAUX COMMUNS</v>
      </c>
      <c r="C1773" s="4">
        <v>4096</v>
      </c>
      <c r="D1773" s="4">
        <v>2831539</v>
      </c>
    </row>
    <row r="1774" spans="1:4" x14ac:dyDescent="0.25">
      <c r="A1774" t="str">
        <f>T("   840999")</f>
        <v xml:space="preserve">   840999</v>
      </c>
      <c r="B1774" t="str">
        <f>T("   AUTRES")</f>
        <v xml:space="preserve">   AUTRES</v>
      </c>
      <c r="C1774" s="4">
        <v>31</v>
      </c>
      <c r="D1774" s="4">
        <v>1049536</v>
      </c>
    </row>
    <row r="1775" spans="1:4" x14ac:dyDescent="0.25">
      <c r="A1775" t="str">
        <f>T("   841210")</f>
        <v xml:space="preserve">   841210</v>
      </c>
      <c r="B1775" t="str">
        <f>T("   Propulseurs a reaction autres que les turboreacteurs")</f>
        <v xml:space="preserve">   Propulseurs a reaction autres que les turboreacteurs</v>
      </c>
      <c r="C1775" s="4">
        <v>3680</v>
      </c>
      <c r="D1775" s="4">
        <v>17629790</v>
      </c>
    </row>
    <row r="1776" spans="1:4" x14ac:dyDescent="0.25">
      <c r="A1776" t="str">
        <f>T("   841319")</f>
        <v xml:space="preserve">   841319</v>
      </c>
      <c r="B1776" t="str">
        <f>T("   AUTRES")</f>
        <v xml:space="preserve">   AUTRES</v>
      </c>
      <c r="C1776" s="4">
        <v>8</v>
      </c>
      <c r="D1776" s="4">
        <v>1515187</v>
      </c>
    </row>
    <row r="1777" spans="1:4" x14ac:dyDescent="0.25">
      <c r="A1777" t="str">
        <f>T("   841490")</f>
        <v xml:space="preserve">   841490</v>
      </c>
      <c r="B1777" t="str">
        <f>T("   PARTIES")</f>
        <v xml:space="preserve">   PARTIES</v>
      </c>
      <c r="C1777" s="4">
        <v>160</v>
      </c>
      <c r="D1777" s="4">
        <v>767631</v>
      </c>
    </row>
    <row r="1778" spans="1:4" x14ac:dyDescent="0.25">
      <c r="A1778" t="str">
        <f>T("   842139")</f>
        <v xml:space="preserve">   842139</v>
      </c>
      <c r="B1778" t="str">
        <f>T("   AUTRES")</f>
        <v xml:space="preserve">   AUTRES</v>
      </c>
      <c r="C1778" s="4">
        <v>4</v>
      </c>
      <c r="D1778" s="4">
        <v>1489663</v>
      </c>
    </row>
    <row r="1779" spans="1:4" x14ac:dyDescent="0.25">
      <c r="A1779" t="str">
        <f>T("   842199")</f>
        <v xml:space="preserve">   842199</v>
      </c>
      <c r="B1779" t="str">
        <f>T("   AUTRES")</f>
        <v xml:space="preserve">   AUTRES</v>
      </c>
      <c r="C1779" s="4">
        <v>23</v>
      </c>
      <c r="D1779" s="4">
        <v>1831954</v>
      </c>
    </row>
    <row r="1780" spans="1:4" x14ac:dyDescent="0.25">
      <c r="A1780" t="str">
        <f>T("   842290")</f>
        <v xml:space="preserve">   842290</v>
      </c>
      <c r="B1780" t="str">
        <f>T("   PARTIES")</f>
        <v xml:space="preserve">   PARTIES</v>
      </c>
      <c r="C1780" s="4">
        <v>7</v>
      </c>
      <c r="D1780" s="4">
        <v>518555</v>
      </c>
    </row>
    <row r="1781" spans="1:4" x14ac:dyDescent="0.25">
      <c r="A1781" t="str">
        <f>T("   843143")</f>
        <v xml:space="preserve">   843143</v>
      </c>
      <c r="B1781" t="str">
        <f>T("   PARTIES DE MACHINES DE SONDAGE OU DE FORAGE DES N°S 8430.41 OU 8430.49")</f>
        <v xml:space="preserve">   PARTIES DE MACHINES DE SONDAGE OU DE FORAGE DES N°S 8430.41 OU 8430.49</v>
      </c>
      <c r="C1781" s="4">
        <v>10130</v>
      </c>
      <c r="D1781" s="4">
        <v>68197781</v>
      </c>
    </row>
    <row r="1782" spans="1:4" x14ac:dyDescent="0.25">
      <c r="A1782" t="str">
        <f>T("   844319")</f>
        <v xml:space="preserve">   844319</v>
      </c>
      <c r="B1782" t="str">
        <f>T("   AUTRES")</f>
        <v xml:space="preserve">   AUTRES</v>
      </c>
      <c r="C1782" s="4">
        <v>70</v>
      </c>
      <c r="D1782" s="4">
        <v>7369331</v>
      </c>
    </row>
    <row r="1783" spans="1:4" x14ac:dyDescent="0.25">
      <c r="A1783" t="str">
        <f>T("   844350")</f>
        <v xml:space="preserve">   844350</v>
      </c>
      <c r="B1783" t="str">
        <f>T("   Autres machines et appareils a imprimer")</f>
        <v xml:space="preserve">   Autres machines et appareils a imprimer</v>
      </c>
      <c r="C1783" s="4">
        <v>200</v>
      </c>
      <c r="D1783" s="4">
        <v>7968097</v>
      </c>
    </row>
    <row r="1784" spans="1:4" x14ac:dyDescent="0.25">
      <c r="A1784" t="str">
        <f>T("   845180")</f>
        <v xml:space="preserve">   845180</v>
      </c>
      <c r="B1784" t="str">
        <f>T("   AUTRES MACHINES ET APPAREILS")</f>
        <v xml:space="preserve">   AUTRES MACHINES ET APPAREILS</v>
      </c>
      <c r="C1784" s="4">
        <v>152</v>
      </c>
      <c r="D1784" s="4">
        <v>1984816</v>
      </c>
    </row>
    <row r="1785" spans="1:4" x14ac:dyDescent="0.25">
      <c r="A1785" t="str">
        <f>T("   846249")</f>
        <v xml:space="preserve">   846249</v>
      </c>
      <c r="B1785" t="str">
        <f>T("   AUTRES")</f>
        <v xml:space="preserve">   AUTRES</v>
      </c>
      <c r="C1785" s="4">
        <v>800</v>
      </c>
      <c r="D1785" s="4">
        <v>4257234</v>
      </c>
    </row>
    <row r="1786" spans="1:4" x14ac:dyDescent="0.25">
      <c r="A1786" t="str">
        <f>T("   847130")</f>
        <v xml:space="preserve">   847130</v>
      </c>
      <c r="B1786" t="str">
        <f>T("   MACHINES AUTOMATIQUES DE TRAITEMENT DE L'INFORMATION PORTATIVES, D'UN POIDS N'EXCEDAN")</f>
        <v xml:space="preserve">   MACHINES AUTOMATIQUES DE TRAITEMENT DE L'INFORMATION PORTATIVES, D'UN POIDS N'EXCEDAN</v>
      </c>
      <c r="C1786" s="4">
        <v>161</v>
      </c>
      <c r="D1786" s="4">
        <v>9532213</v>
      </c>
    </row>
    <row r="1787" spans="1:4" x14ac:dyDescent="0.25">
      <c r="A1787" t="str">
        <f>T("   847190")</f>
        <v xml:space="preserve">   847190</v>
      </c>
      <c r="B1787" t="str">
        <f>T("   AUTRES")</f>
        <v xml:space="preserve">   AUTRES</v>
      </c>
      <c r="C1787" s="4">
        <v>16</v>
      </c>
      <c r="D1787" s="4">
        <v>2504370</v>
      </c>
    </row>
    <row r="1788" spans="1:4" x14ac:dyDescent="0.25">
      <c r="A1788" t="str">
        <f>T("   847340")</f>
        <v xml:space="preserve">   847340</v>
      </c>
      <c r="B1788" t="str">
        <f>T("   PARTIES ET ACCESSOIRES DES MACHINES DU N° 84.72")</f>
        <v xml:space="preserve">   PARTIES ET ACCESSOIRES DES MACHINES DU N° 84.72</v>
      </c>
      <c r="C1788" s="4">
        <v>88</v>
      </c>
      <c r="D1788" s="4">
        <v>7518000</v>
      </c>
    </row>
    <row r="1789" spans="1:4" x14ac:dyDescent="0.25">
      <c r="A1789" t="str">
        <f>T("   848490")</f>
        <v xml:space="preserve">   848490</v>
      </c>
      <c r="B1789" t="str">
        <f>T("   AUTRES")</f>
        <v xml:space="preserve">   AUTRES</v>
      </c>
      <c r="C1789" s="4">
        <v>26</v>
      </c>
      <c r="D1789" s="4">
        <v>9608088</v>
      </c>
    </row>
    <row r="1790" spans="1:4" x14ac:dyDescent="0.25">
      <c r="A1790" t="str">
        <f>T("   850240")</f>
        <v xml:space="preserve">   850240</v>
      </c>
      <c r="B1790" t="str">
        <f>T("   CONVERTISSEURS ROTATIFS ELECTRIQUES")</f>
        <v xml:space="preserve">   CONVERTISSEURS ROTATIFS ELECTRIQUES</v>
      </c>
      <c r="C1790" s="4">
        <v>35</v>
      </c>
      <c r="D1790" s="4">
        <v>60000</v>
      </c>
    </row>
    <row r="1791" spans="1:4" x14ac:dyDescent="0.25">
      <c r="A1791" t="str">
        <f>T("   850433")</f>
        <v xml:space="preserve">   850433</v>
      </c>
      <c r="B1791" t="str">
        <f>T("   D'UNE PUISSANCE EXCEDANT 16 KVA MAIS N'EXCEDANT PAS 500 KVA")</f>
        <v xml:space="preserve">   D'UNE PUISSANCE EXCEDANT 16 KVA MAIS N'EXCEDANT PAS 500 KVA</v>
      </c>
      <c r="C1791" s="4">
        <v>430</v>
      </c>
      <c r="D1791" s="4">
        <v>1485093</v>
      </c>
    </row>
    <row r="1792" spans="1:4" x14ac:dyDescent="0.25">
      <c r="A1792" t="str">
        <f>T("   850440")</f>
        <v xml:space="preserve">   850440</v>
      </c>
      <c r="B1792" t="str">
        <f>T("   CONVERTISSEURS STATIQUES")</f>
        <v xml:space="preserve">   CONVERTISSEURS STATIQUES</v>
      </c>
      <c r="C1792" s="4">
        <v>210</v>
      </c>
      <c r="D1792" s="4">
        <v>874130</v>
      </c>
    </row>
    <row r="1793" spans="1:4" x14ac:dyDescent="0.25">
      <c r="A1793" t="str">
        <f>T("   850450")</f>
        <v xml:space="preserve">   850450</v>
      </c>
      <c r="B1793" t="str">
        <f>T("   AUTRES BOBINES DE REACTANCE ET AUTRES SELFS")</f>
        <v xml:space="preserve">   AUTRES BOBINES DE REACTANCE ET AUTRES SELFS</v>
      </c>
      <c r="C1793" s="4">
        <v>324</v>
      </c>
      <c r="D1793" s="4">
        <v>3570390</v>
      </c>
    </row>
    <row r="1794" spans="1:4" x14ac:dyDescent="0.25">
      <c r="A1794" t="str">
        <f>T("   850780")</f>
        <v xml:space="preserve">   850780</v>
      </c>
      <c r="B1794" t="str">
        <f>T("   AUTRES ACCUMULATEURS")</f>
        <v xml:space="preserve">   AUTRES ACCUMULATEURS</v>
      </c>
      <c r="C1794" s="4">
        <v>24540</v>
      </c>
      <c r="D1794" s="4">
        <v>78271426</v>
      </c>
    </row>
    <row r="1795" spans="1:4" x14ac:dyDescent="0.25">
      <c r="A1795" t="str">
        <f>T("   851762")</f>
        <v xml:space="preserve">   851762</v>
      </c>
      <c r="B1795" t="str">
        <f>T("   APPAREILS POUR LA RECEPTION, LA CONVERSION ET L'EMISSION, LA TRANSMISSION OU LA REGE")</f>
        <v xml:space="preserve">   APPAREILS POUR LA RECEPTION, LA CONVERSION ET L'EMISSION, LA TRANSMISSION OU LA REGE</v>
      </c>
      <c r="C1795" s="4">
        <v>48</v>
      </c>
      <c r="D1795" s="4">
        <v>5203013</v>
      </c>
    </row>
    <row r="1796" spans="1:4" x14ac:dyDescent="0.25">
      <c r="A1796" t="str">
        <f>T("   851769")</f>
        <v xml:space="preserve">   851769</v>
      </c>
      <c r="B1796" t="str">
        <f>T("   AUTRES")</f>
        <v xml:space="preserve">   AUTRES</v>
      </c>
      <c r="C1796" s="4">
        <v>1</v>
      </c>
      <c r="D1796" s="4">
        <v>278279</v>
      </c>
    </row>
    <row r="1797" spans="1:4" x14ac:dyDescent="0.25">
      <c r="A1797" t="str">
        <f>T("   851770")</f>
        <v xml:space="preserve">   851770</v>
      </c>
      <c r="B1797" t="str">
        <f>T("   PARTIES")</f>
        <v xml:space="preserve">   PARTIES</v>
      </c>
      <c r="C1797" s="4">
        <v>41</v>
      </c>
      <c r="D1797" s="4">
        <v>3379500</v>
      </c>
    </row>
    <row r="1798" spans="1:4" x14ac:dyDescent="0.25">
      <c r="A1798" t="str">
        <f>T("   852321")</f>
        <v xml:space="preserve">   852321</v>
      </c>
      <c r="B1798" t="str">
        <f>T("   CARTES MUNIES D'UNE PISTE MAGNETIQUE")</f>
        <v xml:space="preserve">   CARTES MUNIES D'UNE PISTE MAGNETIQUE</v>
      </c>
      <c r="C1798" s="4">
        <v>6</v>
      </c>
      <c r="D1798" s="4">
        <v>529041</v>
      </c>
    </row>
    <row r="1799" spans="1:4" x14ac:dyDescent="0.25">
      <c r="A1799" t="str">
        <f>T("   852550")</f>
        <v xml:space="preserve">   852550</v>
      </c>
      <c r="B1799" t="str">
        <f>T("   APPAREILS D'EMISSION")</f>
        <v xml:space="preserve">   APPAREILS D'EMISSION</v>
      </c>
      <c r="C1799" s="4">
        <v>577</v>
      </c>
      <c r="D1799" s="4">
        <v>2762880</v>
      </c>
    </row>
    <row r="1800" spans="1:4" x14ac:dyDescent="0.25">
      <c r="A1800" t="str">
        <f>T("   852910")</f>
        <v xml:space="preserve">   852910</v>
      </c>
      <c r="B1800" t="str">
        <f>T("   ANTENNES ET REFLECTEURS D’ANTENNES DE TOUS TYPES; PARTIES RECONNAISSABLES COMME ETANT")</f>
        <v xml:space="preserve">   ANTENNES ET REFLECTEURS D’ANTENNES DE TOUS TYPES; PARTIES RECONNAISSABLES COMME ETANT</v>
      </c>
      <c r="C1800" s="4">
        <v>6</v>
      </c>
      <c r="D1800" s="4">
        <v>356150</v>
      </c>
    </row>
    <row r="1801" spans="1:4" x14ac:dyDescent="0.25">
      <c r="A1801" t="str">
        <f>T("   853530")</f>
        <v xml:space="preserve">   853530</v>
      </c>
      <c r="B1801" t="str">
        <f>T("   SECTIONNEURS ET INTERRUPTEURS")</f>
        <v xml:space="preserve">   SECTIONNEURS ET INTERRUPTEURS</v>
      </c>
      <c r="C1801" s="4">
        <v>29</v>
      </c>
      <c r="D1801" s="4">
        <v>6800470</v>
      </c>
    </row>
    <row r="1802" spans="1:4" x14ac:dyDescent="0.25">
      <c r="A1802" t="str">
        <f>T("   853669")</f>
        <v xml:space="preserve">   853669</v>
      </c>
      <c r="B1802" t="str">
        <f>T("   AUTRES")</f>
        <v xml:space="preserve">   AUTRES</v>
      </c>
      <c r="C1802" s="4">
        <v>755</v>
      </c>
      <c r="D1802" s="4">
        <v>5461523</v>
      </c>
    </row>
    <row r="1803" spans="1:4" x14ac:dyDescent="0.25">
      <c r="A1803" t="str">
        <f>T("   854140")</f>
        <v xml:space="preserve">   854140</v>
      </c>
      <c r="B1803" t="str">
        <f>T("   DISPOSITIFS PHOTOSENSIBLES A SEMICONDUCTEUR, Y COMPRIS LES CELLULES PHOTOVOLTAIQUES")</f>
        <v xml:space="preserve">   DISPOSITIFS PHOTOSENSIBLES A SEMICONDUCTEUR, Y COMPRIS LES CELLULES PHOTOVOLTAIQUES</v>
      </c>
      <c r="C1803" s="4">
        <v>8</v>
      </c>
      <c r="D1803" s="4">
        <v>375586</v>
      </c>
    </row>
    <row r="1804" spans="1:4" x14ac:dyDescent="0.25">
      <c r="A1804" t="str">
        <f>T("   854239")</f>
        <v xml:space="preserve">   854239</v>
      </c>
      <c r="B1804" t="str">
        <f>T("   AUTRES")</f>
        <v xml:space="preserve">   AUTRES</v>
      </c>
      <c r="C1804" s="4">
        <v>0.3</v>
      </c>
      <c r="D1804" s="4">
        <v>50000</v>
      </c>
    </row>
    <row r="1805" spans="1:4" x14ac:dyDescent="0.25">
      <c r="A1805" t="str">
        <f>T("   854449")</f>
        <v xml:space="preserve">   854449</v>
      </c>
      <c r="B1805" t="str">
        <f>T("   AUTRES")</f>
        <v xml:space="preserve">   AUTRES</v>
      </c>
      <c r="C1805" s="4">
        <v>9896</v>
      </c>
      <c r="D1805" s="4">
        <v>33429917</v>
      </c>
    </row>
    <row r="1806" spans="1:4" x14ac:dyDescent="0.25">
      <c r="A1806" t="str">
        <f>T("   854790")</f>
        <v xml:space="preserve">   854790</v>
      </c>
      <c r="B1806" t="str">
        <f>T("   AUTRES")</f>
        <v xml:space="preserve">   AUTRES</v>
      </c>
      <c r="C1806" s="4">
        <v>1000</v>
      </c>
      <c r="D1806" s="4">
        <v>2952030</v>
      </c>
    </row>
    <row r="1807" spans="1:4" x14ac:dyDescent="0.25">
      <c r="A1807" t="str">
        <f>T("   870323")</f>
        <v xml:space="preserve">   870323</v>
      </c>
      <c r="B1807" t="str">
        <f>T("   D’UNE CYLINDREE EXCEDANT 1.500 CM³ MAIS N’EXCEDANT PAS 3.000 CM³")</f>
        <v xml:space="preserve">   D’UNE CYLINDREE EXCEDANT 1.500 CM³ MAIS N’EXCEDANT PAS 3.000 CM³</v>
      </c>
      <c r="C1807" s="4">
        <v>1375</v>
      </c>
      <c r="D1807" s="4">
        <v>9277757</v>
      </c>
    </row>
    <row r="1808" spans="1:4" x14ac:dyDescent="0.25">
      <c r="A1808" t="str">
        <f>T("   870324")</f>
        <v xml:space="preserve">   870324</v>
      </c>
      <c r="B1808" t="str">
        <f>T("   D’UNE CYLINDREE EXCEDANT 3.000 CM³")</f>
        <v xml:space="preserve">   D’UNE CYLINDREE EXCEDANT 3.000 CM³</v>
      </c>
      <c r="C1808" s="4">
        <v>2285</v>
      </c>
      <c r="D1808" s="4">
        <v>12224450</v>
      </c>
    </row>
    <row r="1809" spans="1:4" x14ac:dyDescent="0.25">
      <c r="A1809" t="str">
        <f>T("   870332")</f>
        <v xml:space="preserve">   870332</v>
      </c>
      <c r="B1809" t="str">
        <f>T("   D'UNE CYLINDREE EXCEDANT 1.500 CM³ MAIS N'EXCEDANT PAS 2.500 CM³")</f>
        <v xml:space="preserve">   D'UNE CYLINDREE EXCEDANT 1.500 CM³ MAIS N'EXCEDANT PAS 2.500 CM³</v>
      </c>
      <c r="C1809" s="4">
        <v>1500</v>
      </c>
      <c r="D1809" s="4">
        <v>5318727</v>
      </c>
    </row>
    <row r="1810" spans="1:4" x14ac:dyDescent="0.25">
      <c r="A1810" t="str">
        <f>T("   870333")</f>
        <v xml:space="preserve">   870333</v>
      </c>
      <c r="B1810" t="str">
        <f>T("   D'UNE CYLINDREE EXCEDANT 2.500 CM³")</f>
        <v xml:space="preserve">   D'UNE CYLINDREE EXCEDANT 2.500 CM³</v>
      </c>
      <c r="C1810" s="4">
        <v>1100</v>
      </c>
      <c r="D1810" s="4">
        <v>1200000</v>
      </c>
    </row>
    <row r="1811" spans="1:4" x14ac:dyDescent="0.25">
      <c r="A1811" t="str">
        <f>T("   870490")</f>
        <v xml:space="preserve">   870490</v>
      </c>
      <c r="B1811" t="str">
        <f>T("   AUTRES")</f>
        <v xml:space="preserve">   AUTRES</v>
      </c>
      <c r="C1811" s="4">
        <v>3100</v>
      </c>
      <c r="D1811" s="4">
        <v>2400000</v>
      </c>
    </row>
    <row r="1812" spans="1:4" x14ac:dyDescent="0.25">
      <c r="A1812" t="str">
        <f>T("   871130")</f>
        <v xml:space="preserve">   871130</v>
      </c>
      <c r="B1812" t="str">
        <f>T("   A MOTEUR A PISTON ALTERNATIF, D'UNE CYLINDREE EXCEDANT 250 CM³ MAIS N'EXCEDANT PAS 50")</f>
        <v xml:space="preserve">   A MOTEUR A PISTON ALTERNATIF, D'UNE CYLINDREE EXCEDANT 250 CM³ MAIS N'EXCEDANT PAS 50</v>
      </c>
      <c r="C1812" s="4">
        <v>200</v>
      </c>
      <c r="D1812" s="4">
        <v>500000</v>
      </c>
    </row>
    <row r="1813" spans="1:4" x14ac:dyDescent="0.25">
      <c r="A1813" t="str">
        <f>T("   871631")</f>
        <v xml:space="preserve">   871631</v>
      </c>
      <c r="B1813" t="str">
        <f>T("   CITERNES")</f>
        <v xml:space="preserve">   CITERNES</v>
      </c>
      <c r="C1813" s="4">
        <v>28000</v>
      </c>
      <c r="D1813" s="4">
        <v>9516828</v>
      </c>
    </row>
    <row r="1814" spans="1:4" x14ac:dyDescent="0.25">
      <c r="A1814" t="str">
        <f>T("   871680")</f>
        <v xml:space="preserve">   871680</v>
      </c>
      <c r="B1814" t="str">
        <f>T("   AUTRES VEHICULES")</f>
        <v xml:space="preserve">   AUTRES VEHICULES</v>
      </c>
      <c r="C1814" s="4">
        <v>78304</v>
      </c>
      <c r="D1814" s="4">
        <v>56501417</v>
      </c>
    </row>
    <row r="1815" spans="1:4" x14ac:dyDescent="0.25">
      <c r="A1815" t="str">
        <f>T("   902680")</f>
        <v xml:space="preserve">   902680</v>
      </c>
      <c r="B1815" t="str">
        <f>T("   AUTRES INSTRUMENTS ET APPAREILS")</f>
        <v xml:space="preserve">   AUTRES INSTRUMENTS ET APPAREILS</v>
      </c>
      <c r="C1815" s="4">
        <v>81.430000000000007</v>
      </c>
      <c r="D1815" s="4">
        <v>93350</v>
      </c>
    </row>
    <row r="1816" spans="1:4" x14ac:dyDescent="0.25">
      <c r="A1816" t="str">
        <f>T("   902790")</f>
        <v xml:space="preserve">   902790</v>
      </c>
      <c r="B1816" t="str">
        <f>T("   MICROTOMES; PARTIES ET ACCESSOIRES")</f>
        <v xml:space="preserve">   MICROTOMES; PARTIES ET ACCESSOIRES</v>
      </c>
      <c r="C1816" s="4">
        <v>65</v>
      </c>
      <c r="D1816" s="4">
        <v>11064366</v>
      </c>
    </row>
    <row r="1817" spans="1:4" x14ac:dyDescent="0.25">
      <c r="A1817" t="str">
        <f>T("   920999")</f>
        <v xml:space="preserve">   920999</v>
      </c>
      <c r="B1817" t="str">
        <f>T("   AUTRES")</f>
        <v xml:space="preserve">   AUTRES</v>
      </c>
      <c r="C1817" s="4">
        <v>5000</v>
      </c>
      <c r="D1817" s="4">
        <v>15354501</v>
      </c>
    </row>
    <row r="1818" spans="1:4" x14ac:dyDescent="0.25">
      <c r="A1818" t="str">
        <f>T("   940180")</f>
        <v xml:space="preserve">   940180</v>
      </c>
      <c r="B1818" t="str">
        <f>T("   AUTRES SIEGES")</f>
        <v xml:space="preserve">   AUTRES SIEGES</v>
      </c>
      <c r="C1818" s="4">
        <v>1540</v>
      </c>
      <c r="D1818" s="4">
        <v>317800</v>
      </c>
    </row>
    <row r="1819" spans="1:4" x14ac:dyDescent="0.25">
      <c r="A1819" t="str">
        <f>T("   940350")</f>
        <v xml:space="preserve">   940350</v>
      </c>
      <c r="B1819" t="str">
        <f>T("   MEUBLES EN BOIS DES TYPES UTILISES DANS LES CHAMBRES A COUCHER")</f>
        <v xml:space="preserve">   MEUBLES EN BOIS DES TYPES UTILISES DANS LES CHAMBRES A COUCHER</v>
      </c>
      <c r="C1819" s="4">
        <v>11920</v>
      </c>
      <c r="D1819" s="4">
        <v>4800000</v>
      </c>
    </row>
    <row r="1820" spans="1:4" x14ac:dyDescent="0.25">
      <c r="A1820" t="str">
        <f>T("   940360")</f>
        <v xml:space="preserve">   940360</v>
      </c>
      <c r="B1820" t="str">
        <f>T("   Autres meubles en bois")</f>
        <v xml:space="preserve">   Autres meubles en bois</v>
      </c>
      <c r="C1820" s="4">
        <v>9570</v>
      </c>
      <c r="D1820" s="4">
        <v>3768300</v>
      </c>
    </row>
    <row r="1821" spans="1:4" x14ac:dyDescent="0.25">
      <c r="A1821" t="str">
        <f>T("   940389")</f>
        <v xml:space="preserve">   940389</v>
      </c>
      <c r="B1821" t="str">
        <f>T("   AUTRES")</f>
        <v xml:space="preserve">   AUTRES</v>
      </c>
      <c r="C1821" s="4">
        <v>5000</v>
      </c>
      <c r="D1821" s="4">
        <v>3000000</v>
      </c>
    </row>
    <row r="1822" spans="1:4" x14ac:dyDescent="0.25">
      <c r="A1822" t="str">
        <f>T("   950590")</f>
        <v xml:space="preserve">   950590</v>
      </c>
      <c r="B1822" t="str">
        <f>T("   AUTRES")</f>
        <v xml:space="preserve">   AUTRES</v>
      </c>
      <c r="C1822" s="4">
        <v>1298</v>
      </c>
      <c r="D1822" s="4">
        <v>28762500</v>
      </c>
    </row>
    <row r="1823" spans="1:4" x14ac:dyDescent="0.25">
      <c r="A1823" t="str">
        <f>T("   960810")</f>
        <v xml:space="preserve">   960810</v>
      </c>
      <c r="B1823" t="str">
        <f>T("   STYLOS ET CRAYONS A BILLE")</f>
        <v xml:space="preserve">   STYLOS ET CRAYONS A BILLE</v>
      </c>
      <c r="C1823" s="4">
        <v>45</v>
      </c>
      <c r="D1823" s="4">
        <v>80000</v>
      </c>
    </row>
    <row r="1824" spans="1:4" x14ac:dyDescent="0.25">
      <c r="A1824" t="str">
        <f>T("   960899")</f>
        <v xml:space="preserve">   960899</v>
      </c>
      <c r="B1824" t="str">
        <f>T("   AUTRES")</f>
        <v xml:space="preserve">   AUTRES</v>
      </c>
      <c r="C1824" s="4">
        <v>21</v>
      </c>
      <c r="D1824" s="4">
        <v>969475</v>
      </c>
    </row>
    <row r="1825" spans="1:4" x14ac:dyDescent="0.25">
      <c r="A1825" t="str">
        <f>T("   961210")</f>
        <v xml:space="preserve">   961210</v>
      </c>
      <c r="B1825" t="str">
        <f>T("   Rubans encreurs")</f>
        <v xml:space="preserve">   Rubans encreurs</v>
      </c>
      <c r="C1825" s="4">
        <v>3</v>
      </c>
      <c r="D1825" s="4">
        <v>3963803</v>
      </c>
    </row>
    <row r="1826" spans="1:4" s="5" customFormat="1" x14ac:dyDescent="0.25">
      <c r="A1826" s="5" t="str">
        <f>T("   ZZ_Total_Produit_SH6")</f>
        <v xml:space="preserve">   ZZ_Total_Produit_SH6</v>
      </c>
      <c r="B1826" s="5" t="str">
        <f>T("   ZZ_Total_Produit_SH6")</f>
        <v xml:space="preserve">   ZZ_Total_Produit_SH6</v>
      </c>
      <c r="C1826" s="1">
        <v>11379879.73</v>
      </c>
      <c r="D1826" s="1">
        <v>14018923243.990999</v>
      </c>
    </row>
    <row r="1827" spans="1:4" s="5" customFormat="1" x14ac:dyDescent="0.25">
      <c r="B1827" s="5" t="str">
        <f>T("Cook, îles")</f>
        <v>Cook, îles</v>
      </c>
      <c r="C1827" s="1"/>
      <c r="D1827" s="1"/>
    </row>
    <row r="1828" spans="1:4" x14ac:dyDescent="0.25">
      <c r="A1828" t="str">
        <f>T("   321590")</f>
        <v xml:space="preserve">   321590</v>
      </c>
      <c r="B1828" t="str">
        <f>T("   AUTRES")</f>
        <v xml:space="preserve">   AUTRES</v>
      </c>
      <c r="C1828" s="4">
        <v>13</v>
      </c>
      <c r="D1828" s="4">
        <v>314861</v>
      </c>
    </row>
    <row r="1829" spans="1:4" x14ac:dyDescent="0.25">
      <c r="A1829" t="str">
        <f>T("   850220")</f>
        <v xml:space="preserve">   850220</v>
      </c>
      <c r="B1829" t="str">
        <f>T("   GROUPES ELECTROGENES A MOTEUR A PISTON A ALLUMAGE PAR ETINCELLES (MOTEURS A EXPLOSION")</f>
        <v xml:space="preserve">   GROUPES ELECTROGENES A MOTEUR A PISTON A ALLUMAGE PAR ETINCELLES (MOTEURS A EXPLOSION</v>
      </c>
      <c r="C1829" s="4">
        <v>400</v>
      </c>
      <c r="D1829" s="4">
        <v>215000</v>
      </c>
    </row>
    <row r="1830" spans="1:4" s="5" customFormat="1" x14ac:dyDescent="0.25">
      <c r="A1830" s="5" t="str">
        <f>T("   ZZ_Total_Produit_SH6")</f>
        <v xml:space="preserve">   ZZ_Total_Produit_SH6</v>
      </c>
      <c r="B1830" s="5" t="str">
        <f>T("   ZZ_Total_Produit_SH6")</f>
        <v xml:space="preserve">   ZZ_Total_Produit_SH6</v>
      </c>
      <c r="C1830" s="1">
        <v>413</v>
      </c>
      <c r="D1830" s="1">
        <v>529861</v>
      </c>
    </row>
    <row r="1831" spans="1:4" s="5" customFormat="1" x14ac:dyDescent="0.25">
      <c r="B1831" s="5" t="str">
        <f>T("Chili")</f>
        <v>Chili</v>
      </c>
      <c r="C1831" s="1"/>
      <c r="D1831" s="1"/>
    </row>
    <row r="1832" spans="1:4" x14ac:dyDescent="0.25">
      <c r="A1832" t="str">
        <f>T("   020727")</f>
        <v xml:space="preserve">   020727</v>
      </c>
      <c r="B1832" t="str">
        <f>T("   MORCEAUX ET ABATS, CONGELES")</f>
        <v xml:space="preserve">   MORCEAUX ET ABATS, CONGELES</v>
      </c>
      <c r="C1832" s="4">
        <v>446000</v>
      </c>
      <c r="D1832" s="4">
        <v>276790752</v>
      </c>
    </row>
    <row r="1833" spans="1:4" x14ac:dyDescent="0.25">
      <c r="A1833" t="str">
        <f>T("   080610")</f>
        <v xml:space="preserve">   080610</v>
      </c>
      <c r="B1833" t="str">
        <f>T("   FRAIS")</f>
        <v xml:space="preserve">   FRAIS</v>
      </c>
      <c r="C1833" s="4">
        <v>102480</v>
      </c>
      <c r="D1833" s="4">
        <v>16208768</v>
      </c>
    </row>
    <row r="1834" spans="1:4" x14ac:dyDescent="0.25">
      <c r="A1834" t="str">
        <f>T("   160239")</f>
        <v xml:space="preserve">   160239</v>
      </c>
      <c r="B1834" t="str">
        <f>T("   AUTRES")</f>
        <v xml:space="preserve">   AUTRES</v>
      </c>
      <c r="C1834" s="4">
        <v>18025</v>
      </c>
      <c r="D1834" s="4">
        <v>8301475</v>
      </c>
    </row>
    <row r="1835" spans="1:4" s="5" customFormat="1" x14ac:dyDescent="0.25">
      <c r="A1835" s="5" t="str">
        <f>T("   ZZ_Total_Produit_SH6")</f>
        <v xml:space="preserve">   ZZ_Total_Produit_SH6</v>
      </c>
      <c r="B1835" s="5" t="str">
        <f>T("   ZZ_Total_Produit_SH6")</f>
        <v xml:space="preserve">   ZZ_Total_Produit_SH6</v>
      </c>
      <c r="C1835" s="1">
        <v>566505</v>
      </c>
      <c r="D1835" s="1">
        <v>301300995</v>
      </c>
    </row>
    <row r="1836" spans="1:4" s="5" customFormat="1" x14ac:dyDescent="0.25">
      <c r="B1836" s="5" t="str">
        <f>T("Cameroun")</f>
        <v>Cameroun</v>
      </c>
      <c r="C1836" s="1"/>
      <c r="D1836" s="1"/>
    </row>
    <row r="1837" spans="1:4" x14ac:dyDescent="0.25">
      <c r="A1837" t="str">
        <f>T("   210610")</f>
        <v xml:space="preserve">   210610</v>
      </c>
      <c r="B1837" t="str">
        <f>T("   CONCENTRATS DE PROTEINES ET SUBSTANCES PROTEIQUES TEXTUREES")</f>
        <v xml:space="preserve">   CONCENTRATS DE PROTEINES ET SUBSTANCES PROTEIQUES TEXTUREES</v>
      </c>
      <c r="C1837" s="4">
        <v>8.5</v>
      </c>
      <c r="D1837" s="4">
        <v>105000</v>
      </c>
    </row>
    <row r="1838" spans="1:4" x14ac:dyDescent="0.25">
      <c r="A1838" t="str">
        <f>T("   210690")</f>
        <v xml:space="preserve">   210690</v>
      </c>
      <c r="B1838" t="str">
        <f t="shared" ref="B1838:B1844" si="0">T("   AUTRES")</f>
        <v xml:space="preserve">   AUTRES</v>
      </c>
      <c r="C1838" s="4">
        <v>18</v>
      </c>
      <c r="D1838" s="4">
        <v>216000</v>
      </c>
    </row>
    <row r="1839" spans="1:4" x14ac:dyDescent="0.25">
      <c r="A1839" t="str">
        <f>T("   271019")</f>
        <v xml:space="preserve">   271019</v>
      </c>
      <c r="B1839" t="str">
        <f t="shared" si="0"/>
        <v xml:space="preserve">   AUTRES</v>
      </c>
      <c r="C1839" s="4">
        <v>2642505</v>
      </c>
      <c r="D1839" s="4">
        <v>932932825</v>
      </c>
    </row>
    <row r="1840" spans="1:4" x14ac:dyDescent="0.25">
      <c r="A1840" t="str">
        <f>T("   330119")</f>
        <v xml:space="preserve">   330119</v>
      </c>
      <c r="B1840" t="str">
        <f t="shared" si="0"/>
        <v xml:space="preserve">   AUTRES</v>
      </c>
      <c r="C1840" s="4">
        <v>153</v>
      </c>
      <c r="D1840" s="4">
        <v>130000</v>
      </c>
    </row>
    <row r="1841" spans="1:4" x14ac:dyDescent="0.25">
      <c r="A1841" t="str">
        <f>T("   330129")</f>
        <v xml:space="preserve">   330129</v>
      </c>
      <c r="B1841" t="str">
        <f t="shared" si="0"/>
        <v xml:space="preserve">   AUTRES</v>
      </c>
      <c r="C1841" s="4">
        <v>135</v>
      </c>
      <c r="D1841" s="4">
        <v>100000</v>
      </c>
    </row>
    <row r="1842" spans="1:4" x14ac:dyDescent="0.25">
      <c r="A1842" t="str">
        <f>T("   330290")</f>
        <v xml:space="preserve">   330290</v>
      </c>
      <c r="B1842" t="str">
        <f t="shared" si="0"/>
        <v xml:space="preserve">   AUTRES</v>
      </c>
      <c r="C1842" s="4">
        <v>625</v>
      </c>
      <c r="D1842" s="4">
        <v>329394</v>
      </c>
    </row>
    <row r="1843" spans="1:4" x14ac:dyDescent="0.25">
      <c r="A1843" t="str">
        <f>T("   330499")</f>
        <v xml:space="preserve">   330499</v>
      </c>
      <c r="B1843" t="str">
        <f t="shared" si="0"/>
        <v xml:space="preserve">   AUTRES</v>
      </c>
      <c r="C1843" s="4">
        <v>84673</v>
      </c>
      <c r="D1843" s="4">
        <v>21439961</v>
      </c>
    </row>
    <row r="1844" spans="1:4" x14ac:dyDescent="0.25">
      <c r="A1844" t="str">
        <f>T("   340119")</f>
        <v xml:space="preserve">   340119</v>
      </c>
      <c r="B1844" t="str">
        <f t="shared" si="0"/>
        <v xml:space="preserve">   AUTRES</v>
      </c>
      <c r="C1844" s="4">
        <v>23864</v>
      </c>
      <c r="D1844" s="4">
        <v>9369406</v>
      </c>
    </row>
    <row r="1845" spans="1:4" x14ac:dyDescent="0.25">
      <c r="A1845" t="str">
        <f>T("   370110")</f>
        <v xml:space="preserve">   370110</v>
      </c>
      <c r="B1845" t="str">
        <f>T("   POUR RAYONS X")</f>
        <v xml:space="preserve">   POUR RAYONS X</v>
      </c>
      <c r="C1845" s="4">
        <v>165</v>
      </c>
      <c r="D1845" s="4">
        <v>161000</v>
      </c>
    </row>
    <row r="1846" spans="1:4" x14ac:dyDescent="0.25">
      <c r="A1846" t="str">
        <f>T("   440690")</f>
        <v xml:space="preserve">   440690</v>
      </c>
      <c r="B1846" t="str">
        <f>T("   AUTRES")</f>
        <v xml:space="preserve">   AUTRES</v>
      </c>
      <c r="C1846" s="4">
        <v>240000</v>
      </c>
      <c r="D1846" s="4">
        <v>840000</v>
      </c>
    </row>
    <row r="1847" spans="1:4" x14ac:dyDescent="0.25">
      <c r="A1847" t="str">
        <f>T("   481690")</f>
        <v xml:space="preserve">   481690</v>
      </c>
      <c r="B1847" t="str">
        <f>T("   AUTRES")</f>
        <v xml:space="preserve">   AUTRES</v>
      </c>
      <c r="C1847" s="4">
        <v>63</v>
      </c>
      <c r="D1847" s="4">
        <v>505000</v>
      </c>
    </row>
    <row r="1848" spans="1:4" x14ac:dyDescent="0.25">
      <c r="A1848" t="str">
        <f>T("   481840")</f>
        <v xml:space="preserve">   481840</v>
      </c>
      <c r="B1848" t="str">
        <f>T("   SERVIETTES,TAMPONS HYGIENIQUES,COUCHES POUR BEBES ET SIMILAIRES EN PAPIER")</f>
        <v xml:space="preserve">   SERVIETTES,TAMPONS HYGIENIQUES,COUCHES POUR BEBES ET SIMILAIRES EN PAPIER</v>
      </c>
      <c r="C1848" s="4">
        <v>3700</v>
      </c>
      <c r="D1848" s="4">
        <v>3553000</v>
      </c>
    </row>
    <row r="1849" spans="1:4" x14ac:dyDescent="0.25">
      <c r="A1849" t="str">
        <f>T("   490199")</f>
        <v xml:space="preserve">   490199</v>
      </c>
      <c r="B1849" t="str">
        <f>T("   AUTRES")</f>
        <v xml:space="preserve">   AUTRES</v>
      </c>
      <c r="C1849" s="4">
        <v>75</v>
      </c>
      <c r="D1849" s="4">
        <v>1217350</v>
      </c>
    </row>
    <row r="1850" spans="1:4" x14ac:dyDescent="0.25">
      <c r="A1850" t="str">
        <f>T("   491000")</f>
        <v xml:space="preserve">   491000</v>
      </c>
      <c r="B1850" t="str">
        <f>T("   CALENDRIERS DE TOUS GENRES, IMPRIMES, Y COMPRIS LES BLOCS DE CALENDRIERS A EFFEUILLER.")</f>
        <v xml:space="preserve">   CALENDRIERS DE TOUS GENRES, IMPRIMES, Y COMPRIS LES BLOCS DE CALENDRIERS A EFFEUILLER.</v>
      </c>
      <c r="C1850" s="4">
        <v>225</v>
      </c>
      <c r="D1850" s="4">
        <v>266400</v>
      </c>
    </row>
    <row r="1851" spans="1:4" x14ac:dyDescent="0.25">
      <c r="A1851" t="str">
        <f>T("   491110")</f>
        <v xml:space="preserve">   491110</v>
      </c>
      <c r="B1851" t="str">
        <f>T("   IMPRIMES PUBLICITAIRES, CATALOGUES COMMERCIAUX ET SIMILAIRES")</f>
        <v xml:space="preserve">   IMPRIMES PUBLICITAIRES, CATALOGUES COMMERCIAUX ET SIMILAIRES</v>
      </c>
      <c r="C1851" s="4">
        <v>335</v>
      </c>
      <c r="D1851" s="4">
        <v>271110</v>
      </c>
    </row>
    <row r="1852" spans="1:4" x14ac:dyDescent="0.25">
      <c r="A1852" t="str">
        <f>T("   620590")</f>
        <v xml:space="preserve">   620590</v>
      </c>
      <c r="B1852" t="str">
        <f>T("   D'AUTRES MATIERES TEXTILES")</f>
        <v xml:space="preserve">   D'AUTRES MATIERES TEXTILES</v>
      </c>
      <c r="C1852" s="4">
        <v>897</v>
      </c>
      <c r="D1852" s="4">
        <v>1409000</v>
      </c>
    </row>
    <row r="1853" spans="1:4" x14ac:dyDescent="0.25">
      <c r="A1853" t="str">
        <f>T("   621040")</f>
        <v xml:space="preserve">   621040</v>
      </c>
      <c r="B1853" t="str">
        <f>T("   AUTRES VETEMENTS POUR HOMMES OU GARCONNETS")</f>
        <v xml:space="preserve">   AUTRES VETEMENTS POUR HOMMES OU GARCONNETS</v>
      </c>
      <c r="C1853" s="4">
        <v>531</v>
      </c>
      <c r="D1853" s="4">
        <v>747755</v>
      </c>
    </row>
    <row r="1854" spans="1:4" x14ac:dyDescent="0.25">
      <c r="A1854" t="str">
        <f>T("   701090")</f>
        <v xml:space="preserve">   701090</v>
      </c>
      <c r="B1854" t="str">
        <f>T("   AUTRES")</f>
        <v xml:space="preserve">   AUTRES</v>
      </c>
      <c r="C1854" s="4">
        <v>650724</v>
      </c>
      <c r="D1854" s="4">
        <v>325206598</v>
      </c>
    </row>
    <row r="1855" spans="1:4" x14ac:dyDescent="0.25">
      <c r="A1855" t="str">
        <f>T("   732394")</f>
        <v xml:space="preserve">   732394</v>
      </c>
      <c r="B1855" t="str">
        <f>T("   EN FER OU EN ACIER, EMAILLES")</f>
        <v xml:space="preserve">   EN FER OU EN ACIER, EMAILLES</v>
      </c>
      <c r="C1855" s="4">
        <v>300</v>
      </c>
      <c r="D1855" s="4">
        <v>400000</v>
      </c>
    </row>
    <row r="1856" spans="1:4" x14ac:dyDescent="0.25">
      <c r="A1856" t="str">
        <f>T("   732399")</f>
        <v xml:space="preserve">   732399</v>
      </c>
      <c r="B1856" t="str">
        <f>T("   AUTRES")</f>
        <v xml:space="preserve">   AUTRES</v>
      </c>
      <c r="C1856" s="4">
        <v>400</v>
      </c>
      <c r="D1856" s="4">
        <v>1000000</v>
      </c>
    </row>
    <row r="1857" spans="1:4" x14ac:dyDescent="0.25">
      <c r="A1857" t="str">
        <f>T("   732599")</f>
        <v xml:space="preserve">   732599</v>
      </c>
      <c r="B1857" t="str">
        <f>T("   AUTRES")</f>
        <v xml:space="preserve">   AUTRES</v>
      </c>
      <c r="C1857" s="4">
        <v>40</v>
      </c>
      <c r="D1857" s="4">
        <v>40000</v>
      </c>
    </row>
    <row r="1858" spans="1:4" x14ac:dyDescent="0.25">
      <c r="A1858" t="str">
        <f>T("   760611")</f>
        <v xml:space="preserve">   760611</v>
      </c>
      <c r="B1858" t="str">
        <f>T("   EN ALUMINIUM NON ALLIE")</f>
        <v xml:space="preserve">   EN ALUMINIUM NON ALLIE</v>
      </c>
      <c r="C1858" s="4">
        <v>135358</v>
      </c>
      <c r="D1858" s="4">
        <v>165299551</v>
      </c>
    </row>
    <row r="1859" spans="1:4" x14ac:dyDescent="0.25">
      <c r="A1859" t="str">
        <f>T("   842920")</f>
        <v xml:space="preserve">   842920</v>
      </c>
      <c r="B1859" t="str">
        <f>T("   NIVELEUSES")</f>
        <v xml:space="preserve">   NIVELEUSES</v>
      </c>
      <c r="C1859" s="4">
        <v>34720</v>
      </c>
      <c r="D1859" s="4">
        <v>52835611</v>
      </c>
    </row>
    <row r="1860" spans="1:4" x14ac:dyDescent="0.25">
      <c r="A1860" t="str">
        <f>T("   842951")</f>
        <v xml:space="preserve">   842951</v>
      </c>
      <c r="B1860" t="str">
        <f>T("   CHARGEUSES ET CHARGEUSESPELLETEUSES A CHARGEMENT FRONTAL")</f>
        <v xml:space="preserve">   CHARGEUSES ET CHARGEUSESPELLETEUSES A CHARGEMENT FRONTAL</v>
      </c>
      <c r="C1860" s="4">
        <v>18060</v>
      </c>
      <c r="D1860" s="4">
        <v>6442183</v>
      </c>
    </row>
    <row r="1861" spans="1:4" x14ac:dyDescent="0.25">
      <c r="A1861" t="str">
        <f>T("   851762")</f>
        <v xml:space="preserve">   851762</v>
      </c>
      <c r="B1861" t="str">
        <f>T("   APPAREILS POUR LA RECEPTION, LA CONVERSION ET L'EMISSION, LA TRANSMISSION OU LA REGE")</f>
        <v xml:space="preserve">   APPAREILS POUR LA RECEPTION, LA CONVERSION ET L'EMISSION, LA TRANSMISSION OU LA REGE</v>
      </c>
      <c r="C1861" s="4">
        <v>14</v>
      </c>
      <c r="D1861" s="4">
        <v>1000637</v>
      </c>
    </row>
    <row r="1862" spans="1:4" x14ac:dyDescent="0.25">
      <c r="A1862" t="str">
        <f>T("   870323")</f>
        <v xml:space="preserve">   870323</v>
      </c>
      <c r="B1862" t="str">
        <f>T("   D’UNE CYLINDREE EXCEDANT 1.500 CM³ MAIS N’EXCEDANT PAS 3.000 CM³")</f>
        <v xml:space="preserve">   D’UNE CYLINDREE EXCEDANT 1.500 CM³ MAIS N’EXCEDANT PAS 3.000 CM³</v>
      </c>
      <c r="C1862" s="4">
        <v>1500</v>
      </c>
      <c r="D1862" s="4">
        <v>2673123</v>
      </c>
    </row>
    <row r="1863" spans="1:4" x14ac:dyDescent="0.25">
      <c r="A1863" t="str">
        <f>T("   901831")</f>
        <v xml:space="preserve">   901831</v>
      </c>
      <c r="B1863" t="str">
        <f>T("   SERINGUES, AVEC OU SANS AIGUILLES")</f>
        <v xml:space="preserve">   SERINGUES, AVEC OU SANS AIGUILLES</v>
      </c>
      <c r="C1863" s="4">
        <v>49</v>
      </c>
      <c r="D1863" s="4">
        <v>30000</v>
      </c>
    </row>
    <row r="1864" spans="1:4" x14ac:dyDescent="0.25">
      <c r="A1864" t="str">
        <f>T("   940350")</f>
        <v xml:space="preserve">   940350</v>
      </c>
      <c r="B1864" t="str">
        <f>T("   MEUBLES EN BOIS DES TYPES UTILISES DANS LES CHAMBRES A COUCHER")</f>
        <v xml:space="preserve">   MEUBLES EN BOIS DES TYPES UTILISES DANS LES CHAMBRES A COUCHER</v>
      </c>
      <c r="C1864" s="4">
        <v>1200</v>
      </c>
      <c r="D1864" s="4">
        <v>1700000</v>
      </c>
    </row>
    <row r="1865" spans="1:4" x14ac:dyDescent="0.25">
      <c r="A1865" t="str">
        <f>T("   940360")</f>
        <v xml:space="preserve">   940360</v>
      </c>
      <c r="B1865" t="str">
        <f>T("   Autres meubles en bois")</f>
        <v xml:space="preserve">   Autres meubles en bois</v>
      </c>
      <c r="C1865" s="4">
        <v>1500</v>
      </c>
      <c r="D1865" s="4">
        <v>2000000</v>
      </c>
    </row>
    <row r="1866" spans="1:4" x14ac:dyDescent="0.25">
      <c r="A1866" t="str">
        <f>T("   970300")</f>
        <v xml:space="preserve">   970300</v>
      </c>
      <c r="B1866" t="str">
        <f>T("   PRODUCTIONS ORIGINALES DE L'ART STATUAIRE OU DE LA SCULPTURE, EN TOUTES MATIERES.")</f>
        <v xml:space="preserve">   PRODUCTIONS ORIGINALES DE L'ART STATUAIRE OU DE LA SCULPTURE, EN TOUTES MATIERES.</v>
      </c>
      <c r="C1866" s="4">
        <v>644</v>
      </c>
      <c r="D1866" s="4">
        <v>906519</v>
      </c>
    </row>
    <row r="1867" spans="1:4" s="5" customFormat="1" x14ac:dyDescent="0.25">
      <c r="A1867" s="5" t="str">
        <f>T("   ZZ_Total_Produit_SH6")</f>
        <v xml:space="preserve">   ZZ_Total_Produit_SH6</v>
      </c>
      <c r="B1867" s="5" t="str">
        <f>T("   ZZ_Total_Produit_SH6")</f>
        <v xml:space="preserve">   ZZ_Total_Produit_SH6</v>
      </c>
      <c r="C1867" s="1">
        <v>3842481.5</v>
      </c>
      <c r="D1867" s="1">
        <v>1533127423</v>
      </c>
    </row>
    <row r="1868" spans="1:4" s="5" customFormat="1" x14ac:dyDescent="0.25">
      <c r="B1868" s="5" t="str">
        <f>T("Chine")</f>
        <v>Chine</v>
      </c>
      <c r="C1868" s="1"/>
      <c r="D1868" s="1"/>
    </row>
    <row r="1869" spans="1:4" x14ac:dyDescent="0.25">
      <c r="A1869" t="str">
        <f>T("   020714")</f>
        <v xml:space="preserve">   020714</v>
      </c>
      <c r="B1869" t="str">
        <f>T("   MORCEAUX ET ABATS, CONGELES")</f>
        <v xml:space="preserve">   MORCEAUX ET ABATS, CONGELES</v>
      </c>
      <c r="C1869" s="4">
        <v>52000</v>
      </c>
      <c r="D1869" s="4">
        <v>31125188</v>
      </c>
    </row>
    <row r="1870" spans="1:4" x14ac:dyDescent="0.25">
      <c r="A1870" t="str">
        <f>T("   020727")</f>
        <v xml:space="preserve">   020727</v>
      </c>
      <c r="B1870" t="str">
        <f>T("   MORCEAUX ET ABATS, CONGELES")</f>
        <v xml:space="preserve">   MORCEAUX ET ABATS, CONGELES</v>
      </c>
      <c r="C1870" s="4">
        <v>52000</v>
      </c>
      <c r="D1870" s="4">
        <v>31100376</v>
      </c>
    </row>
    <row r="1871" spans="1:4" x14ac:dyDescent="0.25">
      <c r="A1871" t="str">
        <f>T("   030219")</f>
        <v xml:space="preserve">   030219</v>
      </c>
      <c r="B1871" t="str">
        <f>T("   AUTRES")</f>
        <v xml:space="preserve">   AUTRES</v>
      </c>
      <c r="C1871" s="4">
        <v>1312140</v>
      </c>
      <c r="D1871" s="4">
        <v>525456000</v>
      </c>
    </row>
    <row r="1872" spans="1:4" x14ac:dyDescent="0.25">
      <c r="A1872" t="str">
        <f>T("   030231")</f>
        <v xml:space="preserve">   030231</v>
      </c>
      <c r="B1872" t="str">
        <f>T("   THONS BLANCS OU GERMONS (THUNNUS ALALUNGA)")</f>
        <v xml:space="preserve">   THONS BLANCS OU GERMONS (THUNNUS ALALUNGA)</v>
      </c>
      <c r="C1872" s="4">
        <v>26750</v>
      </c>
      <c r="D1872" s="4">
        <v>10700000</v>
      </c>
    </row>
    <row r="1873" spans="1:4" x14ac:dyDescent="0.25">
      <c r="A1873" t="str">
        <f>T("   030268")</f>
        <v xml:space="preserve">   030268</v>
      </c>
      <c r="B1873" t="str">
        <f>T("   --LEGINES(DISSOSTICHUS SPP)")</f>
        <v xml:space="preserve">   --LEGINES(DISSOSTICHUS SPP)</v>
      </c>
      <c r="C1873" s="4">
        <v>50000</v>
      </c>
      <c r="D1873" s="4">
        <v>20000000</v>
      </c>
    </row>
    <row r="1874" spans="1:4" x14ac:dyDescent="0.25">
      <c r="A1874" t="str">
        <f>T("   030269")</f>
        <v xml:space="preserve">   030269</v>
      </c>
      <c r="B1874" t="str">
        <f>T("   Autres poissons entiers,frais ou refrigeres.(foies,oeufs laitances exclus)")</f>
        <v xml:space="preserve">   Autres poissons entiers,frais ou refrigeres.(foies,oeufs laitances exclus)</v>
      </c>
      <c r="C1874" s="4">
        <v>825780</v>
      </c>
      <c r="D1874" s="4">
        <v>320562000</v>
      </c>
    </row>
    <row r="1875" spans="1:4" x14ac:dyDescent="0.25">
      <c r="A1875" t="str">
        <f>T("   030319")</f>
        <v xml:space="preserve">   030319</v>
      </c>
      <c r="B1875" t="str">
        <f>T("   AUTRES")</f>
        <v xml:space="preserve">   AUTRES</v>
      </c>
      <c r="C1875" s="4">
        <v>25000</v>
      </c>
      <c r="D1875" s="4">
        <v>10000110</v>
      </c>
    </row>
    <row r="1876" spans="1:4" x14ac:dyDescent="0.25">
      <c r="A1876" t="str">
        <f>T("   030329")</f>
        <v xml:space="preserve">   030329</v>
      </c>
      <c r="B1876" t="str">
        <f>T("   AUTRES")</f>
        <v xml:space="preserve">   AUTRES</v>
      </c>
      <c r="C1876" s="4">
        <v>53350</v>
      </c>
      <c r="D1876" s="4">
        <v>12341710</v>
      </c>
    </row>
    <row r="1877" spans="1:4" x14ac:dyDescent="0.25">
      <c r="A1877" t="str">
        <f>T("   030339")</f>
        <v xml:space="preserve">   030339</v>
      </c>
      <c r="B1877" t="str">
        <f>T("   AUTRES")</f>
        <v xml:space="preserve">   AUTRES</v>
      </c>
      <c r="C1877" s="4">
        <v>25000</v>
      </c>
      <c r="D1877" s="4">
        <v>5625000</v>
      </c>
    </row>
    <row r="1878" spans="1:4" x14ac:dyDescent="0.25">
      <c r="A1878" t="str">
        <f>T("   030379")</f>
        <v xml:space="preserve">   030379</v>
      </c>
      <c r="B1878" t="str">
        <f>T("   AUTRES POISSONS ENTIERS CONGELES.(FOIES,OEUFS,LAITANCES EXCLUS)")</f>
        <v xml:space="preserve">   AUTRES POISSONS ENTIERS CONGELES.(FOIES,OEUFS,LAITANCES EXCLUS)</v>
      </c>
      <c r="C1878" s="4">
        <v>1563735</v>
      </c>
      <c r="D1878" s="4">
        <v>577336391</v>
      </c>
    </row>
    <row r="1879" spans="1:4" x14ac:dyDescent="0.25">
      <c r="A1879" t="str">
        <f>T("   040291")</f>
        <v xml:space="preserve">   040291</v>
      </c>
      <c r="B1879" t="str">
        <f>T("   SANS ADDITION DE SUCRE OU D'AUTRES EDULCORANTS")</f>
        <v xml:space="preserve">   SANS ADDITION DE SUCRE OU D'AUTRES EDULCORANTS</v>
      </c>
      <c r="C1879" s="4">
        <v>12520</v>
      </c>
      <c r="D1879" s="4">
        <v>9252000</v>
      </c>
    </row>
    <row r="1880" spans="1:4" x14ac:dyDescent="0.25">
      <c r="A1880" t="str">
        <f>T("   040299")</f>
        <v xml:space="preserve">   040299</v>
      </c>
      <c r="B1880" t="str">
        <f>T("   AUTRES")</f>
        <v xml:space="preserve">   AUTRES</v>
      </c>
      <c r="C1880" s="4">
        <v>66200</v>
      </c>
      <c r="D1880" s="4">
        <v>18550179</v>
      </c>
    </row>
    <row r="1881" spans="1:4" x14ac:dyDescent="0.25">
      <c r="A1881" t="str">
        <f>T("   040310")</f>
        <v xml:space="preserve">   040310</v>
      </c>
      <c r="B1881" t="str">
        <f>T("   YOGHOURT")</f>
        <v xml:space="preserve">   YOGHOURT</v>
      </c>
      <c r="C1881" s="4">
        <v>66200</v>
      </c>
      <c r="D1881" s="4">
        <v>21849000</v>
      </c>
    </row>
    <row r="1882" spans="1:4" x14ac:dyDescent="0.25">
      <c r="A1882" t="str">
        <f>T("   040390")</f>
        <v xml:space="preserve">   040390</v>
      </c>
      <c r="B1882" t="str">
        <f>T("   AUTRES")</f>
        <v xml:space="preserve">   AUTRES</v>
      </c>
      <c r="C1882" s="4">
        <v>75800</v>
      </c>
      <c r="D1882" s="4">
        <v>20407000</v>
      </c>
    </row>
    <row r="1883" spans="1:4" x14ac:dyDescent="0.25">
      <c r="A1883" t="str">
        <f>T("   070320")</f>
        <v xml:space="preserve">   070320</v>
      </c>
      <c r="B1883" t="str">
        <f>T("   AULX")</f>
        <v xml:space="preserve">   AULX</v>
      </c>
      <c r="C1883" s="4">
        <v>849980</v>
      </c>
      <c r="D1883" s="4">
        <v>129641140</v>
      </c>
    </row>
    <row r="1884" spans="1:4" x14ac:dyDescent="0.25">
      <c r="A1884" t="str">
        <f>T("   070959")</f>
        <v xml:space="preserve">   070959</v>
      </c>
      <c r="B1884" t="str">
        <f>T("   AUTRES")</f>
        <v xml:space="preserve">   AUTRES</v>
      </c>
      <c r="C1884" s="4">
        <v>5860</v>
      </c>
      <c r="D1884" s="4">
        <v>1265686</v>
      </c>
    </row>
    <row r="1885" spans="1:4" x14ac:dyDescent="0.25">
      <c r="A1885" t="str">
        <f>T("   071010")</f>
        <v xml:space="preserve">   071010</v>
      </c>
      <c r="B1885" t="str">
        <f>T("   POMMES DE TERRE")</f>
        <v xml:space="preserve">   POMMES DE TERRE</v>
      </c>
      <c r="C1885" s="4">
        <v>53800</v>
      </c>
      <c r="D1885" s="4">
        <v>8492714</v>
      </c>
    </row>
    <row r="1886" spans="1:4" x14ac:dyDescent="0.25">
      <c r="A1886" t="str">
        <f>T("   071220")</f>
        <v xml:space="preserve">   071220</v>
      </c>
      <c r="B1886" t="str">
        <f>T("   OIGNONS")</f>
        <v xml:space="preserve">   OIGNONS</v>
      </c>
      <c r="C1886" s="4">
        <v>28000</v>
      </c>
      <c r="D1886" s="4">
        <v>4260993</v>
      </c>
    </row>
    <row r="1887" spans="1:4" x14ac:dyDescent="0.25">
      <c r="A1887" t="str">
        <f>T("   080410")</f>
        <v xml:space="preserve">   080410</v>
      </c>
      <c r="B1887" t="str">
        <f>T("   DATTES")</f>
        <v xml:space="preserve">   DATTES</v>
      </c>
      <c r="C1887" s="4">
        <v>18504</v>
      </c>
      <c r="D1887" s="4">
        <v>5903640</v>
      </c>
    </row>
    <row r="1888" spans="1:4" x14ac:dyDescent="0.25">
      <c r="A1888" t="str">
        <f>T("   090111")</f>
        <v xml:space="preserve">   090111</v>
      </c>
      <c r="B1888" t="str">
        <f>T("   NON DECAFEINE")</f>
        <v xml:space="preserve">   NON DECAFEINE</v>
      </c>
      <c r="C1888" s="4">
        <v>7620</v>
      </c>
      <c r="D1888" s="4">
        <v>7551500</v>
      </c>
    </row>
    <row r="1889" spans="1:4" x14ac:dyDescent="0.25">
      <c r="A1889" t="str">
        <f>T("   090210")</f>
        <v xml:space="preserve">   090210</v>
      </c>
      <c r="B1889" t="str">
        <f>T("   THE VERT (NON FERMENTE) PRESENTE EN EMBALLAGES IMMEDIATS D'UN CONTENU N'EXCEDANT PAS")</f>
        <v xml:space="preserve">   THE VERT (NON FERMENTE) PRESENTE EN EMBALLAGES IMMEDIATS D'UN CONTENU N'EXCEDANT PAS</v>
      </c>
      <c r="C1889" s="4">
        <v>33000</v>
      </c>
      <c r="D1889" s="4">
        <v>12202000</v>
      </c>
    </row>
    <row r="1890" spans="1:4" x14ac:dyDescent="0.25">
      <c r="A1890" t="str">
        <f>T("   090220")</f>
        <v xml:space="preserve">   090220</v>
      </c>
      <c r="B1890" t="str">
        <f>T("   THE VERT (NON FERMENTE) PRESENTE AUTREMENT")</f>
        <v xml:space="preserve">   THE VERT (NON FERMENTE) PRESENTE AUTREMENT</v>
      </c>
      <c r="C1890" s="4">
        <v>70651.5</v>
      </c>
      <c r="D1890" s="4">
        <v>26705104</v>
      </c>
    </row>
    <row r="1891" spans="1:4" x14ac:dyDescent="0.25">
      <c r="A1891" t="str">
        <f>T("   090230")</f>
        <v xml:space="preserve">   090230</v>
      </c>
      <c r="B1891" t="str">
        <f>T("   THE NOIR (FERMENTE) ET THE PARTIELLEMENT FERMENTE, PRESENTES EN EMBALLAGES IMMEDIATS")</f>
        <v xml:space="preserve">   THE NOIR (FERMENTE) ET THE PARTIELLEMENT FERMENTE, PRESENTES EN EMBALLAGES IMMEDIATS</v>
      </c>
      <c r="C1891" s="4">
        <v>34867</v>
      </c>
      <c r="D1891" s="4">
        <v>14595743</v>
      </c>
    </row>
    <row r="1892" spans="1:4" x14ac:dyDescent="0.25">
      <c r="A1892" t="str">
        <f>T("   090240")</f>
        <v xml:space="preserve">   090240</v>
      </c>
      <c r="B1892" t="str">
        <f>T("   THE NOIR (FERMENTE) ET THE PARTIELLEMENT FERMENTE, PRESENTES AUTREMENT")</f>
        <v xml:space="preserve">   THE NOIR (FERMENTE) ET THE PARTIELLEMENT FERMENTE, PRESENTES AUTREMENT</v>
      </c>
      <c r="C1892" s="4">
        <v>16500</v>
      </c>
      <c r="D1892" s="4">
        <v>11330000</v>
      </c>
    </row>
    <row r="1893" spans="1:4" x14ac:dyDescent="0.25">
      <c r="A1893" t="str">
        <f>T("   091099")</f>
        <v xml:space="preserve">   091099</v>
      </c>
      <c r="B1893" t="str">
        <f>T("   AUTRES")</f>
        <v xml:space="preserve">   AUTRES</v>
      </c>
      <c r="C1893" s="4">
        <v>28000</v>
      </c>
      <c r="D1893" s="4">
        <v>1512697</v>
      </c>
    </row>
    <row r="1894" spans="1:4" x14ac:dyDescent="0.25">
      <c r="A1894" t="str">
        <f>T("   100630")</f>
        <v xml:space="preserve">   100630</v>
      </c>
      <c r="B1894" t="str">
        <f>T("   RIZ SEMIBLANCHI OU BLANCHI, MEME POLI OU GLACE")</f>
        <v xml:space="preserve">   RIZ SEMIBLANCHI OU BLANCHI, MEME POLI OU GLACE</v>
      </c>
      <c r="C1894" s="4">
        <v>1041165</v>
      </c>
      <c r="D1894" s="4">
        <v>193910200</v>
      </c>
    </row>
    <row r="1895" spans="1:4" x14ac:dyDescent="0.25">
      <c r="A1895" t="str">
        <f>T("   100640")</f>
        <v xml:space="preserve">   100640</v>
      </c>
      <c r="B1895" t="str">
        <f>T("   RIZ EN BRISURES")</f>
        <v xml:space="preserve">   RIZ EN BRISURES</v>
      </c>
      <c r="C1895" s="4">
        <v>2078062</v>
      </c>
      <c r="D1895" s="4">
        <v>760554777.25600004</v>
      </c>
    </row>
    <row r="1896" spans="1:4" x14ac:dyDescent="0.25">
      <c r="A1896" t="str">
        <f>T("   110100")</f>
        <v xml:space="preserve">   110100</v>
      </c>
      <c r="B1896" t="str">
        <f>T("   FARINES DE FROMENT (BLE) OU DE METEIL.")</f>
        <v xml:space="preserve">   FARINES DE FROMENT (BLE) OU DE METEIL.</v>
      </c>
      <c r="C1896" s="4">
        <v>240000</v>
      </c>
      <c r="D1896" s="4">
        <v>64026581.586000003</v>
      </c>
    </row>
    <row r="1897" spans="1:4" x14ac:dyDescent="0.25">
      <c r="A1897" t="str">
        <f>T("   110311")</f>
        <v xml:space="preserve">   110311</v>
      </c>
      <c r="B1897" t="str">
        <f>T("   DE FROMENT (BLE)")</f>
        <v xml:space="preserve">   DE FROMENT (BLE)</v>
      </c>
      <c r="C1897" s="4">
        <v>173000</v>
      </c>
      <c r="D1897" s="4">
        <v>16153198</v>
      </c>
    </row>
    <row r="1898" spans="1:4" x14ac:dyDescent="0.25">
      <c r="A1898" t="str">
        <f>T("   120720")</f>
        <v xml:space="preserve">   120720</v>
      </c>
      <c r="B1898" t="str">
        <f>T("   GRAINES DE COTON,MEME CONCASSEES")</f>
        <v xml:space="preserve">   GRAINES DE COTON,MEME CONCASSEES</v>
      </c>
      <c r="C1898" s="4">
        <v>18500</v>
      </c>
      <c r="D1898" s="4">
        <v>21494171</v>
      </c>
    </row>
    <row r="1899" spans="1:4" x14ac:dyDescent="0.25">
      <c r="A1899" t="str">
        <f>T("   120810")</f>
        <v xml:space="preserve">   120810</v>
      </c>
      <c r="B1899" t="str">
        <f>T("   DE FEVES DE SOJA")</f>
        <v xml:space="preserve">   DE FEVES DE SOJA</v>
      </c>
      <c r="C1899" s="4">
        <v>400</v>
      </c>
      <c r="D1899" s="4">
        <v>236501</v>
      </c>
    </row>
    <row r="1900" spans="1:4" x14ac:dyDescent="0.25">
      <c r="A1900" t="str">
        <f>T("   150990")</f>
        <v xml:space="preserve">   150990</v>
      </c>
      <c r="B1900" t="str">
        <f>T("   AUTRES")</f>
        <v xml:space="preserve">   AUTRES</v>
      </c>
      <c r="C1900" s="4">
        <v>49410</v>
      </c>
      <c r="D1900" s="4">
        <v>11000000</v>
      </c>
    </row>
    <row r="1901" spans="1:4" x14ac:dyDescent="0.25">
      <c r="A1901" t="str">
        <f>T("   151620")</f>
        <v xml:space="preserve">   151620</v>
      </c>
      <c r="B1901" t="str">
        <f>T("   GRAISSES ET HUILES VEGETALES ET LEURS FRACTIONS")</f>
        <v xml:space="preserve">   GRAISSES ET HUILES VEGETALES ET LEURS FRACTIONS</v>
      </c>
      <c r="C1901" s="4">
        <v>523870</v>
      </c>
      <c r="D1901" s="4">
        <v>61132518</v>
      </c>
    </row>
    <row r="1902" spans="1:4" x14ac:dyDescent="0.25">
      <c r="A1902" t="str">
        <f>T("   151800")</f>
        <v xml:space="preserve">   151800</v>
      </c>
      <c r="B1902" t="str">
        <f>T("   GRAISSES ET HUILES ANIMALES OU VEGETALES ET LEURS FRACTIONS, CUITES, OXYDEES, DESHYDRAT")</f>
        <v xml:space="preserve">   GRAISSES ET HUILES ANIMALES OU VEGETALES ET LEURS FRACTIONS, CUITES, OXYDEES, DESHYDRAT</v>
      </c>
      <c r="C1902" s="4">
        <v>16750</v>
      </c>
      <c r="D1902" s="4">
        <v>68711027</v>
      </c>
    </row>
    <row r="1903" spans="1:4" x14ac:dyDescent="0.25">
      <c r="A1903" t="str">
        <f>T("   160100")</f>
        <v xml:space="preserve">   160100</v>
      </c>
      <c r="B1903" t="str">
        <f>T("   SAUCISSES, SAUCISSONS ET PRODUITS SIMILAIRES, DE VIANDE, D'ABATS OU DE SANG; PREPARATIO")</f>
        <v xml:space="preserve">   SAUCISSES, SAUCISSONS ET PRODUITS SIMILAIRES, DE VIANDE, D'ABATS OU DE SANG; PREPARATIO</v>
      </c>
      <c r="C1903" s="4">
        <v>42540</v>
      </c>
      <c r="D1903" s="4">
        <v>6099599</v>
      </c>
    </row>
    <row r="1904" spans="1:4" x14ac:dyDescent="0.25">
      <c r="A1904" t="str">
        <f>T("   160413")</f>
        <v xml:space="preserve">   160413</v>
      </c>
      <c r="B1904" t="str">
        <f>T("   SARDINES, SARDINELLES ET SPRATS OU ESPROTS")</f>
        <v xml:space="preserve">   SARDINES, SARDINELLES ET SPRATS OU ESPROTS</v>
      </c>
      <c r="C1904" s="4">
        <v>89499</v>
      </c>
      <c r="D1904" s="4">
        <v>28351980</v>
      </c>
    </row>
    <row r="1905" spans="1:4" x14ac:dyDescent="0.25">
      <c r="A1905" t="str">
        <f>T("   160420")</f>
        <v xml:space="preserve">   160420</v>
      </c>
      <c r="B1905" t="str">
        <f>T("   Autres preparations et conserves de poissons")</f>
        <v xml:space="preserve">   Autres preparations et conserves de poissons</v>
      </c>
      <c r="C1905" s="4">
        <v>111</v>
      </c>
      <c r="D1905" s="4">
        <v>109537</v>
      </c>
    </row>
    <row r="1906" spans="1:4" x14ac:dyDescent="0.25">
      <c r="A1906" t="str">
        <f>T("   170199")</f>
        <v xml:space="preserve">   170199</v>
      </c>
      <c r="B1906" t="str">
        <f>T("   AUTRES")</f>
        <v xml:space="preserve">   AUTRES</v>
      </c>
      <c r="C1906" s="4">
        <v>54200</v>
      </c>
      <c r="D1906" s="4">
        <v>22356596.063999999</v>
      </c>
    </row>
    <row r="1907" spans="1:4" x14ac:dyDescent="0.25">
      <c r="A1907" t="str">
        <f>T("   170390")</f>
        <v xml:space="preserve">   170390</v>
      </c>
      <c r="B1907" t="str">
        <f>T("   AUTRES")</f>
        <v xml:space="preserve">   AUTRES</v>
      </c>
      <c r="C1907" s="4">
        <v>72220</v>
      </c>
      <c r="D1907" s="4">
        <v>28573618</v>
      </c>
    </row>
    <row r="1908" spans="1:4" x14ac:dyDescent="0.25">
      <c r="A1908" t="str">
        <f>T("   170410")</f>
        <v xml:space="preserve">   170410</v>
      </c>
      <c r="B1908" t="str">
        <f>T("   GOMMES A MACHER (CHEWINGGUM), MEME ENROBEES DE SUCRE")</f>
        <v xml:space="preserve">   GOMMES A MACHER (CHEWINGGUM), MEME ENROBEES DE SUCRE</v>
      </c>
      <c r="C1908" s="4">
        <v>601121</v>
      </c>
      <c r="D1908" s="4">
        <v>111524674</v>
      </c>
    </row>
    <row r="1909" spans="1:4" x14ac:dyDescent="0.25">
      <c r="A1909" t="str">
        <f>T("   170490")</f>
        <v xml:space="preserve">   170490</v>
      </c>
      <c r="B1909" t="str">
        <f>T("   AUTRES")</f>
        <v xml:space="preserve">   AUTRES</v>
      </c>
      <c r="C1909" s="4">
        <v>4354001</v>
      </c>
      <c r="D1909" s="4">
        <v>1044002081</v>
      </c>
    </row>
    <row r="1910" spans="1:4" x14ac:dyDescent="0.25">
      <c r="A1910" t="str">
        <f>T("   180610")</f>
        <v xml:space="preserve">   180610</v>
      </c>
      <c r="B1910" t="str">
        <f>T("   POUDRE DE CACAO, AVEC ADDITION DE SUCRE OU D'AUTRES EDULCORANTS")</f>
        <v xml:space="preserve">   POUDRE DE CACAO, AVEC ADDITION DE SUCRE OU D'AUTRES EDULCORANTS</v>
      </c>
      <c r="C1910" s="4">
        <v>42005</v>
      </c>
      <c r="D1910" s="4">
        <v>15061000</v>
      </c>
    </row>
    <row r="1911" spans="1:4" x14ac:dyDescent="0.25">
      <c r="A1911" t="str">
        <f>T("   180620")</f>
        <v xml:space="preserve">   180620</v>
      </c>
      <c r="B1911" t="str">
        <f>T("   AUTRES PREPARATIONS PRESENTEES SOIT EN BLOCS OU EN BARRES D'UN POIDS EXCEDANT 2 KG, S")</f>
        <v xml:space="preserve">   AUTRES PREPARATIONS PRESENTEES SOIT EN BLOCS OU EN BARRES D'UN POIDS EXCEDANT 2 KG, S</v>
      </c>
      <c r="C1911" s="4">
        <v>16800</v>
      </c>
      <c r="D1911" s="4">
        <v>1800000</v>
      </c>
    </row>
    <row r="1912" spans="1:4" x14ac:dyDescent="0.25">
      <c r="A1912" t="str">
        <f>T("   180632")</f>
        <v xml:space="preserve">   180632</v>
      </c>
      <c r="B1912" t="str">
        <f>T("   NON FOURRES")</f>
        <v xml:space="preserve">   NON FOURRES</v>
      </c>
      <c r="C1912" s="4">
        <v>325</v>
      </c>
      <c r="D1912" s="4">
        <v>75000</v>
      </c>
    </row>
    <row r="1913" spans="1:4" x14ac:dyDescent="0.25">
      <c r="A1913" t="str">
        <f>T("   180690")</f>
        <v xml:space="preserve">   180690</v>
      </c>
      <c r="B1913" t="str">
        <f>T("   AUTRES")</f>
        <v xml:space="preserve">   AUTRES</v>
      </c>
      <c r="C1913" s="4">
        <v>94269</v>
      </c>
      <c r="D1913" s="4">
        <v>22679859</v>
      </c>
    </row>
    <row r="1914" spans="1:4" x14ac:dyDescent="0.25">
      <c r="A1914" t="str">
        <f>T("   190110")</f>
        <v xml:space="preserve">   190110</v>
      </c>
      <c r="B1914" t="str">
        <f>T("   PREPARATIONS POUR L'ALIMENTATION DES ENFANTS, CONDITIONNEES POUR LA VENTE AU DETAIL")</f>
        <v xml:space="preserve">   PREPARATIONS POUR L'ALIMENTATION DES ENFANTS, CONDITIONNEES POUR LA VENTE AU DETAIL</v>
      </c>
      <c r="C1914" s="4">
        <v>78098</v>
      </c>
      <c r="D1914" s="4">
        <v>17276348</v>
      </c>
    </row>
    <row r="1915" spans="1:4" x14ac:dyDescent="0.25">
      <c r="A1915" t="str">
        <f>T("   190190")</f>
        <v xml:space="preserve">   190190</v>
      </c>
      <c r="B1915" t="str">
        <f>T("   AUTRES")</f>
        <v xml:space="preserve">   AUTRES</v>
      </c>
      <c r="C1915" s="4">
        <v>916898</v>
      </c>
      <c r="D1915" s="4">
        <v>160916706</v>
      </c>
    </row>
    <row r="1916" spans="1:4" x14ac:dyDescent="0.25">
      <c r="A1916" t="str">
        <f>T("   190219")</f>
        <v xml:space="preserve">   190219</v>
      </c>
      <c r="B1916" t="str">
        <f>T("   AUTRES")</f>
        <v xml:space="preserve">   AUTRES</v>
      </c>
      <c r="C1916" s="4">
        <v>83430</v>
      </c>
      <c r="D1916" s="4">
        <v>7768000</v>
      </c>
    </row>
    <row r="1917" spans="1:4" x14ac:dyDescent="0.25">
      <c r="A1917" t="str">
        <f>T("   190230")</f>
        <v xml:space="preserve">   190230</v>
      </c>
      <c r="B1917" t="str">
        <f>T("   AUTRES PATES ALIMENTAIRES")</f>
        <v xml:space="preserve">   AUTRES PATES ALIMENTAIRES</v>
      </c>
      <c r="C1917" s="4">
        <v>924925</v>
      </c>
      <c r="D1917" s="4">
        <v>134055491</v>
      </c>
    </row>
    <row r="1918" spans="1:4" x14ac:dyDescent="0.25">
      <c r="A1918" t="str">
        <f>T("   190240")</f>
        <v xml:space="preserve">   190240</v>
      </c>
      <c r="B1918" t="str">
        <f>T("   COUSCOUS")</f>
        <v xml:space="preserve">   COUSCOUS</v>
      </c>
      <c r="C1918" s="4">
        <v>40422</v>
      </c>
      <c r="D1918" s="4">
        <v>11657000</v>
      </c>
    </row>
    <row r="1919" spans="1:4" x14ac:dyDescent="0.25">
      <c r="A1919" t="str">
        <f>T("   190410")</f>
        <v xml:space="preserve">   190410</v>
      </c>
      <c r="B1919" t="str">
        <f>T("   PRODUITS A BASE DE CEREALES OBTENUS PAR SOUFFLAGE OU GRILLAGE")</f>
        <v xml:space="preserve">   PRODUITS A BASE DE CEREALES OBTENUS PAR SOUFFLAGE OU GRILLAGE</v>
      </c>
      <c r="C1919" s="4">
        <v>970</v>
      </c>
      <c r="D1919" s="4">
        <v>682000</v>
      </c>
    </row>
    <row r="1920" spans="1:4" x14ac:dyDescent="0.25">
      <c r="A1920" t="str">
        <f>T("   190531")</f>
        <v xml:space="preserve">   190531</v>
      </c>
      <c r="B1920" t="str">
        <f>T("   BISCUITS ADDITIONNES D’EDULCORANTS")</f>
        <v xml:space="preserve">   BISCUITS ADDITIONNES D’EDULCORANTS</v>
      </c>
      <c r="C1920" s="4">
        <v>503479</v>
      </c>
      <c r="D1920" s="4">
        <v>126517337</v>
      </c>
    </row>
    <row r="1921" spans="1:4" x14ac:dyDescent="0.25">
      <c r="A1921" t="str">
        <f>T("   190590")</f>
        <v xml:space="preserve">   190590</v>
      </c>
      <c r="B1921" t="str">
        <f>T("   AUTRES")</f>
        <v xml:space="preserve">   AUTRES</v>
      </c>
      <c r="C1921" s="4">
        <v>429503</v>
      </c>
      <c r="D1921" s="4">
        <v>120787350</v>
      </c>
    </row>
    <row r="1922" spans="1:4" x14ac:dyDescent="0.25">
      <c r="A1922" t="str">
        <f>T("   200290")</f>
        <v xml:space="preserve">   200290</v>
      </c>
      <c r="B1922" t="str">
        <f>T("   AUTRES")</f>
        <v xml:space="preserve">   AUTRES</v>
      </c>
      <c r="C1922" s="4">
        <v>12913167</v>
      </c>
      <c r="D1922" s="4">
        <v>2874857507</v>
      </c>
    </row>
    <row r="1923" spans="1:4" x14ac:dyDescent="0.25">
      <c r="A1923" t="str">
        <f>T("   200540")</f>
        <v xml:space="preserve">   200540</v>
      </c>
      <c r="B1923" t="str">
        <f>T("   POIS (PISUM SATIVUM)")</f>
        <v xml:space="preserve">   POIS (PISUM SATIVUM)</v>
      </c>
      <c r="C1923" s="4">
        <v>21900</v>
      </c>
      <c r="D1923" s="4">
        <v>2620500</v>
      </c>
    </row>
    <row r="1924" spans="1:4" x14ac:dyDescent="0.25">
      <c r="A1924" t="str">
        <f>T("   200559")</f>
        <v xml:space="preserve">   200559</v>
      </c>
      <c r="B1924" t="str">
        <f>T("   AUTRES")</f>
        <v xml:space="preserve">   AUTRES</v>
      </c>
      <c r="C1924" s="4">
        <v>45060</v>
      </c>
      <c r="D1924" s="4">
        <v>8644388</v>
      </c>
    </row>
    <row r="1925" spans="1:4" x14ac:dyDescent="0.25">
      <c r="A1925" t="str">
        <f>T("   200580")</f>
        <v xml:space="preserve">   200580</v>
      </c>
      <c r="B1925" t="str">
        <f>T("   MAIS DOUX (ZEA MAYS VAR. SACCHARATA)")</f>
        <v xml:space="preserve">   MAIS DOUX (ZEA MAYS VAR. SACCHARATA)</v>
      </c>
      <c r="C1925" s="4">
        <v>52660</v>
      </c>
      <c r="D1925" s="4">
        <v>8224006</v>
      </c>
    </row>
    <row r="1926" spans="1:4" x14ac:dyDescent="0.25">
      <c r="A1926" t="str">
        <f>T("   200600")</f>
        <v xml:space="preserve">   200600</v>
      </c>
      <c r="B1926" t="str">
        <f>T("   LEGUMES, FRUITS, ECORCES DE FRUITS ET AUTRES PARTIES DE PLANTES, CONFITS AU SUCRE (EGOU")</f>
        <v xml:space="preserve">   LEGUMES, FRUITS, ECORCES DE FRUITS ET AUTRES PARTIES DE PLANTES, CONFITS AU SUCRE (EGOU</v>
      </c>
      <c r="C1926" s="4">
        <v>500</v>
      </c>
      <c r="D1926" s="4">
        <v>187209</v>
      </c>
    </row>
    <row r="1927" spans="1:4" x14ac:dyDescent="0.25">
      <c r="A1927" t="str">
        <f>T("   200980")</f>
        <v xml:space="preserve">   200980</v>
      </c>
      <c r="B1927" t="str">
        <f>T("   AUTRES JUS DE FRUITS OU DE LEGUMES,SANS ALCOOL,SUCRES OU NON")</f>
        <v xml:space="preserve">   AUTRES JUS DE FRUITS OU DE LEGUMES,SANS ALCOOL,SUCRES OU NON</v>
      </c>
      <c r="C1927" s="4">
        <v>125057</v>
      </c>
      <c r="D1927" s="4">
        <v>20731618</v>
      </c>
    </row>
    <row r="1928" spans="1:4" x14ac:dyDescent="0.25">
      <c r="A1928" t="str">
        <f>T("   200990")</f>
        <v xml:space="preserve">   200990</v>
      </c>
      <c r="B1928" t="str">
        <f>T("   MELANGES DE JUS")</f>
        <v xml:space="preserve">   MELANGES DE JUS</v>
      </c>
      <c r="C1928" s="4">
        <v>21657</v>
      </c>
      <c r="D1928" s="4">
        <v>2655483</v>
      </c>
    </row>
    <row r="1929" spans="1:4" x14ac:dyDescent="0.25">
      <c r="A1929" t="str">
        <f>T("   210210")</f>
        <v xml:space="preserve">   210210</v>
      </c>
      <c r="B1929" t="str">
        <f>T("   Levures vivantes")</f>
        <v xml:space="preserve">   Levures vivantes</v>
      </c>
      <c r="C1929" s="4">
        <v>42740</v>
      </c>
      <c r="D1929" s="4">
        <v>7150000</v>
      </c>
    </row>
    <row r="1930" spans="1:4" x14ac:dyDescent="0.25">
      <c r="A1930" t="str">
        <f>T("   210230")</f>
        <v xml:space="preserve">   210230</v>
      </c>
      <c r="B1930" t="str">
        <f>T("   POUDRES A LEVER PREPAREES")</f>
        <v xml:space="preserve">   POUDRES A LEVER PREPAREES</v>
      </c>
      <c r="C1930" s="4">
        <v>46115</v>
      </c>
      <c r="D1930" s="4">
        <v>18668710</v>
      </c>
    </row>
    <row r="1931" spans="1:4" x14ac:dyDescent="0.25">
      <c r="A1931" t="str">
        <f>T("   210320")</f>
        <v xml:space="preserve">   210320</v>
      </c>
      <c r="B1931" t="str">
        <f>T("   «TOMATOKETCHUP» ET AUTRES SAUCES TOMATES")</f>
        <v xml:space="preserve">   «TOMATOKETCHUP» ET AUTRES SAUCES TOMATES</v>
      </c>
      <c r="C1931" s="4">
        <v>975</v>
      </c>
      <c r="D1931" s="4">
        <v>1499946</v>
      </c>
    </row>
    <row r="1932" spans="1:4" x14ac:dyDescent="0.25">
      <c r="A1932" t="str">
        <f>T("   210390")</f>
        <v xml:space="preserve">   210390</v>
      </c>
      <c r="B1932" t="str">
        <f>T("   AUTRES")</f>
        <v xml:space="preserve">   AUTRES</v>
      </c>
      <c r="C1932" s="4">
        <v>1318396.68</v>
      </c>
      <c r="D1932" s="4">
        <v>319795945</v>
      </c>
    </row>
    <row r="1933" spans="1:4" x14ac:dyDescent="0.25">
      <c r="A1933" t="str">
        <f>T("   210410")</f>
        <v xml:space="preserve">   210410</v>
      </c>
      <c r="B1933" t="str">
        <f>T("   PREPARATIONS POUR SOUPES, POTAGES OU BOUILLONS; SOUPES, POTAGES OU BOUILLONS PREPARES")</f>
        <v xml:space="preserve">   PREPARATIONS POUR SOUPES, POTAGES OU BOUILLONS; SOUPES, POTAGES OU BOUILLONS PREPARES</v>
      </c>
      <c r="C1933" s="4">
        <v>4902271</v>
      </c>
      <c r="D1933" s="4">
        <v>1486994071</v>
      </c>
    </row>
    <row r="1934" spans="1:4" x14ac:dyDescent="0.25">
      <c r="A1934" t="str">
        <f>T("   210690")</f>
        <v xml:space="preserve">   210690</v>
      </c>
      <c r="B1934" t="str">
        <f>T("   AUTRES")</f>
        <v xml:space="preserve">   AUTRES</v>
      </c>
      <c r="C1934" s="4">
        <v>64656.23</v>
      </c>
      <c r="D1934" s="4">
        <v>79011990</v>
      </c>
    </row>
    <row r="1935" spans="1:4" x14ac:dyDescent="0.25">
      <c r="A1935" t="str">
        <f>T("   220110")</f>
        <v xml:space="preserve">   220110</v>
      </c>
      <c r="B1935" t="str">
        <f>T("   EAUX MINERALES ET EAUX GAZEIFIEES")</f>
        <v xml:space="preserve">   EAUX MINERALES ET EAUX GAZEIFIEES</v>
      </c>
      <c r="C1935" s="4">
        <v>25991</v>
      </c>
      <c r="D1935" s="4">
        <v>2465649</v>
      </c>
    </row>
    <row r="1936" spans="1:4" x14ac:dyDescent="0.25">
      <c r="A1936" t="str">
        <f>T("   220190")</f>
        <v xml:space="preserve">   220190</v>
      </c>
      <c r="B1936" t="str">
        <f>T("   AUTRES")</f>
        <v xml:space="preserve">   AUTRES</v>
      </c>
      <c r="C1936" s="4">
        <v>21901</v>
      </c>
      <c r="D1936" s="4">
        <v>2161388</v>
      </c>
    </row>
    <row r="1937" spans="1:4" x14ac:dyDescent="0.25">
      <c r="A1937" t="str">
        <f>T("   220210")</f>
        <v xml:space="preserve">   220210</v>
      </c>
      <c r="B1937" t="str">
        <f>T("   EAUX, Y COMPRIS LES EAUX MINERALES ET LES EAUX GAZEIFIEES, ADDITIONNEES DE SUCRE OU D")</f>
        <v xml:space="preserve">   EAUX, Y COMPRIS LES EAUX MINERALES ET LES EAUX GAZEIFIEES, ADDITIONNEES DE SUCRE OU D</v>
      </c>
      <c r="C1937" s="4">
        <v>20073</v>
      </c>
      <c r="D1937" s="4">
        <v>2928366</v>
      </c>
    </row>
    <row r="1938" spans="1:4" x14ac:dyDescent="0.25">
      <c r="A1938" t="str">
        <f>T("   220290")</f>
        <v xml:space="preserve">   220290</v>
      </c>
      <c r="B1938" t="str">
        <f>T("   AUTRES")</f>
        <v xml:space="preserve">   AUTRES</v>
      </c>
      <c r="C1938" s="4">
        <v>476482</v>
      </c>
      <c r="D1938" s="4">
        <v>54051306</v>
      </c>
    </row>
    <row r="1939" spans="1:4" x14ac:dyDescent="0.25">
      <c r="A1939" t="str">
        <f>T("   220300")</f>
        <v xml:space="preserve">   220300</v>
      </c>
      <c r="B1939" t="str">
        <f>T("   BIERES DE MALT.")</f>
        <v xml:space="preserve">   BIERES DE MALT.</v>
      </c>
      <c r="C1939" s="4">
        <v>71883</v>
      </c>
      <c r="D1939" s="4">
        <v>12047964</v>
      </c>
    </row>
    <row r="1940" spans="1:4" x14ac:dyDescent="0.25">
      <c r="A1940" t="str">
        <f>T("   220421")</f>
        <v xml:space="preserve">   220421</v>
      </c>
      <c r="B1940" t="str">
        <f>T("   EN RECIPIENTS D'UNE CONTENANCE N'EXCEDANT PAS 2 L")</f>
        <v xml:space="preserve">   EN RECIPIENTS D'UNE CONTENANCE N'EXCEDANT PAS 2 L</v>
      </c>
      <c r="C1940" s="4">
        <v>120268</v>
      </c>
      <c r="D1940" s="4">
        <v>14316000</v>
      </c>
    </row>
    <row r="1941" spans="1:4" x14ac:dyDescent="0.25">
      <c r="A1941" t="str">
        <f>T("   220510")</f>
        <v xml:space="preserve">   220510</v>
      </c>
      <c r="B1941" t="str">
        <f>T("   EN RECIPIENTS D'UNE CONTENANCE N'EXCEDANT PAS 2 L")</f>
        <v xml:space="preserve">   EN RECIPIENTS D'UNE CONTENANCE N'EXCEDANT PAS 2 L</v>
      </c>
      <c r="C1941" s="4">
        <v>182080</v>
      </c>
      <c r="D1941" s="4">
        <v>21509998</v>
      </c>
    </row>
    <row r="1942" spans="1:4" x14ac:dyDescent="0.25">
      <c r="A1942" t="str">
        <f>T("   220600")</f>
        <v xml:space="preserve">   220600</v>
      </c>
      <c r="B1942" t="str">
        <f>T("   AUTRES BOISSONS FERMENTEES (CIDRE, POIRE, HYDROMEL, PAR EXEMPLE); MELANGES DE BOISSONS")</f>
        <v xml:space="preserve">   AUTRES BOISSONS FERMENTEES (CIDRE, POIRE, HYDROMEL, PAR EXEMPLE); MELANGES DE BOISSONS</v>
      </c>
      <c r="C1942" s="4">
        <v>39045</v>
      </c>
      <c r="D1942" s="4">
        <v>6628663</v>
      </c>
    </row>
    <row r="1943" spans="1:4" x14ac:dyDescent="0.25">
      <c r="A1943" t="str">
        <f>T("   220850")</f>
        <v xml:space="preserve">   220850</v>
      </c>
      <c r="B1943" t="str">
        <f>T("   GIN ET GENIEVRE")</f>
        <v xml:space="preserve">   GIN ET GENIEVRE</v>
      </c>
      <c r="C1943" s="4">
        <v>44200</v>
      </c>
      <c r="D1943" s="4">
        <v>10535367</v>
      </c>
    </row>
    <row r="1944" spans="1:4" x14ac:dyDescent="0.25">
      <c r="A1944" t="str">
        <f>T("   220890")</f>
        <v xml:space="preserve">   220890</v>
      </c>
      <c r="B1944" t="str">
        <f>T("   AUTRES")</f>
        <v xml:space="preserve">   AUTRES</v>
      </c>
      <c r="C1944" s="4">
        <v>880239.1</v>
      </c>
      <c r="D1944" s="4">
        <v>90616327</v>
      </c>
    </row>
    <row r="1945" spans="1:4" x14ac:dyDescent="0.25">
      <c r="A1945" t="str">
        <f>T("   220900")</f>
        <v xml:space="preserve">   220900</v>
      </c>
      <c r="B1945" t="str">
        <f>T("   VINAIGRES COMESTIBLES ET SUCCEDANES DE VINAIGRE COMESTIBLES OBTENUS A PARTIR D'ACIDE AC")</f>
        <v xml:space="preserve">   VINAIGRES COMESTIBLES ET SUCCEDANES DE VINAIGRE COMESTIBLES OBTENUS A PARTIR D'ACIDE AC</v>
      </c>
      <c r="C1945" s="4">
        <v>4230</v>
      </c>
      <c r="D1945" s="4">
        <v>757000</v>
      </c>
    </row>
    <row r="1946" spans="1:4" x14ac:dyDescent="0.25">
      <c r="A1946" t="str">
        <f>T("   250610")</f>
        <v xml:space="preserve">   250610</v>
      </c>
      <c r="B1946" t="str">
        <f>T("   QUARTZ")</f>
        <v xml:space="preserve">   QUARTZ</v>
      </c>
      <c r="C1946" s="4">
        <v>400000</v>
      </c>
      <c r="D1946" s="4">
        <v>15932672</v>
      </c>
    </row>
    <row r="1947" spans="1:4" x14ac:dyDescent="0.25">
      <c r="A1947" t="str">
        <f>T("   250900")</f>
        <v xml:space="preserve">   250900</v>
      </c>
      <c r="B1947" t="str">
        <f>T("   CRAIE.")</f>
        <v xml:space="preserve">   CRAIE.</v>
      </c>
      <c r="C1947" s="4">
        <v>420</v>
      </c>
      <c r="D1947" s="4">
        <v>254425</v>
      </c>
    </row>
    <row r="1948" spans="1:4" x14ac:dyDescent="0.25">
      <c r="A1948" t="str">
        <f>T("   251010")</f>
        <v xml:space="preserve">   251010</v>
      </c>
      <c r="B1948" t="str">
        <f>T("   NON MOULUS")</f>
        <v xml:space="preserve">   NON MOULUS</v>
      </c>
      <c r="C1948" s="4">
        <v>387000</v>
      </c>
      <c r="D1948" s="4">
        <v>93095534</v>
      </c>
    </row>
    <row r="1949" spans="1:4" x14ac:dyDescent="0.25">
      <c r="A1949" t="str">
        <f>T("   251200")</f>
        <v xml:space="preserve">   251200</v>
      </c>
      <c r="B1949" t="str">
        <f>T("   FARINES SILICEUSES FOSSILES (KIESELGUHR, TRIPOLITE, DIATOMITE, PAR EXEMPLE) ET AUTRES T")</f>
        <v xml:space="preserve">   FARINES SILICEUSES FOSSILES (KIESELGUHR, TRIPOLITE, DIATOMITE, PAR EXEMPLE) ET AUTRES T</v>
      </c>
      <c r="C1949" s="4">
        <v>4450</v>
      </c>
      <c r="D1949" s="4">
        <v>1260099</v>
      </c>
    </row>
    <row r="1950" spans="1:4" x14ac:dyDescent="0.25">
      <c r="A1950" t="str">
        <f>T("   252020")</f>
        <v xml:space="preserve">   252020</v>
      </c>
      <c r="B1950" t="str">
        <f>T("   PLATRES")</f>
        <v xml:space="preserve">   PLATRES</v>
      </c>
      <c r="C1950" s="4">
        <v>15780</v>
      </c>
      <c r="D1950" s="4">
        <v>6061964</v>
      </c>
    </row>
    <row r="1951" spans="1:4" x14ac:dyDescent="0.25">
      <c r="A1951" t="str">
        <f>T("   252210")</f>
        <v xml:space="preserve">   252210</v>
      </c>
      <c r="B1951" t="str">
        <f>T("   CHAUX VIVE")</f>
        <v xml:space="preserve">   CHAUX VIVE</v>
      </c>
      <c r="C1951" s="4">
        <v>371100</v>
      </c>
      <c r="D1951" s="4">
        <v>64667665</v>
      </c>
    </row>
    <row r="1952" spans="1:4" x14ac:dyDescent="0.25">
      <c r="A1952" t="str">
        <f>T("   252390")</f>
        <v xml:space="preserve">   252390</v>
      </c>
      <c r="B1952" t="str">
        <f>T("   AUTRES CIMENTS HYDRAULIQUES")</f>
        <v xml:space="preserve">   AUTRES CIMENTS HYDRAULIQUES</v>
      </c>
      <c r="C1952" s="4">
        <v>125</v>
      </c>
      <c r="D1952" s="4">
        <v>576603</v>
      </c>
    </row>
    <row r="1953" spans="1:4" x14ac:dyDescent="0.25">
      <c r="A1953" t="str">
        <f>T("   271011")</f>
        <v xml:space="preserve">   271011</v>
      </c>
      <c r="B1953" t="str">
        <f>T("   HUILLES DE PETROLE OU D'ESSENCE")</f>
        <v xml:space="preserve">   HUILLES DE PETROLE OU D'ESSENCE</v>
      </c>
      <c r="C1953" s="4">
        <v>15205</v>
      </c>
      <c r="D1953" s="4">
        <v>7955000</v>
      </c>
    </row>
    <row r="1954" spans="1:4" x14ac:dyDescent="0.25">
      <c r="A1954" t="str">
        <f>T("   271019")</f>
        <v xml:space="preserve">   271019</v>
      </c>
      <c r="B1954" t="str">
        <f>T("   AUTRES")</f>
        <v xml:space="preserve">   AUTRES</v>
      </c>
      <c r="C1954" s="4">
        <v>3354313</v>
      </c>
      <c r="D1954" s="4">
        <v>1154292701</v>
      </c>
    </row>
    <row r="1955" spans="1:4" x14ac:dyDescent="0.25">
      <c r="A1955" t="str">
        <f>T("   271099")</f>
        <v xml:space="preserve">   271099</v>
      </c>
      <c r="B1955" t="str">
        <f>T("   AUTRES")</f>
        <v xml:space="preserve">   AUTRES</v>
      </c>
      <c r="C1955" s="4">
        <v>300</v>
      </c>
      <c r="D1955" s="4">
        <v>316662</v>
      </c>
    </row>
    <row r="1956" spans="1:4" x14ac:dyDescent="0.25">
      <c r="A1956" t="str">
        <f>T("   280300")</f>
        <v xml:space="preserve">   280300</v>
      </c>
      <c r="B1956" t="str">
        <f>T("   CARBONE (NOIRS DE CARBONE ET AUTRES FORMES DE CARBONE NON DENOMMEES NI COMPRISES AILLEU")</f>
        <v xml:space="preserve">   CARBONE (NOIRS DE CARBONE ET AUTRES FORMES DE CARBONE NON DENOMMEES NI COMPRISES AILLEU</v>
      </c>
      <c r="C1956" s="4">
        <v>1000</v>
      </c>
      <c r="D1956" s="4">
        <v>903183</v>
      </c>
    </row>
    <row r="1957" spans="1:4" x14ac:dyDescent="0.25">
      <c r="A1957" t="str">
        <f>T("   281511")</f>
        <v xml:space="preserve">   281511</v>
      </c>
      <c r="B1957" t="str">
        <f>T("   SOLIDE")</f>
        <v xml:space="preserve">   SOLIDE</v>
      </c>
      <c r="C1957" s="4">
        <v>299756</v>
      </c>
      <c r="D1957" s="4">
        <v>50255754</v>
      </c>
    </row>
    <row r="1958" spans="1:4" x14ac:dyDescent="0.25">
      <c r="A1958" t="str">
        <f>T("   281530")</f>
        <v xml:space="preserve">   281530</v>
      </c>
      <c r="B1958" t="str">
        <f>T("   Peroxydes de sodium ou de potassium")</f>
        <v xml:space="preserve">   Peroxydes de sodium ou de potassium</v>
      </c>
      <c r="C1958" s="4">
        <v>75</v>
      </c>
      <c r="D1958" s="4">
        <v>99579</v>
      </c>
    </row>
    <row r="1959" spans="1:4" x14ac:dyDescent="0.25">
      <c r="A1959" t="str">
        <f>T("   282110")</f>
        <v xml:space="preserve">   282110</v>
      </c>
      <c r="B1959" t="str">
        <f>T("   Oxydes et hydroxydes de fer")</f>
        <v xml:space="preserve">   Oxydes et hydroxydes de fer</v>
      </c>
      <c r="C1959" s="4">
        <v>28117</v>
      </c>
      <c r="D1959" s="4">
        <v>24036554</v>
      </c>
    </row>
    <row r="1960" spans="1:4" x14ac:dyDescent="0.25">
      <c r="A1960" t="str">
        <f>T("   282810")</f>
        <v xml:space="preserve">   282810</v>
      </c>
      <c r="B1960" t="str">
        <f>T("   Hypochlorite de calcium du commerce et autres hypochlorites de calcium")</f>
        <v xml:space="preserve">   Hypochlorite de calcium du commerce et autres hypochlorites de calcium</v>
      </c>
      <c r="C1960" s="4">
        <v>21949</v>
      </c>
      <c r="D1960" s="4">
        <v>8097283</v>
      </c>
    </row>
    <row r="1961" spans="1:4" x14ac:dyDescent="0.25">
      <c r="A1961" t="str">
        <f>T("   282890")</f>
        <v xml:space="preserve">   282890</v>
      </c>
      <c r="B1961" t="str">
        <f>T("   AUTRES")</f>
        <v xml:space="preserve">   AUTRES</v>
      </c>
      <c r="C1961" s="4">
        <v>17343</v>
      </c>
      <c r="D1961" s="4">
        <v>5351823</v>
      </c>
    </row>
    <row r="1962" spans="1:4" x14ac:dyDescent="0.25">
      <c r="A1962" t="str">
        <f>T("   283090")</f>
        <v xml:space="preserve">   283090</v>
      </c>
      <c r="B1962" t="str">
        <f>T("   AUTRES")</f>
        <v xml:space="preserve">   AUTRES</v>
      </c>
      <c r="C1962" s="4">
        <v>102000</v>
      </c>
      <c r="D1962" s="4">
        <v>46822638</v>
      </c>
    </row>
    <row r="1963" spans="1:4" x14ac:dyDescent="0.25">
      <c r="A1963" t="str">
        <f>T("   283322")</f>
        <v xml:space="preserve">   283322</v>
      </c>
      <c r="B1963" t="str">
        <f>T("   D'ALUMINIUM")</f>
        <v xml:space="preserve">   D'ALUMINIUM</v>
      </c>
      <c r="C1963" s="4">
        <v>230549</v>
      </c>
      <c r="D1963" s="4">
        <v>26805221</v>
      </c>
    </row>
    <row r="1964" spans="1:4" x14ac:dyDescent="0.25">
      <c r="A1964" t="str">
        <f>T("   283630")</f>
        <v xml:space="preserve">   283630</v>
      </c>
      <c r="B1964" t="str">
        <f>T("   HYDROGENOCARBONATE (BICARBONATE) DE SODIUM")</f>
        <v xml:space="preserve">   HYDROGENOCARBONATE (BICARBONATE) DE SODIUM</v>
      </c>
      <c r="C1964" s="4">
        <v>22</v>
      </c>
      <c r="D1964" s="4">
        <v>7966</v>
      </c>
    </row>
    <row r="1965" spans="1:4" x14ac:dyDescent="0.25">
      <c r="A1965" t="str">
        <f>T("   283650")</f>
        <v xml:space="preserve">   283650</v>
      </c>
      <c r="B1965" t="str">
        <f>T("   Carbonate de calcium")</f>
        <v xml:space="preserve">   Carbonate de calcium</v>
      </c>
      <c r="C1965" s="4">
        <v>119250</v>
      </c>
      <c r="D1965" s="4">
        <v>16831374</v>
      </c>
    </row>
    <row r="1966" spans="1:4" x14ac:dyDescent="0.25">
      <c r="A1966" t="str">
        <f>T("   283990")</f>
        <v xml:space="preserve">   283990</v>
      </c>
      <c r="B1966" t="str">
        <f>T("   AUTRES")</f>
        <v xml:space="preserve">   AUTRES</v>
      </c>
      <c r="C1966" s="4">
        <v>124790</v>
      </c>
      <c r="D1966" s="4">
        <v>6912664</v>
      </c>
    </row>
    <row r="1967" spans="1:4" x14ac:dyDescent="0.25">
      <c r="A1967" t="str">
        <f>T("   284910")</f>
        <v xml:space="preserve">   284910</v>
      </c>
      <c r="B1967" t="str">
        <f>T("   DE CALCIUM")</f>
        <v xml:space="preserve">   DE CALCIUM</v>
      </c>
      <c r="C1967" s="4">
        <v>429460</v>
      </c>
      <c r="D1967" s="4">
        <v>84624064</v>
      </c>
    </row>
    <row r="1968" spans="1:4" x14ac:dyDescent="0.25">
      <c r="A1968" t="str">
        <f>T("   291533")</f>
        <v xml:space="preserve">   291533</v>
      </c>
      <c r="B1968" t="str">
        <f>T("   ACETATE DE NBUTYLE")</f>
        <v xml:space="preserve">   ACETATE DE NBUTYLE</v>
      </c>
      <c r="C1968" s="4">
        <v>8000</v>
      </c>
      <c r="D1968" s="4">
        <v>3707145</v>
      </c>
    </row>
    <row r="1969" spans="1:4" x14ac:dyDescent="0.25">
      <c r="A1969" t="str">
        <f>T("   291733")</f>
        <v xml:space="preserve">   291733</v>
      </c>
      <c r="B1969" t="str">
        <f>T("   ORTHOPHTALATES DE DINONYLE OU DE DIDECYLE")</f>
        <v xml:space="preserve">   ORTHOPHTALATES DE DINONYLE OU DE DIDECYLE</v>
      </c>
      <c r="C1969" s="4">
        <v>4000</v>
      </c>
      <c r="D1969" s="4">
        <v>1853566</v>
      </c>
    </row>
    <row r="1970" spans="1:4" x14ac:dyDescent="0.25">
      <c r="A1970" t="str">
        <f>T("   292242")</f>
        <v xml:space="preserve">   292242</v>
      </c>
      <c r="B1970" t="str">
        <f>T("   Acide glutamique et ses sels")</f>
        <v xml:space="preserve">   Acide glutamique et ses sels</v>
      </c>
      <c r="C1970" s="4">
        <v>180900</v>
      </c>
      <c r="D1970" s="4">
        <v>15578588</v>
      </c>
    </row>
    <row r="1971" spans="1:4" x14ac:dyDescent="0.25">
      <c r="A1971" t="str">
        <f>T("   292320")</f>
        <v xml:space="preserve">   292320</v>
      </c>
      <c r="B1971" t="str">
        <f>T("   LECITHINES ET AUTRES PHOSPHOAMINOLIPIDES")</f>
        <v xml:space="preserve">   LECITHINES ET AUTRES PHOSPHOAMINOLIPIDES</v>
      </c>
      <c r="C1971" s="4">
        <v>860</v>
      </c>
      <c r="D1971" s="4">
        <v>370722</v>
      </c>
    </row>
    <row r="1972" spans="1:4" x14ac:dyDescent="0.25">
      <c r="A1972" t="str">
        <f>T("   292800")</f>
        <v xml:space="preserve">   292800</v>
      </c>
      <c r="B1972" t="str">
        <f>T("   DERIVES ORGANIQUES DE L'HYDRAZINE OU DE L'HYDROXYLAMINE.")</f>
        <v xml:space="preserve">   DERIVES ORGANIQUES DE L'HYDRAZINE OU DE L'HYDROXYLAMINE.</v>
      </c>
      <c r="C1972" s="4">
        <v>570</v>
      </c>
      <c r="D1972" s="4">
        <v>278068</v>
      </c>
    </row>
    <row r="1973" spans="1:4" x14ac:dyDescent="0.25">
      <c r="A1973" t="str">
        <f>T("   293339")</f>
        <v xml:space="preserve">   293339</v>
      </c>
      <c r="B1973" t="str">
        <f>T("   AUTRES")</f>
        <v xml:space="preserve">   AUTRES</v>
      </c>
      <c r="C1973" s="4">
        <v>62546</v>
      </c>
      <c r="D1973" s="4">
        <v>291995739</v>
      </c>
    </row>
    <row r="1974" spans="1:4" x14ac:dyDescent="0.25">
      <c r="A1974" t="str">
        <f>T("   293420")</f>
        <v xml:space="preserve">   293420</v>
      </c>
      <c r="B1974" t="str">
        <f>T("   COMPOSES COMPORTANT UNE STRUCTURE A CYCLES BENZOTHIAZOLE (HYDROGENES OU NON) SANS AUT")</f>
        <v xml:space="preserve">   COMPOSES COMPORTANT UNE STRUCTURE A CYCLES BENZOTHIAZOLE (HYDROGENES OU NON) SANS AUT</v>
      </c>
      <c r="C1974" s="4">
        <v>707616</v>
      </c>
      <c r="D1974" s="4">
        <v>109215479</v>
      </c>
    </row>
    <row r="1975" spans="1:4" x14ac:dyDescent="0.25">
      <c r="A1975" t="str">
        <f>T("   293629")</f>
        <v xml:space="preserve">   293629</v>
      </c>
      <c r="B1975" t="str">
        <f>T("   AUTRES VITAMINES ET LEURS DERIVES")</f>
        <v xml:space="preserve">   AUTRES VITAMINES ET LEURS DERIVES</v>
      </c>
      <c r="C1975" s="4">
        <v>203</v>
      </c>
      <c r="D1975" s="4">
        <v>69207</v>
      </c>
    </row>
    <row r="1976" spans="1:4" x14ac:dyDescent="0.25">
      <c r="A1976" t="str">
        <f>T("   300320")</f>
        <v xml:space="preserve">   300320</v>
      </c>
      <c r="B1976" t="str">
        <f>T("   CONTENANT D'AUTRES ANTIBIOTIQUES")</f>
        <v xml:space="preserve">   CONTENANT D'AUTRES ANTIBIOTIQUES</v>
      </c>
      <c r="C1976" s="4">
        <v>1130830</v>
      </c>
      <c r="D1976" s="4">
        <v>301859670</v>
      </c>
    </row>
    <row r="1977" spans="1:4" x14ac:dyDescent="0.25">
      <c r="A1977" t="str">
        <f>T("   300339")</f>
        <v xml:space="preserve">   300339</v>
      </c>
      <c r="B1977" t="str">
        <f>T("   AUTRES")</f>
        <v xml:space="preserve">   AUTRES</v>
      </c>
      <c r="C1977" s="4">
        <v>5403</v>
      </c>
      <c r="D1977" s="4">
        <v>24274840</v>
      </c>
    </row>
    <row r="1978" spans="1:4" x14ac:dyDescent="0.25">
      <c r="A1978" t="str">
        <f>T("   300390")</f>
        <v xml:space="preserve">   300390</v>
      </c>
      <c r="B1978" t="str">
        <f>T("   AUTRES")</f>
        <v xml:space="preserve">   AUTRES</v>
      </c>
      <c r="C1978" s="4">
        <v>1617</v>
      </c>
      <c r="D1978" s="4">
        <v>4626698</v>
      </c>
    </row>
    <row r="1979" spans="1:4" x14ac:dyDescent="0.25">
      <c r="A1979" t="str">
        <f>T("   300439")</f>
        <v xml:space="preserve">   300439</v>
      </c>
      <c r="B1979" t="str">
        <f>T("   AUTRES")</f>
        <v xml:space="preserve">   AUTRES</v>
      </c>
      <c r="C1979" s="4">
        <v>15680</v>
      </c>
      <c r="D1979" s="4">
        <v>29595934</v>
      </c>
    </row>
    <row r="1980" spans="1:4" x14ac:dyDescent="0.25">
      <c r="A1980" t="str">
        <f>T("   300450")</f>
        <v xml:space="preserve">   300450</v>
      </c>
      <c r="B1980" t="str">
        <f>T("   AUTRES MEDICAMENTS CONTENANT DES VITAMINES OU D'AUTRES PRODUITS DU N° 29.36")</f>
        <v xml:space="preserve">   AUTRES MEDICAMENTS CONTENANT DES VITAMINES OU D'AUTRES PRODUITS DU N° 29.36</v>
      </c>
      <c r="C1980" s="4">
        <v>2532.5</v>
      </c>
      <c r="D1980" s="4">
        <v>26708142</v>
      </c>
    </row>
    <row r="1981" spans="1:4" x14ac:dyDescent="0.25">
      <c r="A1981" t="str">
        <f>T("   300490")</f>
        <v xml:space="preserve">   300490</v>
      </c>
      <c r="B1981" t="str">
        <f>T("   AUTRES")</f>
        <v xml:space="preserve">   AUTRES</v>
      </c>
      <c r="C1981" s="4">
        <v>488946.2</v>
      </c>
      <c r="D1981" s="4">
        <v>367266761</v>
      </c>
    </row>
    <row r="1982" spans="1:4" x14ac:dyDescent="0.25">
      <c r="A1982" t="str">
        <f>T("   300510")</f>
        <v xml:space="preserve">   300510</v>
      </c>
      <c r="B1982" t="str">
        <f>T("   PANSEMENTS ADHESIFS ET AUTRES ARTICLES AYANT UNE COUCHE ADHESIVE")</f>
        <v xml:space="preserve">   PANSEMENTS ADHESIFS ET AUTRES ARTICLES AYANT UNE COUCHE ADHESIVE</v>
      </c>
      <c r="C1982" s="4">
        <v>3423</v>
      </c>
      <c r="D1982" s="4">
        <v>18665342</v>
      </c>
    </row>
    <row r="1983" spans="1:4" x14ac:dyDescent="0.25">
      <c r="A1983" t="str">
        <f>T("   300590")</f>
        <v xml:space="preserve">   300590</v>
      </c>
      <c r="B1983" t="str">
        <f>T("   AUTRES")</f>
        <v xml:space="preserve">   AUTRES</v>
      </c>
      <c r="C1983" s="4">
        <v>43295</v>
      </c>
      <c r="D1983" s="4">
        <v>66028075</v>
      </c>
    </row>
    <row r="1984" spans="1:4" x14ac:dyDescent="0.25">
      <c r="A1984" t="str">
        <f>T("   300620")</f>
        <v xml:space="preserve">   300620</v>
      </c>
      <c r="B1984" t="str">
        <f>T("   REACTIFS DESTINES A LA DETERMINATION DES GROUPES OU DES FACTEURS SANGUINS")</f>
        <v xml:space="preserve">   REACTIFS DESTINES A LA DETERMINATION DES GROUPES OU DES FACTEURS SANGUINS</v>
      </c>
      <c r="C1984" s="4">
        <v>1.1000000000000001</v>
      </c>
      <c r="D1984" s="4">
        <v>400000</v>
      </c>
    </row>
    <row r="1985" spans="1:4" x14ac:dyDescent="0.25">
      <c r="A1985" t="str">
        <f>T("   300630")</f>
        <v xml:space="preserve">   300630</v>
      </c>
      <c r="B1985" t="str">
        <f>T("   PREPARATIONS OPACIFIANTES POUR EXAMENS RADIOGRAPHIQUES; REACTIFS DE DIAGNOSTIC CONCUS")</f>
        <v xml:space="preserve">   PREPARATIONS OPACIFIANTES POUR EXAMENS RADIOGRAPHIQUES; REACTIFS DE DIAGNOSTIC CONCUS</v>
      </c>
      <c r="C1985" s="4">
        <v>115</v>
      </c>
      <c r="D1985" s="4">
        <v>430372</v>
      </c>
    </row>
    <row r="1986" spans="1:4" x14ac:dyDescent="0.25">
      <c r="A1986" t="str">
        <f>T("   310510")</f>
        <v xml:space="preserve">   310510</v>
      </c>
      <c r="B1986" t="str">
        <f>T("   PRODUITS DU PRESENT CHAPITRE PRESENTES SOIT EN TABLETTES OU FORMES SIMILAIRES, SOIT E")</f>
        <v xml:space="preserve">   PRODUITS DU PRESENT CHAPITRE PRESENTES SOIT EN TABLETTES OU FORMES SIMILAIRES, SOIT E</v>
      </c>
      <c r="C1986" s="4">
        <v>170000</v>
      </c>
      <c r="D1986" s="4">
        <v>55557227</v>
      </c>
    </row>
    <row r="1987" spans="1:4" x14ac:dyDescent="0.25">
      <c r="A1987" t="str">
        <f>T("   310540")</f>
        <v xml:space="preserve">   310540</v>
      </c>
      <c r="B1987" t="str">
        <f>T("   DIHYDROGENOORTHOPHOSPHATE D'AMMONIUM (PHOSPHATE MONOAMMONIQUE), MEME EN MELANGE AVEC")</f>
        <v xml:space="preserve">   DIHYDROGENOORTHOPHOSPHATE D'AMMONIUM (PHOSPHATE MONOAMMONIQUE), MEME EN MELANGE AVEC</v>
      </c>
      <c r="C1987" s="4">
        <v>387000</v>
      </c>
      <c r="D1987" s="4">
        <v>93095534</v>
      </c>
    </row>
    <row r="1988" spans="1:4" x14ac:dyDescent="0.25">
      <c r="A1988" t="str">
        <f>T("   310590")</f>
        <v xml:space="preserve">   310590</v>
      </c>
      <c r="B1988" t="str">
        <f>T("   AUTRES")</f>
        <v xml:space="preserve">   AUTRES</v>
      </c>
      <c r="C1988" s="4">
        <v>345000</v>
      </c>
      <c r="D1988" s="4">
        <v>61438375</v>
      </c>
    </row>
    <row r="1989" spans="1:4" x14ac:dyDescent="0.25">
      <c r="A1989" t="str">
        <f>T("   320417")</f>
        <v xml:space="preserve">   320417</v>
      </c>
      <c r="B1989" t="str">
        <f>T("   Colorants pigmentaires et preparations a base de ces colorants")</f>
        <v xml:space="preserve">   Colorants pigmentaires et preparations a base de ces colorants</v>
      </c>
      <c r="C1989" s="4">
        <v>3500</v>
      </c>
      <c r="D1989" s="4">
        <v>8354695</v>
      </c>
    </row>
    <row r="1990" spans="1:4" x14ac:dyDescent="0.25">
      <c r="A1990" t="str">
        <f>T("   320611")</f>
        <v xml:space="preserve">   320611</v>
      </c>
      <c r="B1990" t="str">
        <f>T("   CONTENANT EN POIDS 80 % OU PLUS DE DIOXYDE DE TITANE, CALCULE SUR MATIERE SECHE")</f>
        <v xml:space="preserve">   CONTENANT EN POIDS 80 % OU PLUS DE DIOXYDE DE TITANE, CALCULE SUR MATIERE SECHE</v>
      </c>
      <c r="C1990" s="4">
        <v>13000</v>
      </c>
      <c r="D1990" s="4">
        <v>18666869</v>
      </c>
    </row>
    <row r="1991" spans="1:4" x14ac:dyDescent="0.25">
      <c r="A1991" t="str">
        <f>T("   320620")</f>
        <v xml:space="preserve">   320620</v>
      </c>
      <c r="B1991" t="str">
        <f>T("   PIGMENTS ET PREPARATIONS A BASE DE COMPOSES DU CHROME")</f>
        <v xml:space="preserve">   PIGMENTS ET PREPARATIONS A BASE DE COMPOSES DU CHROME</v>
      </c>
      <c r="C1991" s="4">
        <v>350</v>
      </c>
      <c r="D1991" s="4">
        <v>1723218</v>
      </c>
    </row>
    <row r="1992" spans="1:4" x14ac:dyDescent="0.25">
      <c r="A1992" t="str">
        <f>T("   320649")</f>
        <v xml:space="preserve">   320649</v>
      </c>
      <c r="B1992" t="str">
        <f>T("   AUTRES")</f>
        <v xml:space="preserve">   AUTRES</v>
      </c>
      <c r="C1992" s="4">
        <v>1506</v>
      </c>
      <c r="D1992" s="4">
        <v>1142731</v>
      </c>
    </row>
    <row r="1993" spans="1:4" x14ac:dyDescent="0.25">
      <c r="A1993" t="str">
        <f>T("   320890")</f>
        <v xml:space="preserve">   320890</v>
      </c>
      <c r="B1993" t="str">
        <f>T("   AUTRES")</f>
        <v xml:space="preserve">   AUTRES</v>
      </c>
      <c r="C1993" s="4">
        <v>22403</v>
      </c>
      <c r="D1993" s="4">
        <v>4962574</v>
      </c>
    </row>
    <row r="1994" spans="1:4" x14ac:dyDescent="0.25">
      <c r="A1994" t="str">
        <f>T("   320910")</f>
        <v xml:space="preserve">   320910</v>
      </c>
      <c r="B1994" t="str">
        <f>T("   A BASE DE POLYMERES ACRYLIQUES OU VINYLIQUES")</f>
        <v xml:space="preserve">   A BASE DE POLYMERES ACRYLIQUES OU VINYLIQUES</v>
      </c>
      <c r="C1994" s="4">
        <v>13186</v>
      </c>
      <c r="D1994" s="4">
        <v>6825160</v>
      </c>
    </row>
    <row r="1995" spans="1:4" x14ac:dyDescent="0.25">
      <c r="A1995" t="str">
        <f>T("   321000")</f>
        <v xml:space="preserve">   321000</v>
      </c>
      <c r="B1995" t="str">
        <f>T("   AUTRES PEINTURES ET VERNIS; PIGMENTS A L'EAU PREPARES DES TYPES UTILISES POUR LE FINISS")</f>
        <v xml:space="preserve">   AUTRES PEINTURES ET VERNIS; PIGMENTS A L'EAU PREPARES DES TYPES UTILISES POUR LE FINISS</v>
      </c>
      <c r="C1995" s="4">
        <v>21882</v>
      </c>
      <c r="D1995" s="4">
        <v>13584275</v>
      </c>
    </row>
    <row r="1996" spans="1:4" x14ac:dyDescent="0.25">
      <c r="A1996" t="str">
        <f>T("   321410")</f>
        <v xml:space="preserve">   321410</v>
      </c>
      <c r="B1996" t="str">
        <f>T("   MASTIC DE VITRIER, CIMENTS DE RESINE ET AUTRES MASTICS; ENDUITS UTILISES EN PEINTURE")</f>
        <v xml:space="preserve">   MASTIC DE VITRIER, CIMENTS DE RESINE ET AUTRES MASTICS; ENDUITS UTILISES EN PEINTURE</v>
      </c>
      <c r="C1996" s="4">
        <v>9000</v>
      </c>
      <c r="D1996" s="4">
        <v>6413398</v>
      </c>
    </row>
    <row r="1997" spans="1:4" x14ac:dyDescent="0.25">
      <c r="A1997" t="str">
        <f>T("   321519")</f>
        <v xml:space="preserve">   321519</v>
      </c>
      <c r="B1997" t="str">
        <f>T("   AUTRES")</f>
        <v xml:space="preserve">   AUTRES</v>
      </c>
      <c r="C1997" s="4">
        <v>15169</v>
      </c>
      <c r="D1997" s="4">
        <v>20487481</v>
      </c>
    </row>
    <row r="1998" spans="1:4" x14ac:dyDescent="0.25">
      <c r="A1998" t="str">
        <f>T("   321590")</f>
        <v xml:space="preserve">   321590</v>
      </c>
      <c r="B1998" t="str">
        <f>T("   AUTRES")</f>
        <v xml:space="preserve">   AUTRES</v>
      </c>
      <c r="C1998" s="4">
        <v>4269</v>
      </c>
      <c r="D1998" s="4">
        <v>3652203</v>
      </c>
    </row>
    <row r="1999" spans="1:4" x14ac:dyDescent="0.25">
      <c r="A1999" t="str">
        <f>T("   330190")</f>
        <v xml:space="preserve">   330190</v>
      </c>
      <c r="B1999" t="str">
        <f>T("   AUTRES")</f>
        <v xml:space="preserve">   AUTRES</v>
      </c>
      <c r="C1999" s="4">
        <v>1914</v>
      </c>
      <c r="D1999" s="4">
        <v>800119</v>
      </c>
    </row>
    <row r="2000" spans="1:4" x14ac:dyDescent="0.25">
      <c r="A2000" t="str">
        <f>T("   330300")</f>
        <v xml:space="preserve">   330300</v>
      </c>
      <c r="B2000" t="str">
        <f>T("   PARFUMS ET EAUX DE TOILETTE.")</f>
        <v xml:space="preserve">   PARFUMS ET EAUX DE TOILETTE.</v>
      </c>
      <c r="C2000" s="4">
        <v>12391</v>
      </c>
      <c r="D2000" s="4">
        <v>4238919</v>
      </c>
    </row>
    <row r="2001" spans="1:4" x14ac:dyDescent="0.25">
      <c r="A2001" t="str">
        <f>T("   330491")</f>
        <v xml:space="preserve">   330491</v>
      </c>
      <c r="B2001" t="str">
        <f>T("   POUDRES, Y COMPRIS LES POUDRES COMPACTES")</f>
        <v xml:space="preserve">   POUDRES, Y COMPRIS LES POUDRES COMPACTES</v>
      </c>
      <c r="C2001" s="4">
        <v>14080</v>
      </c>
      <c r="D2001" s="4">
        <v>3000000</v>
      </c>
    </row>
    <row r="2002" spans="1:4" x14ac:dyDescent="0.25">
      <c r="A2002" t="str">
        <f>T("   330499")</f>
        <v xml:space="preserve">   330499</v>
      </c>
      <c r="B2002" t="str">
        <f>T("   AUTRES")</f>
        <v xml:space="preserve">   AUTRES</v>
      </c>
      <c r="C2002" s="4">
        <v>829668</v>
      </c>
      <c r="D2002" s="4">
        <v>288307337</v>
      </c>
    </row>
    <row r="2003" spans="1:4" x14ac:dyDescent="0.25">
      <c r="A2003" t="str">
        <f>T("   330520")</f>
        <v xml:space="preserve">   330520</v>
      </c>
      <c r="B2003" t="str">
        <f>T("   PREPARATIONS POUR L'ONDULATION OU LE DEFRISAGE PERMANENT")</f>
        <v xml:space="preserve">   PREPARATIONS POUR L'ONDULATION OU LE DEFRISAGE PERMANENT</v>
      </c>
      <c r="C2003" s="4">
        <v>4873</v>
      </c>
      <c r="D2003" s="4">
        <v>2821876</v>
      </c>
    </row>
    <row r="2004" spans="1:4" x14ac:dyDescent="0.25">
      <c r="A2004" t="str">
        <f>T("   330590")</f>
        <v xml:space="preserve">   330590</v>
      </c>
      <c r="B2004" t="str">
        <f>T("   AUTRES")</f>
        <v xml:space="preserve">   AUTRES</v>
      </c>
      <c r="C2004" s="4">
        <v>4276</v>
      </c>
      <c r="D2004" s="4">
        <v>1115286</v>
      </c>
    </row>
    <row r="2005" spans="1:4" x14ac:dyDescent="0.25">
      <c r="A2005" t="str">
        <f>T("   330610")</f>
        <v xml:space="preserve">   330610</v>
      </c>
      <c r="B2005" t="str">
        <f>T("   Dentifrices")</f>
        <v xml:space="preserve">   Dentifrices</v>
      </c>
      <c r="C2005" s="4">
        <v>395643</v>
      </c>
      <c r="D2005" s="4">
        <v>95667345</v>
      </c>
    </row>
    <row r="2006" spans="1:4" x14ac:dyDescent="0.25">
      <c r="A2006" t="str">
        <f>T("   330720")</f>
        <v xml:space="preserve">   330720</v>
      </c>
      <c r="B2006" t="str">
        <f>T("   Desodorisants corporels et antisudoraux")</f>
        <v xml:space="preserve">   Desodorisants corporels et antisudoraux</v>
      </c>
      <c r="C2006" s="4">
        <v>3000</v>
      </c>
      <c r="D2006" s="4">
        <v>700000</v>
      </c>
    </row>
    <row r="2007" spans="1:4" x14ac:dyDescent="0.25">
      <c r="A2007" t="str">
        <f>T("   330749")</f>
        <v xml:space="preserve">   330749</v>
      </c>
      <c r="B2007" t="str">
        <f>T("   AUTRES")</f>
        <v xml:space="preserve">   AUTRES</v>
      </c>
      <c r="C2007" s="4">
        <v>25908</v>
      </c>
      <c r="D2007" s="4">
        <v>4669832</v>
      </c>
    </row>
    <row r="2008" spans="1:4" x14ac:dyDescent="0.25">
      <c r="A2008" t="str">
        <f>T("   330790")</f>
        <v xml:space="preserve">   330790</v>
      </c>
      <c r="B2008" t="str">
        <f>T("   AUTRES")</f>
        <v xml:space="preserve">   AUTRES</v>
      </c>
      <c r="C2008" s="4">
        <v>30908</v>
      </c>
      <c r="D2008" s="4">
        <v>9202657</v>
      </c>
    </row>
    <row r="2009" spans="1:4" x14ac:dyDescent="0.25">
      <c r="A2009" t="str">
        <f>T("   340111")</f>
        <v xml:space="preserve">   340111</v>
      </c>
      <c r="B2009" t="str">
        <f>T("   DE TOILETTE (Y COMPRIS CEUX A USAGES MEDICAUX)")</f>
        <v xml:space="preserve">   DE TOILETTE (Y COMPRIS CEUX A USAGES MEDICAUX)</v>
      </c>
      <c r="C2009" s="4">
        <v>2653596</v>
      </c>
      <c r="D2009" s="4">
        <v>663934227</v>
      </c>
    </row>
    <row r="2010" spans="1:4" x14ac:dyDescent="0.25">
      <c r="A2010" t="str">
        <f>T("   340119")</f>
        <v xml:space="preserve">   340119</v>
      </c>
      <c r="B2010" t="str">
        <f>T("   AUTRES")</f>
        <v xml:space="preserve">   AUTRES</v>
      </c>
      <c r="C2010" s="4">
        <v>6895068</v>
      </c>
      <c r="D2010" s="4">
        <v>1653114921</v>
      </c>
    </row>
    <row r="2011" spans="1:4" x14ac:dyDescent="0.25">
      <c r="A2011" t="str">
        <f>T("   340120")</f>
        <v xml:space="preserve">   340120</v>
      </c>
      <c r="B2011" t="str">
        <f>T("   SAVONS SOUS AUTRES FORMES")</f>
        <v xml:space="preserve">   SAVONS SOUS AUTRES FORMES</v>
      </c>
      <c r="C2011" s="4">
        <v>3488791</v>
      </c>
      <c r="D2011" s="4">
        <v>1012031597</v>
      </c>
    </row>
    <row r="2012" spans="1:4" x14ac:dyDescent="0.25">
      <c r="A2012" t="str">
        <f>T("   340130")</f>
        <v xml:space="preserve">   340130</v>
      </c>
      <c r="B2012" t="str">
        <f>T("   PRODUITS ET PREPARATIONS ORGANIQUES TENSIOACTIFS DESTINES AU LAVAGE DE LA PEAU, SOUS")</f>
        <v xml:space="preserve">   PRODUITS ET PREPARATIONS ORGANIQUES TENSIOACTIFS DESTINES AU LAVAGE DE LA PEAU, SOUS</v>
      </c>
      <c r="C2012" s="4">
        <v>12275</v>
      </c>
      <c r="D2012" s="4">
        <v>1606710</v>
      </c>
    </row>
    <row r="2013" spans="1:4" x14ac:dyDescent="0.25">
      <c r="A2013" t="str">
        <f>T("   340220")</f>
        <v xml:space="preserve">   340220</v>
      </c>
      <c r="B2013" t="str">
        <f>T("   PREPARATIONS CONDITIONNEES POUR LA VENTE AU DETAIL")</f>
        <v xml:space="preserve">   PREPARATIONS CONDITIONNEES POUR LA VENTE AU DETAIL</v>
      </c>
      <c r="C2013" s="4">
        <v>216834</v>
      </c>
      <c r="D2013" s="4">
        <v>71273594</v>
      </c>
    </row>
    <row r="2014" spans="1:4" x14ac:dyDescent="0.25">
      <c r="A2014" t="str">
        <f>T("   340290")</f>
        <v xml:space="preserve">   340290</v>
      </c>
      <c r="B2014" t="str">
        <f>T("   AUTRES")</f>
        <v xml:space="preserve">   AUTRES</v>
      </c>
      <c r="C2014" s="4">
        <v>434650</v>
      </c>
      <c r="D2014" s="4">
        <v>137353173</v>
      </c>
    </row>
    <row r="2015" spans="1:4" x14ac:dyDescent="0.25">
      <c r="A2015" t="str">
        <f>T("   340490")</f>
        <v xml:space="preserve">   340490</v>
      </c>
      <c r="B2015" t="str">
        <f>T("   AUTRES")</f>
        <v xml:space="preserve">   AUTRES</v>
      </c>
      <c r="C2015" s="4">
        <v>24230</v>
      </c>
      <c r="D2015" s="4">
        <v>2550222</v>
      </c>
    </row>
    <row r="2016" spans="1:4" x14ac:dyDescent="0.25">
      <c r="A2016" t="str">
        <f>T("   340600")</f>
        <v xml:space="preserve">   340600</v>
      </c>
      <c r="B2016" t="str">
        <f>T("   BOUGIES, CHANDELLES, CIERGES ET ARTICLES SIMILAIRES.")</f>
        <v xml:space="preserve">   BOUGIES, CHANDELLES, CIERGES ET ARTICLES SIMILAIRES.</v>
      </c>
      <c r="C2016" s="4">
        <v>905004</v>
      </c>
      <c r="D2016" s="4">
        <v>166000275</v>
      </c>
    </row>
    <row r="2017" spans="1:4" x14ac:dyDescent="0.25">
      <c r="A2017" t="str">
        <f>T("   350510")</f>
        <v xml:space="preserve">   350510</v>
      </c>
      <c r="B2017" t="str">
        <f>T("   Dextrine et autres amidons et fecules modifies")</f>
        <v xml:space="preserve">   Dextrine et autres amidons et fecules modifies</v>
      </c>
      <c r="C2017" s="4">
        <v>68000</v>
      </c>
      <c r="D2017" s="4">
        <v>50825224</v>
      </c>
    </row>
    <row r="2018" spans="1:4" x14ac:dyDescent="0.25">
      <c r="A2018" t="str">
        <f>T("   350520")</f>
        <v xml:space="preserve">   350520</v>
      </c>
      <c r="B2018" t="str">
        <f>T("   Colles")</f>
        <v xml:space="preserve">   Colles</v>
      </c>
      <c r="C2018" s="4">
        <v>21501</v>
      </c>
      <c r="D2018" s="4">
        <v>1929025</v>
      </c>
    </row>
    <row r="2019" spans="1:4" x14ac:dyDescent="0.25">
      <c r="A2019" t="str">
        <f>T("   350610")</f>
        <v xml:space="preserve">   350610</v>
      </c>
      <c r="B2019" t="str">
        <f>T("   PRODUITS DE TOUTE ESPECE A USAGE DE COLLES OU D'ADHESIFS, CONDITIONNES POUR LA VENTE")</f>
        <v xml:space="preserve">   PRODUITS DE TOUTE ESPECE A USAGE DE COLLES OU D'ADHESIFS, CONDITIONNES POUR LA VENTE</v>
      </c>
      <c r="C2019" s="4">
        <v>41902</v>
      </c>
      <c r="D2019" s="4">
        <v>40773578</v>
      </c>
    </row>
    <row r="2020" spans="1:4" x14ac:dyDescent="0.25">
      <c r="A2020" t="str">
        <f>T("   350699")</f>
        <v xml:space="preserve">   350699</v>
      </c>
      <c r="B2020" t="str">
        <f>T("   AUTRES")</f>
        <v xml:space="preserve">   AUTRES</v>
      </c>
      <c r="C2020" s="4">
        <v>51014</v>
      </c>
      <c r="D2020" s="4">
        <v>20161287</v>
      </c>
    </row>
    <row r="2021" spans="1:4" x14ac:dyDescent="0.25">
      <c r="A2021" t="str">
        <f>T("   360500")</f>
        <v xml:space="preserve">   360500</v>
      </c>
      <c r="B2021" t="str">
        <f>T("   ALLUMETTES, AUTRES QUE LES ARTICLES DE PYROTECHNIE DU N° 36.04.")</f>
        <v xml:space="preserve">   ALLUMETTES, AUTRES QUE LES ARTICLES DE PYROTECHNIE DU N° 36.04.</v>
      </c>
      <c r="C2021" s="4">
        <v>115690</v>
      </c>
      <c r="D2021" s="4">
        <v>33793699</v>
      </c>
    </row>
    <row r="2022" spans="1:4" x14ac:dyDescent="0.25">
      <c r="A2022" t="str">
        <f>T("   370110")</f>
        <v xml:space="preserve">   370110</v>
      </c>
      <c r="B2022" t="str">
        <f>T("   POUR RAYONS X")</f>
        <v xml:space="preserve">   POUR RAYONS X</v>
      </c>
      <c r="C2022" s="4">
        <v>432</v>
      </c>
      <c r="D2022" s="4">
        <v>8240179</v>
      </c>
    </row>
    <row r="2023" spans="1:4" x14ac:dyDescent="0.25">
      <c r="A2023" t="str">
        <f>T("   380850")</f>
        <v xml:space="preserve">   380850</v>
      </c>
      <c r="B2023" t="str">
        <f>T("   MARCHANDISES MENTIONNEES DANS LA NOTE 1 DE SOUSPOSITIONS DU PRESENT CHAPITRE")</f>
        <v xml:space="preserve">   MARCHANDISES MENTIONNEES DANS LA NOTE 1 DE SOUSPOSITIONS DU PRESENT CHAPITRE</v>
      </c>
      <c r="C2023" s="4">
        <v>2692424</v>
      </c>
      <c r="D2023" s="4">
        <v>1851333054</v>
      </c>
    </row>
    <row r="2024" spans="1:4" x14ac:dyDescent="0.25">
      <c r="A2024" t="str">
        <f>T("   380891")</f>
        <v xml:space="preserve">   380891</v>
      </c>
      <c r="B2024" t="str">
        <f>T("   INSECTICIDES")</f>
        <v xml:space="preserve">   INSECTICIDES</v>
      </c>
      <c r="C2024" s="4">
        <v>288914</v>
      </c>
      <c r="D2024" s="4">
        <v>166215565</v>
      </c>
    </row>
    <row r="2025" spans="1:4" x14ac:dyDescent="0.25">
      <c r="A2025" t="str">
        <f>T("   380893")</f>
        <v xml:space="preserve">   380893</v>
      </c>
      <c r="B2025" t="str">
        <f>T("   HERBICIDES, INHIBITEURS DE GERMINATION ET REGULATEURS DE CROISSANCE POUR PLANTES")</f>
        <v xml:space="preserve">   HERBICIDES, INHIBITEURS DE GERMINATION ET REGULATEURS DE CROISSANCE POUR PLANTES</v>
      </c>
      <c r="C2025" s="4">
        <v>10</v>
      </c>
      <c r="D2025" s="4">
        <v>215091</v>
      </c>
    </row>
    <row r="2026" spans="1:4" x14ac:dyDescent="0.25">
      <c r="A2026" t="str">
        <f>T("   381090")</f>
        <v xml:space="preserve">   381090</v>
      </c>
      <c r="B2026" t="str">
        <f>T("   AUTRES")</f>
        <v xml:space="preserve">   AUTRES</v>
      </c>
      <c r="C2026" s="4">
        <v>320234</v>
      </c>
      <c r="D2026" s="4">
        <v>51360549</v>
      </c>
    </row>
    <row r="2027" spans="1:4" x14ac:dyDescent="0.25">
      <c r="A2027" t="str">
        <f>T("   381220")</f>
        <v xml:space="preserve">   381220</v>
      </c>
      <c r="B2027" t="str">
        <f>T("   Plastifiants composites pour caoutchouc ou matieres plastiques")</f>
        <v xml:space="preserve">   Plastifiants composites pour caoutchouc ou matieres plastiques</v>
      </c>
      <c r="C2027" s="4">
        <v>18000</v>
      </c>
      <c r="D2027" s="4">
        <v>5969850</v>
      </c>
    </row>
    <row r="2028" spans="1:4" x14ac:dyDescent="0.25">
      <c r="A2028" t="str">
        <f>T("   381230")</f>
        <v xml:space="preserve">   381230</v>
      </c>
      <c r="B2028" t="str">
        <f>T("   PREPARATIONS ANTIOXYDANTES ET AUTRES STABILISATEURS COMPOSITES POUR CAOUTCHOUC OU MAT")</f>
        <v xml:space="preserve">   PREPARATIONS ANTIOXYDANTES ET AUTRES STABILISATEURS COMPOSITES POUR CAOUTCHOUC OU MAT</v>
      </c>
      <c r="C2028" s="4">
        <v>25319</v>
      </c>
      <c r="D2028" s="4">
        <v>19303925</v>
      </c>
    </row>
    <row r="2029" spans="1:4" x14ac:dyDescent="0.25">
      <c r="A2029" t="str">
        <f>T("   381400")</f>
        <v xml:space="preserve">   381400</v>
      </c>
      <c r="B2029" t="str">
        <f>T("   SOLVANTS ET DILUANTS ORGANIQUES COMPOSITES, NON DENOMMES NI COMPRIS AILLEURS; PREPARATI")</f>
        <v xml:space="preserve">   SOLVANTS ET DILUANTS ORGANIQUES COMPOSITES, NON DENOMMES NI COMPRIS AILLEURS; PREPARATI</v>
      </c>
      <c r="C2029" s="4">
        <v>61764</v>
      </c>
      <c r="D2029" s="4">
        <v>8655315</v>
      </c>
    </row>
    <row r="2030" spans="1:4" x14ac:dyDescent="0.25">
      <c r="A2030" t="str">
        <f>T("   382200")</f>
        <v xml:space="preserve">   382200</v>
      </c>
      <c r="B2030" t="str">
        <f>T("   REACTIFS DE DIAGNOSTIC OU DE LABORATOIRE SUR TOUT SUPPORT ET REACTIFS DE DIAGNOSTIC OU")</f>
        <v xml:space="preserve">   REACTIFS DE DIAGNOSTIC OU DE LABORATOIRE SUR TOUT SUPPORT ET REACTIFS DE DIAGNOSTIC OU</v>
      </c>
      <c r="C2030" s="4">
        <v>1753</v>
      </c>
      <c r="D2030" s="4">
        <v>27234035</v>
      </c>
    </row>
    <row r="2031" spans="1:4" x14ac:dyDescent="0.25">
      <c r="A2031" t="str">
        <f>T("   382440")</f>
        <v xml:space="preserve">   382440</v>
      </c>
      <c r="B2031" t="str">
        <f>T("   ADDITIFS PREPARES POUR CIMENTS, MORTIERS OU BETONS")</f>
        <v xml:space="preserve">   ADDITIFS PREPARES POUR CIMENTS, MORTIERS OU BETONS</v>
      </c>
      <c r="C2031" s="4">
        <v>19930</v>
      </c>
      <c r="D2031" s="4">
        <v>14127741</v>
      </c>
    </row>
    <row r="2032" spans="1:4" x14ac:dyDescent="0.25">
      <c r="A2032" t="str">
        <f>T("   382479")</f>
        <v xml:space="preserve">   382479</v>
      </c>
      <c r="B2032" t="str">
        <f>T("   AUTRES")</f>
        <v xml:space="preserve">   AUTRES</v>
      </c>
      <c r="C2032" s="4">
        <v>554</v>
      </c>
      <c r="D2032" s="4">
        <v>508120</v>
      </c>
    </row>
    <row r="2033" spans="1:4" x14ac:dyDescent="0.25">
      <c r="A2033" t="str">
        <f>T("   382490")</f>
        <v xml:space="preserve">   382490</v>
      </c>
      <c r="B2033" t="str">
        <f>T("   AUTRES")</f>
        <v xml:space="preserve">   AUTRES</v>
      </c>
      <c r="C2033" s="4">
        <v>7571</v>
      </c>
      <c r="D2033" s="4">
        <v>7402437</v>
      </c>
    </row>
    <row r="2034" spans="1:4" x14ac:dyDescent="0.25">
      <c r="A2034" t="str">
        <f>T("   390190")</f>
        <v xml:space="preserve">   390190</v>
      </c>
      <c r="B2034" t="str">
        <f>T("   AUTRES")</f>
        <v xml:space="preserve">   AUTRES</v>
      </c>
      <c r="C2034" s="4">
        <v>36000</v>
      </c>
      <c r="D2034" s="4">
        <v>7733767</v>
      </c>
    </row>
    <row r="2035" spans="1:4" x14ac:dyDescent="0.25">
      <c r="A2035" t="str">
        <f>T("   390319")</f>
        <v xml:space="preserve">   390319</v>
      </c>
      <c r="B2035" t="str">
        <f>T("   AUTRES")</f>
        <v xml:space="preserve">   AUTRES</v>
      </c>
      <c r="C2035" s="4">
        <v>1276</v>
      </c>
      <c r="D2035" s="4">
        <v>1431949</v>
      </c>
    </row>
    <row r="2036" spans="1:4" x14ac:dyDescent="0.25">
      <c r="A2036" t="str">
        <f>T("   390330")</f>
        <v xml:space="preserve">   390330</v>
      </c>
      <c r="B2036" t="str">
        <f>T("   COPOLYMERES D'ACRYLONITRILEBUTADIENESTYRENE (ABS)")</f>
        <v xml:space="preserve">   COPOLYMERES D'ACRYLONITRILEBUTADIENESTYRENE (ABS)</v>
      </c>
      <c r="C2036" s="4">
        <v>1500</v>
      </c>
      <c r="D2036" s="4">
        <v>1954276</v>
      </c>
    </row>
    <row r="2037" spans="1:4" x14ac:dyDescent="0.25">
      <c r="A2037" t="str">
        <f>T("   390410")</f>
        <v xml:space="preserve">   390410</v>
      </c>
      <c r="B2037" t="str">
        <f>T("   POLY(CHLORURE DE VINYLE), NON MELANGE A D'AUTRES SUBSTANCES")</f>
        <v xml:space="preserve">   POLY(CHLORURE DE VINYLE), NON MELANGE A D'AUTRES SUBSTANCES</v>
      </c>
      <c r="C2037" s="4">
        <v>74291</v>
      </c>
      <c r="D2037" s="4">
        <v>18202117</v>
      </c>
    </row>
    <row r="2038" spans="1:4" x14ac:dyDescent="0.25">
      <c r="A2038" t="str">
        <f>T("   390422")</f>
        <v xml:space="preserve">   390422</v>
      </c>
      <c r="B2038" t="str">
        <f>T("   PLASTIFIE")</f>
        <v xml:space="preserve">   PLASTIFIE</v>
      </c>
      <c r="C2038" s="4">
        <v>48600</v>
      </c>
      <c r="D2038" s="4">
        <v>23153158</v>
      </c>
    </row>
    <row r="2039" spans="1:4" x14ac:dyDescent="0.25">
      <c r="A2039" t="str">
        <f>T("   390530")</f>
        <v xml:space="preserve">   390530</v>
      </c>
      <c r="B2039" t="str">
        <f>T("   POLY(ALCOOL VINYLIQUE), MEME CONTENANT DES GROUPES ACETATE NON HYDROLYSES")</f>
        <v xml:space="preserve">   POLY(ALCOOL VINYLIQUE), MEME CONTENANT DES GROUPES ACETATE NON HYDROLYSES</v>
      </c>
      <c r="C2039" s="4">
        <v>18180</v>
      </c>
      <c r="D2039" s="4">
        <v>22483685</v>
      </c>
    </row>
    <row r="2040" spans="1:4" x14ac:dyDescent="0.25">
      <c r="A2040" t="str">
        <f>T("   390720")</f>
        <v xml:space="preserve">   390720</v>
      </c>
      <c r="B2040" t="str">
        <f>T("   AUTRES POLYETHERS")</f>
        <v xml:space="preserve">   AUTRES POLYETHERS</v>
      </c>
      <c r="C2040" s="4">
        <v>64000</v>
      </c>
      <c r="D2040" s="4">
        <v>80757859</v>
      </c>
    </row>
    <row r="2041" spans="1:4" x14ac:dyDescent="0.25">
      <c r="A2041" t="str">
        <f>T("   391110")</f>
        <v xml:space="preserve">   391110</v>
      </c>
      <c r="B2041" t="str">
        <f>T("   RESINES DE PETROLE, RESINES DE COUMARONE, RESINES D'INDENE, RESINES DE COUMARONEINDE")</f>
        <v xml:space="preserve">   RESINES DE PETROLE, RESINES DE COUMARONE, RESINES D'INDENE, RESINES DE COUMARONEINDE</v>
      </c>
      <c r="C2041" s="4">
        <v>2500</v>
      </c>
      <c r="D2041" s="4">
        <v>9267875</v>
      </c>
    </row>
    <row r="2042" spans="1:4" x14ac:dyDescent="0.25">
      <c r="A2042" t="str">
        <f>T("   391220")</f>
        <v xml:space="preserve">   391220</v>
      </c>
      <c r="B2042" t="str">
        <f>T("   NITRATES DE CELLULOSE (Y COMPRIS LES COLLODIONS)")</f>
        <v xml:space="preserve">   NITRATES DE CELLULOSE (Y COMPRIS LES COLLODIONS)</v>
      </c>
      <c r="C2042" s="4">
        <v>8720</v>
      </c>
      <c r="D2042" s="4">
        <v>16305198</v>
      </c>
    </row>
    <row r="2043" spans="1:4" x14ac:dyDescent="0.25">
      <c r="A2043" t="str">
        <f>T("   391239")</f>
        <v xml:space="preserve">   391239</v>
      </c>
      <c r="B2043" t="str">
        <f>T("   AUTRES")</f>
        <v xml:space="preserve">   AUTRES</v>
      </c>
      <c r="C2043" s="4">
        <v>3500</v>
      </c>
      <c r="D2043" s="4">
        <v>6644704</v>
      </c>
    </row>
    <row r="2044" spans="1:4" x14ac:dyDescent="0.25">
      <c r="A2044" t="str">
        <f>T("   391721")</f>
        <v xml:space="preserve">   391721</v>
      </c>
      <c r="B2044" t="str">
        <f>T("   EN POLYMERES DE L'ETHYLENE")</f>
        <v xml:space="preserve">   EN POLYMERES DE L'ETHYLENE</v>
      </c>
      <c r="C2044" s="4">
        <v>4293</v>
      </c>
      <c r="D2044" s="4">
        <v>4575664</v>
      </c>
    </row>
    <row r="2045" spans="1:4" x14ac:dyDescent="0.25">
      <c r="A2045" t="str">
        <f>T("   391722")</f>
        <v xml:space="preserve">   391722</v>
      </c>
      <c r="B2045" t="str">
        <f>T("   EN POLYMERES DU PROPYLENE")</f>
        <v xml:space="preserve">   EN POLYMERES DU PROPYLENE</v>
      </c>
      <c r="C2045" s="4">
        <v>1951</v>
      </c>
      <c r="D2045" s="4">
        <v>324628</v>
      </c>
    </row>
    <row r="2046" spans="1:4" x14ac:dyDescent="0.25">
      <c r="A2046" t="str">
        <f>T("   391729")</f>
        <v xml:space="preserve">   391729</v>
      </c>
      <c r="B2046" t="str">
        <f>T("   EN AUTRES MATIERES PLASTIQUES")</f>
        <v xml:space="preserve">   EN AUTRES MATIERES PLASTIQUES</v>
      </c>
      <c r="C2046" s="4">
        <v>170177</v>
      </c>
      <c r="D2046" s="4">
        <v>253662424</v>
      </c>
    </row>
    <row r="2047" spans="1:4" x14ac:dyDescent="0.25">
      <c r="A2047" t="str">
        <f>T("   391732")</f>
        <v xml:space="preserve">   391732</v>
      </c>
      <c r="B2047" t="str">
        <f>T("   AUTRES, NON RENFORCES D'AUTRES MATIERES NI AUTREMENT ASSOCIES A D'AUTRES MATIERES, S")</f>
        <v xml:space="preserve">   AUTRES, NON RENFORCES D'AUTRES MATIERES NI AUTREMENT ASSOCIES A D'AUTRES MATIERES, S</v>
      </c>
      <c r="C2047" s="4">
        <v>4873</v>
      </c>
      <c r="D2047" s="4">
        <v>2521769</v>
      </c>
    </row>
    <row r="2048" spans="1:4" x14ac:dyDescent="0.25">
      <c r="A2048" t="str">
        <f>T("   391739")</f>
        <v xml:space="preserve">   391739</v>
      </c>
      <c r="B2048" t="str">
        <f>T("   AUTRES")</f>
        <v xml:space="preserve">   AUTRES</v>
      </c>
      <c r="C2048" s="4">
        <v>35946</v>
      </c>
      <c r="D2048" s="4">
        <v>40225192</v>
      </c>
    </row>
    <row r="2049" spans="1:4" x14ac:dyDescent="0.25">
      <c r="A2049" t="str">
        <f>T("   391740")</f>
        <v xml:space="preserve">   391740</v>
      </c>
      <c r="B2049" t="str">
        <f>T("   ACCESSOIRES")</f>
        <v xml:space="preserve">   ACCESSOIRES</v>
      </c>
      <c r="C2049" s="4">
        <v>86893</v>
      </c>
      <c r="D2049" s="4">
        <v>31395950</v>
      </c>
    </row>
    <row r="2050" spans="1:4" x14ac:dyDescent="0.25">
      <c r="A2050" t="str">
        <f>T("   391890")</f>
        <v xml:space="preserve">   391890</v>
      </c>
      <c r="B2050" t="str">
        <f>T("   EN AUTRES MATIERES PLASTIQUES")</f>
        <v xml:space="preserve">   EN AUTRES MATIERES PLASTIQUES</v>
      </c>
      <c r="C2050" s="4">
        <v>7301</v>
      </c>
      <c r="D2050" s="4">
        <v>4269284</v>
      </c>
    </row>
    <row r="2051" spans="1:4" x14ac:dyDescent="0.25">
      <c r="A2051" t="str">
        <f>T("   391910")</f>
        <v xml:space="preserve">   391910</v>
      </c>
      <c r="B2051" t="str">
        <f>T("   EN ROULEAUX D'UNE LARGEUR N'EXCEDANT PAS 20 CM")</f>
        <v xml:space="preserve">   EN ROULEAUX D'UNE LARGEUR N'EXCEDANT PAS 20 CM</v>
      </c>
      <c r="C2051" s="4">
        <v>6882</v>
      </c>
      <c r="D2051" s="4">
        <v>7611610</v>
      </c>
    </row>
    <row r="2052" spans="1:4" x14ac:dyDescent="0.25">
      <c r="A2052" t="str">
        <f>T("   391990")</f>
        <v xml:space="preserve">   391990</v>
      </c>
      <c r="B2052" t="str">
        <f>T("   AUTRES")</f>
        <v xml:space="preserve">   AUTRES</v>
      </c>
      <c r="C2052" s="4">
        <v>330797</v>
      </c>
      <c r="D2052" s="4">
        <v>126469418</v>
      </c>
    </row>
    <row r="2053" spans="1:4" x14ac:dyDescent="0.25">
      <c r="A2053" t="str">
        <f>T("   392119")</f>
        <v xml:space="preserve">   392119</v>
      </c>
      <c r="B2053" t="str">
        <f>T("   EN AUTRES MATIERES PLASTIQUES")</f>
        <v xml:space="preserve">   EN AUTRES MATIERES PLASTIQUES</v>
      </c>
      <c r="C2053" s="4">
        <v>9070</v>
      </c>
      <c r="D2053" s="4">
        <v>3054592</v>
      </c>
    </row>
    <row r="2054" spans="1:4" x14ac:dyDescent="0.25">
      <c r="A2054" t="str">
        <f>T("   392190")</f>
        <v xml:space="preserve">   392190</v>
      </c>
      <c r="B2054" t="str">
        <f>T("   AUTRES")</f>
        <v xml:space="preserve">   AUTRES</v>
      </c>
      <c r="C2054" s="4">
        <v>45000</v>
      </c>
      <c r="D2054" s="4">
        <v>7969373</v>
      </c>
    </row>
    <row r="2055" spans="1:4" x14ac:dyDescent="0.25">
      <c r="A2055" t="str">
        <f>T("   392210")</f>
        <v xml:space="preserve">   392210</v>
      </c>
      <c r="B2055" t="str">
        <f>T("   BAIGNOIRES, DOUCHES, EVIERS ET LAVABOS")</f>
        <v xml:space="preserve">   BAIGNOIRES, DOUCHES, EVIERS ET LAVABOS</v>
      </c>
      <c r="C2055" s="4">
        <v>11410</v>
      </c>
      <c r="D2055" s="4">
        <v>11470423</v>
      </c>
    </row>
    <row r="2056" spans="1:4" x14ac:dyDescent="0.25">
      <c r="A2056" t="str">
        <f>T("   392220")</f>
        <v xml:space="preserve">   392220</v>
      </c>
      <c r="B2056" t="str">
        <f>T("   SIEGES ET COUVERCLES DE CUVETTES D'AISANCE")</f>
        <v xml:space="preserve">   SIEGES ET COUVERCLES DE CUVETTES D'AISANCE</v>
      </c>
      <c r="C2056" s="4">
        <v>14717</v>
      </c>
      <c r="D2056" s="4">
        <v>4369198</v>
      </c>
    </row>
    <row r="2057" spans="1:4" x14ac:dyDescent="0.25">
      <c r="A2057" t="str">
        <f>T("   392290")</f>
        <v xml:space="preserve">   392290</v>
      </c>
      <c r="B2057" t="str">
        <f>T("   AUTRES")</f>
        <v xml:space="preserve">   AUTRES</v>
      </c>
      <c r="C2057" s="4">
        <v>49255</v>
      </c>
      <c r="D2057" s="4">
        <v>21194449</v>
      </c>
    </row>
    <row r="2058" spans="1:4" x14ac:dyDescent="0.25">
      <c r="A2058" t="str">
        <f>T("   392310")</f>
        <v xml:space="preserve">   392310</v>
      </c>
      <c r="B2058" t="str">
        <f>T("   BOITES, CAISSES, CASIERS ET ARTICLES SIMILAIRES")</f>
        <v xml:space="preserve">   BOITES, CAISSES, CASIERS ET ARTICLES SIMILAIRES</v>
      </c>
      <c r="C2058" s="4">
        <v>13267</v>
      </c>
      <c r="D2058" s="4">
        <v>6605278</v>
      </c>
    </row>
    <row r="2059" spans="1:4" x14ac:dyDescent="0.25">
      <c r="A2059" t="str">
        <f>T("   392321")</f>
        <v xml:space="preserve">   392321</v>
      </c>
      <c r="B2059" t="str">
        <f>T("   EN POLYMERES DE L'ETHYLENE")</f>
        <v xml:space="preserve">   EN POLYMERES DE L'ETHYLENE</v>
      </c>
      <c r="C2059" s="4">
        <v>1241</v>
      </c>
      <c r="D2059" s="4">
        <v>314515</v>
      </c>
    </row>
    <row r="2060" spans="1:4" x14ac:dyDescent="0.25">
      <c r="A2060" t="str">
        <f>T("   392329")</f>
        <v xml:space="preserve">   392329</v>
      </c>
      <c r="B2060" t="str">
        <f>T("   EN AUTRES MATIERES PLASTIQUES")</f>
        <v xml:space="preserve">   EN AUTRES MATIERES PLASTIQUES</v>
      </c>
      <c r="C2060" s="4">
        <v>89325</v>
      </c>
      <c r="D2060" s="4">
        <v>30848982</v>
      </c>
    </row>
    <row r="2061" spans="1:4" x14ac:dyDescent="0.25">
      <c r="A2061" t="str">
        <f>T("   392330")</f>
        <v xml:space="preserve">   392330</v>
      </c>
      <c r="B2061" t="str">
        <f>T("   BONBONNES, BOUTEILLES, FLACONS ET ARTICLES SIMILAIRES")</f>
        <v xml:space="preserve">   BONBONNES, BOUTEILLES, FLACONS ET ARTICLES SIMILAIRES</v>
      </c>
      <c r="C2061" s="4">
        <v>125881</v>
      </c>
      <c r="D2061" s="4">
        <v>71691924</v>
      </c>
    </row>
    <row r="2062" spans="1:4" x14ac:dyDescent="0.25">
      <c r="A2062" t="str">
        <f>T("   392350")</f>
        <v xml:space="preserve">   392350</v>
      </c>
      <c r="B2062" t="str">
        <f>T("   BOUCHONS, COUVERCLES, CAPSULES ET AUTRES DISPOSITIFS DE FERMETURE")</f>
        <v xml:space="preserve">   BOUCHONS, COUVERCLES, CAPSULES ET AUTRES DISPOSITIFS DE FERMETURE</v>
      </c>
      <c r="C2062" s="4">
        <v>21374</v>
      </c>
      <c r="D2062" s="4">
        <v>12680147</v>
      </c>
    </row>
    <row r="2063" spans="1:4" x14ac:dyDescent="0.25">
      <c r="A2063" t="str">
        <f>T("   392390")</f>
        <v xml:space="preserve">   392390</v>
      </c>
      <c r="B2063" t="str">
        <f>T("   AUTRES")</f>
        <v xml:space="preserve">   AUTRES</v>
      </c>
      <c r="C2063" s="4">
        <v>41316</v>
      </c>
      <c r="D2063" s="4">
        <v>15661856</v>
      </c>
    </row>
    <row r="2064" spans="1:4" x14ac:dyDescent="0.25">
      <c r="A2064" t="str">
        <f>T("   392410")</f>
        <v xml:space="preserve">   392410</v>
      </c>
      <c r="B2064" t="str">
        <f>T("   VAISSELLE ET AUTRES ARTICLES POUR LE SERVICE DE LA TABLE OU DE LA CUISINE")</f>
        <v xml:space="preserve">   VAISSELLE ET AUTRES ARTICLES POUR LE SERVICE DE LA TABLE OU DE LA CUISINE</v>
      </c>
      <c r="C2064" s="4">
        <v>4937044</v>
      </c>
      <c r="D2064" s="4">
        <v>943578083</v>
      </c>
    </row>
    <row r="2065" spans="1:4" x14ac:dyDescent="0.25">
      <c r="A2065" t="str">
        <f>T("   392490")</f>
        <v xml:space="preserve">   392490</v>
      </c>
      <c r="B2065" t="str">
        <f>T("   AUTRES")</f>
        <v xml:space="preserve">   AUTRES</v>
      </c>
      <c r="C2065" s="4">
        <v>1271928</v>
      </c>
      <c r="D2065" s="4">
        <v>262182915</v>
      </c>
    </row>
    <row r="2066" spans="1:4" x14ac:dyDescent="0.25">
      <c r="A2066" t="str">
        <f>T("   392510")</f>
        <v xml:space="preserve">   392510</v>
      </c>
      <c r="B2066" t="str">
        <f>T("   RESERVOIRS, FOUDRES, CUVES ET RECIPIENTS ANALOGUES, D'UNE CONTENANCE EXCEDANT 300 L")</f>
        <v xml:space="preserve">   RESERVOIRS, FOUDRES, CUVES ET RECIPIENTS ANALOGUES, D'UNE CONTENANCE EXCEDANT 300 L</v>
      </c>
      <c r="C2066" s="4">
        <v>2000</v>
      </c>
      <c r="D2066" s="4">
        <v>1311920</v>
      </c>
    </row>
    <row r="2067" spans="1:4" x14ac:dyDescent="0.25">
      <c r="A2067" t="str">
        <f>T("   392520")</f>
        <v xml:space="preserve">   392520</v>
      </c>
      <c r="B2067" t="str">
        <f>T("   PORTES, FENETRES ET LEURS CADRES, CHAMBRANLES ET SEUILS")</f>
        <v xml:space="preserve">   PORTES, FENETRES ET LEURS CADRES, CHAMBRANLES ET SEUILS</v>
      </c>
      <c r="C2067" s="4">
        <v>1692</v>
      </c>
      <c r="D2067" s="4">
        <v>2234558</v>
      </c>
    </row>
    <row r="2068" spans="1:4" x14ac:dyDescent="0.25">
      <c r="A2068" t="str">
        <f>T("   392590")</f>
        <v xml:space="preserve">   392590</v>
      </c>
      <c r="B2068" t="str">
        <f>T("   AUTRES")</f>
        <v xml:space="preserve">   AUTRES</v>
      </c>
      <c r="C2068" s="4">
        <v>99175</v>
      </c>
      <c r="D2068" s="4">
        <v>34210389</v>
      </c>
    </row>
    <row r="2069" spans="1:4" x14ac:dyDescent="0.25">
      <c r="A2069" t="str">
        <f>T("   392610")</f>
        <v xml:space="preserve">   392610</v>
      </c>
      <c r="B2069" t="str">
        <f>T("   ARTICLES DE BUREAU ET ARTICLES SCOLAIRES")</f>
        <v xml:space="preserve">   ARTICLES DE BUREAU ET ARTICLES SCOLAIRES</v>
      </c>
      <c r="C2069" s="4">
        <v>200027.71</v>
      </c>
      <c r="D2069" s="4">
        <v>95284244</v>
      </c>
    </row>
    <row r="2070" spans="1:4" x14ac:dyDescent="0.25">
      <c r="A2070" t="str">
        <f>T("   392620")</f>
        <v xml:space="preserve">   392620</v>
      </c>
      <c r="B2070" t="str">
        <f>T("   VETEMENTS ET ACCESSOIRES DU VETEMENT (Y COMPRIS LES GANTS, MITAINES ET MOUFLES)")</f>
        <v xml:space="preserve">   VETEMENTS ET ACCESSOIRES DU VETEMENT (Y COMPRIS LES GANTS, MITAINES ET MOUFLES)</v>
      </c>
      <c r="C2070" s="4">
        <v>33821</v>
      </c>
      <c r="D2070" s="4">
        <v>13399346</v>
      </c>
    </row>
    <row r="2071" spans="1:4" x14ac:dyDescent="0.25">
      <c r="A2071" t="str">
        <f>T("   392640")</f>
        <v xml:space="preserve">   392640</v>
      </c>
      <c r="B2071" t="str">
        <f>T("   STATUETTES ET AUTRES OBJETS D'ORNEMENTATION")</f>
        <v xml:space="preserve">   STATUETTES ET AUTRES OBJETS D'ORNEMENTATION</v>
      </c>
      <c r="C2071" s="4">
        <v>14616</v>
      </c>
      <c r="D2071" s="4">
        <v>8292170</v>
      </c>
    </row>
    <row r="2072" spans="1:4" x14ac:dyDescent="0.25">
      <c r="A2072" t="str">
        <f>T("   392690")</f>
        <v xml:space="preserve">   392690</v>
      </c>
      <c r="B2072" t="str">
        <f>T("   AUTRES")</f>
        <v xml:space="preserve">   AUTRES</v>
      </c>
      <c r="C2072" s="4">
        <v>1078858</v>
      </c>
      <c r="D2072" s="4">
        <v>411878805</v>
      </c>
    </row>
    <row r="2073" spans="1:4" x14ac:dyDescent="0.25">
      <c r="A2073" t="str">
        <f>T("   400129")</f>
        <v xml:space="preserve">   400129</v>
      </c>
      <c r="B2073" t="str">
        <f>T("   AUTRES")</f>
        <v xml:space="preserve">   AUTRES</v>
      </c>
      <c r="C2073" s="4">
        <v>800</v>
      </c>
      <c r="D2073" s="4">
        <v>400000</v>
      </c>
    </row>
    <row r="2074" spans="1:4" x14ac:dyDescent="0.25">
      <c r="A2074" t="str">
        <f>T("   400211")</f>
        <v xml:space="preserve">   400211</v>
      </c>
      <c r="B2074" t="str">
        <f>T("   LATEX")</f>
        <v xml:space="preserve">   LATEX</v>
      </c>
      <c r="C2074" s="4">
        <v>4832</v>
      </c>
      <c r="D2074" s="4">
        <v>6224404</v>
      </c>
    </row>
    <row r="2075" spans="1:4" x14ac:dyDescent="0.25">
      <c r="A2075" t="str">
        <f>T("   400299")</f>
        <v xml:space="preserve">   400299</v>
      </c>
      <c r="B2075" t="str">
        <f>T("   AUTRES")</f>
        <v xml:space="preserve">   AUTRES</v>
      </c>
      <c r="C2075" s="4">
        <v>4219</v>
      </c>
      <c r="D2075" s="4">
        <v>6038110</v>
      </c>
    </row>
    <row r="2076" spans="1:4" x14ac:dyDescent="0.25">
      <c r="A2076" t="str">
        <f>T("   400690")</f>
        <v xml:space="preserve">   400690</v>
      </c>
      <c r="B2076" t="str">
        <f>T("   AUTRES")</f>
        <v xml:space="preserve">   AUTRES</v>
      </c>
      <c r="C2076" s="4">
        <v>13200</v>
      </c>
      <c r="D2076" s="4">
        <v>6209759</v>
      </c>
    </row>
    <row r="2077" spans="1:4" x14ac:dyDescent="0.25">
      <c r="A2077" t="str">
        <f>T("   400700")</f>
        <v xml:space="preserve">   400700</v>
      </c>
      <c r="B2077" t="str">
        <f>T("   FILS ET CORDES DE CAOUTCHOUC VULCANISE.")</f>
        <v xml:space="preserve">   FILS ET CORDES DE CAOUTCHOUC VULCANISE.</v>
      </c>
      <c r="C2077" s="4">
        <v>275</v>
      </c>
      <c r="D2077" s="4">
        <v>245688</v>
      </c>
    </row>
    <row r="2078" spans="1:4" x14ac:dyDescent="0.25">
      <c r="A2078" t="str">
        <f>T("   400911")</f>
        <v xml:space="preserve">   400911</v>
      </c>
      <c r="B2078" t="str">
        <f>T("   SANS ACCESSOIRES")</f>
        <v xml:space="preserve">   SANS ACCESSOIRES</v>
      </c>
      <c r="C2078" s="4">
        <v>149</v>
      </c>
      <c r="D2078" s="4">
        <v>74700</v>
      </c>
    </row>
    <row r="2079" spans="1:4" x14ac:dyDescent="0.25">
      <c r="A2079" t="str">
        <f>T("   400912")</f>
        <v xml:space="preserve">   400912</v>
      </c>
      <c r="B2079" t="str">
        <f>T("   AVEC ACCESSOIRES")</f>
        <v xml:space="preserve">   AVEC ACCESSOIRES</v>
      </c>
      <c r="C2079" s="4">
        <v>4500</v>
      </c>
      <c r="D2079" s="4">
        <v>1450000</v>
      </c>
    </row>
    <row r="2080" spans="1:4" x14ac:dyDescent="0.25">
      <c r="A2080" t="str">
        <f>T("   401019")</f>
        <v xml:space="preserve">   401019</v>
      </c>
      <c r="B2080" t="str">
        <f>T("   AUTRES")</f>
        <v xml:space="preserve">   AUTRES</v>
      </c>
      <c r="C2080" s="4">
        <v>144</v>
      </c>
      <c r="D2080" s="4">
        <v>132939</v>
      </c>
    </row>
    <row r="2081" spans="1:4" x14ac:dyDescent="0.25">
      <c r="A2081" t="str">
        <f>T("   401039")</f>
        <v xml:space="preserve">   401039</v>
      </c>
      <c r="B2081" t="str">
        <f>T("   AUTRES")</f>
        <v xml:space="preserve">   AUTRES</v>
      </c>
      <c r="C2081" s="4">
        <v>5180</v>
      </c>
      <c r="D2081" s="4">
        <v>905224</v>
      </c>
    </row>
    <row r="2082" spans="1:4" x14ac:dyDescent="0.25">
      <c r="A2082" t="str">
        <f>T("   401110")</f>
        <v xml:space="preserve">   401110</v>
      </c>
      <c r="B2082" t="str">
        <f>T("   DES TYPES UTILISES POUR LES VOITURES DE TOURISME (Y COMPRIS LES VOITURES DU TYPE «BRE")</f>
        <v xml:space="preserve">   DES TYPES UTILISES POUR LES VOITURES DE TOURISME (Y COMPRIS LES VOITURES DU TYPE «BRE</v>
      </c>
      <c r="C2082" s="4">
        <v>892687</v>
      </c>
      <c r="D2082" s="4">
        <v>653268951</v>
      </c>
    </row>
    <row r="2083" spans="1:4" x14ac:dyDescent="0.25">
      <c r="A2083" t="str">
        <f>T("   401120")</f>
        <v xml:space="preserve">   401120</v>
      </c>
      <c r="B2083" t="str">
        <f>T("   DES TYPES UTILISES POUR AUTOBUS OU CAMIONS")</f>
        <v xml:space="preserve">   DES TYPES UTILISES POUR AUTOBUS OU CAMIONS</v>
      </c>
      <c r="C2083" s="4">
        <v>2826833</v>
      </c>
      <c r="D2083" s="4">
        <v>1987660756</v>
      </c>
    </row>
    <row r="2084" spans="1:4" x14ac:dyDescent="0.25">
      <c r="A2084" t="str">
        <f>T("   401130")</f>
        <v xml:space="preserve">   401130</v>
      </c>
      <c r="B2084" t="str">
        <f>T("   DES TYPES UTILISES POUR VEHICULES AERIENS")</f>
        <v xml:space="preserve">   DES TYPES UTILISES POUR VEHICULES AERIENS</v>
      </c>
      <c r="C2084" s="4">
        <v>7500</v>
      </c>
      <c r="D2084" s="4">
        <v>5075000</v>
      </c>
    </row>
    <row r="2085" spans="1:4" x14ac:dyDescent="0.25">
      <c r="A2085" t="str">
        <f>T("   401140")</f>
        <v xml:space="preserve">   401140</v>
      </c>
      <c r="B2085" t="str">
        <f>T("   DES TYPES UTILISES POUR MOTOCYCLES")</f>
        <v xml:space="preserve">   DES TYPES UTILISES POUR MOTOCYCLES</v>
      </c>
      <c r="C2085" s="4">
        <v>331731</v>
      </c>
      <c r="D2085" s="4">
        <v>102771684</v>
      </c>
    </row>
    <row r="2086" spans="1:4" x14ac:dyDescent="0.25">
      <c r="A2086" t="str">
        <f>T("   401161")</f>
        <v xml:space="preserve">   401161</v>
      </c>
      <c r="B2086" t="str">
        <f>T("   DES TYPES UTILISES POUR LES VEHICULES ET ENGINS AGRICOLES ET FORESTIERS")</f>
        <v xml:space="preserve">   DES TYPES UTILISES POUR LES VEHICULES ET ENGINS AGRICOLES ET FORESTIERS</v>
      </c>
      <c r="C2086" s="4">
        <v>35609</v>
      </c>
      <c r="D2086" s="4">
        <v>91139470</v>
      </c>
    </row>
    <row r="2087" spans="1:4" x14ac:dyDescent="0.25">
      <c r="A2087" t="str">
        <f>T("   401169")</f>
        <v xml:space="preserve">   401169</v>
      </c>
      <c r="B2087" t="str">
        <f>T("   AUTRES")</f>
        <v xml:space="preserve">   AUTRES</v>
      </c>
      <c r="C2087" s="4">
        <v>1674</v>
      </c>
      <c r="D2087" s="4">
        <v>7496967</v>
      </c>
    </row>
    <row r="2088" spans="1:4" x14ac:dyDescent="0.25">
      <c r="A2088" t="str">
        <f>T("   401199")</f>
        <v xml:space="preserve">   401199</v>
      </c>
      <c r="B2088" t="str">
        <f>T("   AUTRES")</f>
        <v xml:space="preserve">   AUTRES</v>
      </c>
      <c r="C2088" s="4">
        <v>538698</v>
      </c>
      <c r="D2088" s="4">
        <v>279169569</v>
      </c>
    </row>
    <row r="2089" spans="1:4" x14ac:dyDescent="0.25">
      <c r="A2089" t="str">
        <f>T("   401211")</f>
        <v xml:space="preserve">   401211</v>
      </c>
      <c r="B2089" t="str">
        <f>T("   DES TYPES UTILISES POUR LES VOITURES DE TOURISME (Y COMPRIS LES VOITURES DU TYPE «BR")</f>
        <v xml:space="preserve">   DES TYPES UTILISES POUR LES VOITURES DE TOURISME (Y COMPRIS LES VOITURES DU TYPE «BR</v>
      </c>
      <c r="C2089" s="4">
        <v>12300</v>
      </c>
      <c r="D2089" s="4">
        <v>3090000</v>
      </c>
    </row>
    <row r="2090" spans="1:4" x14ac:dyDescent="0.25">
      <c r="A2090" t="str">
        <f>T("   401212")</f>
        <v xml:space="preserve">   401212</v>
      </c>
      <c r="B2090" t="str">
        <f>T("   DES TYPES UTILISES POUR AUTOBUS OU CAMIONS")</f>
        <v xml:space="preserve">   DES TYPES UTILISES POUR AUTOBUS OU CAMIONS</v>
      </c>
      <c r="C2090" s="4">
        <v>15400</v>
      </c>
      <c r="D2090" s="4">
        <v>4268652</v>
      </c>
    </row>
    <row r="2091" spans="1:4" x14ac:dyDescent="0.25">
      <c r="A2091" t="str">
        <f>T("   401219")</f>
        <v xml:space="preserve">   401219</v>
      </c>
      <c r="B2091" t="str">
        <f>T("   AUTRES")</f>
        <v xml:space="preserve">   AUTRES</v>
      </c>
      <c r="C2091" s="4">
        <v>7710</v>
      </c>
      <c r="D2091" s="4">
        <v>3116310</v>
      </c>
    </row>
    <row r="2092" spans="1:4" x14ac:dyDescent="0.25">
      <c r="A2092" t="str">
        <f>T("   401220")</f>
        <v xml:space="preserve">   401220</v>
      </c>
      <c r="B2092" t="str">
        <f>T("   PNEUMATIQUES USAGES")</f>
        <v xml:space="preserve">   PNEUMATIQUES USAGES</v>
      </c>
      <c r="C2092" s="4">
        <v>10000</v>
      </c>
      <c r="D2092" s="4">
        <v>3000000</v>
      </c>
    </row>
    <row r="2093" spans="1:4" x14ac:dyDescent="0.25">
      <c r="A2093" t="str">
        <f>T("   401310")</f>
        <v xml:space="preserve">   401310</v>
      </c>
      <c r="B2093" t="str">
        <f>T("   DES TYPES UTILISES POUR LES VOITURES DE TOURISME (Y COMPRIS LES VOITURES DU TYPE «BRE")</f>
        <v xml:space="preserve">   DES TYPES UTILISES POUR LES VOITURES DE TOURISME (Y COMPRIS LES VOITURES DU TYPE «BRE</v>
      </c>
      <c r="C2093" s="4">
        <v>13011</v>
      </c>
      <c r="D2093" s="4">
        <v>855930</v>
      </c>
    </row>
    <row r="2094" spans="1:4" x14ac:dyDescent="0.25">
      <c r="A2094" t="str">
        <f>T("   401390")</f>
        <v xml:space="preserve">   401390</v>
      </c>
      <c r="B2094" t="str">
        <f>T("   AUTRES")</f>
        <v xml:space="preserve">   AUTRES</v>
      </c>
      <c r="C2094" s="4">
        <v>109601</v>
      </c>
      <c r="D2094" s="4">
        <v>7476426</v>
      </c>
    </row>
    <row r="2095" spans="1:4" x14ac:dyDescent="0.25">
      <c r="A2095" t="str">
        <f>T("   401410")</f>
        <v xml:space="preserve">   401410</v>
      </c>
      <c r="B2095" t="str">
        <f>T("   PRESERVATIFS")</f>
        <v xml:space="preserve">   PRESERVATIFS</v>
      </c>
      <c r="C2095" s="4">
        <v>11259</v>
      </c>
      <c r="D2095" s="4">
        <v>55867133</v>
      </c>
    </row>
    <row r="2096" spans="1:4" x14ac:dyDescent="0.25">
      <c r="A2096" t="str">
        <f>T("   401511")</f>
        <v xml:space="preserve">   401511</v>
      </c>
      <c r="B2096" t="str">
        <f>T("   POUR CHIRURGIE")</f>
        <v xml:space="preserve">   POUR CHIRURGIE</v>
      </c>
      <c r="C2096" s="4">
        <v>5290</v>
      </c>
      <c r="D2096" s="4">
        <v>8743552</v>
      </c>
    </row>
    <row r="2097" spans="1:4" x14ac:dyDescent="0.25">
      <c r="A2097" t="str">
        <f>T("   401519")</f>
        <v xml:space="preserve">   401519</v>
      </c>
      <c r="B2097" t="str">
        <f>T("   AUTRES")</f>
        <v xml:space="preserve">   AUTRES</v>
      </c>
      <c r="C2097" s="4">
        <v>996</v>
      </c>
      <c r="D2097" s="4">
        <v>4768173</v>
      </c>
    </row>
    <row r="2098" spans="1:4" x14ac:dyDescent="0.25">
      <c r="A2098" t="str">
        <f>T("   401692")</f>
        <v xml:space="preserve">   401692</v>
      </c>
      <c r="B2098" t="str">
        <f>T("   GOMMES A EFFACER")</f>
        <v xml:space="preserve">   GOMMES A EFFACER</v>
      </c>
      <c r="C2098" s="4">
        <v>20040</v>
      </c>
      <c r="D2098" s="4">
        <v>7902961</v>
      </c>
    </row>
    <row r="2099" spans="1:4" x14ac:dyDescent="0.25">
      <c r="A2099" t="str">
        <f>T("   401695")</f>
        <v xml:space="preserve">   401695</v>
      </c>
      <c r="B2099" t="str">
        <f>T("   AUTRES ARTICLES GONFLABLES")</f>
        <v xml:space="preserve">   AUTRES ARTICLES GONFLABLES</v>
      </c>
      <c r="C2099" s="4">
        <v>726</v>
      </c>
      <c r="D2099" s="4">
        <v>5348817</v>
      </c>
    </row>
    <row r="2100" spans="1:4" x14ac:dyDescent="0.25">
      <c r="A2100" t="str">
        <f>T("   401699")</f>
        <v xml:space="preserve">   401699</v>
      </c>
      <c r="B2100" t="str">
        <f>T("   AUTRES")</f>
        <v xml:space="preserve">   AUTRES</v>
      </c>
      <c r="C2100" s="4">
        <v>25480</v>
      </c>
      <c r="D2100" s="4">
        <v>9390080</v>
      </c>
    </row>
    <row r="2101" spans="1:4" x14ac:dyDescent="0.25">
      <c r="A2101" t="str">
        <f>T("   411510")</f>
        <v xml:space="preserve">   411510</v>
      </c>
      <c r="B2101" t="str">
        <f>T("   CUIR RECONSTITUE, A BASE DE CUIR OU DE FIBRES DE CUIR, EN PLAQUES, FEUILLES OU BANDES")</f>
        <v xml:space="preserve">   CUIR RECONSTITUE, A BASE DE CUIR OU DE FIBRES DE CUIR, EN PLAQUES, FEUILLES OU BANDES</v>
      </c>
      <c r="C2101" s="4">
        <v>40130</v>
      </c>
      <c r="D2101" s="4">
        <v>17712651</v>
      </c>
    </row>
    <row r="2102" spans="1:4" x14ac:dyDescent="0.25">
      <c r="A2102" t="str">
        <f>T("   420211")</f>
        <v xml:space="preserve">   420211</v>
      </c>
      <c r="B2102" t="str">
        <f>T("   A SURFACE EXTERIEURE EN CUIR NATUREL OU EN CUIR RECONSTITUE")</f>
        <v xml:space="preserve">   A SURFACE EXTERIEURE EN CUIR NATUREL OU EN CUIR RECONSTITUE</v>
      </c>
      <c r="C2102" s="4">
        <v>1284</v>
      </c>
      <c r="D2102" s="4">
        <v>2147896</v>
      </c>
    </row>
    <row r="2103" spans="1:4" x14ac:dyDescent="0.25">
      <c r="A2103" t="str">
        <f>T("   420212")</f>
        <v xml:space="preserve">   420212</v>
      </c>
      <c r="B2103" t="str">
        <f>T("   A SURFACE EXTERIEURE EN MATIERES PLASTIQUES OU EN MATIERES TEXTILES")</f>
        <v xml:space="preserve">   A SURFACE EXTERIEURE EN MATIERES PLASTIQUES OU EN MATIERES TEXTILES</v>
      </c>
      <c r="C2103" s="4">
        <v>5700</v>
      </c>
      <c r="D2103" s="4">
        <v>26318705</v>
      </c>
    </row>
    <row r="2104" spans="1:4" x14ac:dyDescent="0.25">
      <c r="A2104" t="str">
        <f>T("   420219")</f>
        <v xml:space="preserve">   420219</v>
      </c>
      <c r="B2104" t="str">
        <f>T("   AUTRES")</f>
        <v xml:space="preserve">   AUTRES</v>
      </c>
      <c r="C2104" s="4">
        <v>79975</v>
      </c>
      <c r="D2104" s="4">
        <v>38003629</v>
      </c>
    </row>
    <row r="2105" spans="1:4" x14ac:dyDescent="0.25">
      <c r="A2105" t="str">
        <f>T("   420222")</f>
        <v xml:space="preserve">   420222</v>
      </c>
      <c r="B2105" t="str">
        <f>T("   A SURFACE EXTERIEURE EN FEUILLES DE MATIERES PLASTIQUES OU EN MATIERES TEXTILES")</f>
        <v xml:space="preserve">   A SURFACE EXTERIEURE EN FEUILLES DE MATIERES PLASTIQUES OU EN MATIERES TEXTILES</v>
      </c>
      <c r="C2105" s="4">
        <v>154534</v>
      </c>
      <c r="D2105" s="4">
        <v>36840561</v>
      </c>
    </row>
    <row r="2106" spans="1:4" x14ac:dyDescent="0.25">
      <c r="A2106" t="str">
        <f>T("   420229")</f>
        <v xml:space="preserve">   420229</v>
      </c>
      <c r="B2106" t="str">
        <f>T("   AUTRES")</f>
        <v xml:space="preserve">   AUTRES</v>
      </c>
      <c r="C2106" s="4">
        <v>4612403</v>
      </c>
      <c r="D2106" s="4">
        <v>1651966711</v>
      </c>
    </row>
    <row r="2107" spans="1:4" x14ac:dyDescent="0.25">
      <c r="A2107" t="str">
        <f>T("   420239")</f>
        <v xml:space="preserve">   420239</v>
      </c>
      <c r="B2107" t="str">
        <f>T("   AUTRES")</f>
        <v xml:space="preserve">   AUTRES</v>
      </c>
      <c r="C2107" s="4">
        <v>17200</v>
      </c>
      <c r="D2107" s="4">
        <v>5445000</v>
      </c>
    </row>
    <row r="2108" spans="1:4" x14ac:dyDescent="0.25">
      <c r="A2108" t="str">
        <f>T("   420291")</f>
        <v xml:space="preserve">   420291</v>
      </c>
      <c r="B2108" t="str">
        <f>T("   A SURFACE EXTERIEURE EN CUIR NATUREL OU EN CUIR RECONSTITUE")</f>
        <v xml:space="preserve">   A SURFACE EXTERIEURE EN CUIR NATUREL OU EN CUIR RECONSTITUE</v>
      </c>
      <c r="C2108" s="4">
        <v>6000</v>
      </c>
      <c r="D2108" s="4">
        <v>4800000</v>
      </c>
    </row>
    <row r="2109" spans="1:4" x14ac:dyDescent="0.25">
      <c r="A2109" t="str">
        <f>T("   420292")</f>
        <v xml:space="preserve">   420292</v>
      </c>
      <c r="B2109" t="str">
        <f>T("   A SURFACE EXTERIEURE EN FEUILLES DE MATIERES PLASTIQUES OU EN MATIERES TEXTILES")</f>
        <v xml:space="preserve">   A SURFACE EXTERIEURE EN FEUILLES DE MATIERES PLASTIQUES OU EN MATIERES TEXTILES</v>
      </c>
      <c r="C2109" s="4">
        <v>5120</v>
      </c>
      <c r="D2109" s="4">
        <v>761000</v>
      </c>
    </row>
    <row r="2110" spans="1:4" x14ac:dyDescent="0.25">
      <c r="A2110" t="str">
        <f>T("   420299")</f>
        <v xml:space="preserve">   420299</v>
      </c>
      <c r="B2110" t="str">
        <f>T("   AUTRES")</f>
        <v xml:space="preserve">   AUTRES</v>
      </c>
      <c r="C2110" s="4">
        <v>758646</v>
      </c>
      <c r="D2110" s="4">
        <v>225712443</v>
      </c>
    </row>
    <row r="2111" spans="1:4" x14ac:dyDescent="0.25">
      <c r="A2111" t="str">
        <f>T("   420330")</f>
        <v xml:space="preserve">   420330</v>
      </c>
      <c r="B2111" t="str">
        <f>T("   CEINTURES, CEINTURONS ET BAUDRIERS")</f>
        <v xml:space="preserve">   CEINTURES, CEINTURONS ET BAUDRIERS</v>
      </c>
      <c r="C2111" s="4">
        <v>6393</v>
      </c>
      <c r="D2111" s="4">
        <v>7327323</v>
      </c>
    </row>
    <row r="2112" spans="1:4" x14ac:dyDescent="0.25">
      <c r="A2112" t="str">
        <f>T("   420500")</f>
        <v xml:space="preserve">   420500</v>
      </c>
      <c r="B2112" t="str">
        <f>T("   AUTRES OUVRAGES EN CUIR NATUREL OU RECONSTITUE.")</f>
        <v xml:space="preserve">   AUTRES OUVRAGES EN CUIR NATUREL OU RECONSTITUE.</v>
      </c>
      <c r="C2112" s="4">
        <v>14015</v>
      </c>
      <c r="D2112" s="4">
        <v>4542438</v>
      </c>
    </row>
    <row r="2113" spans="1:4" x14ac:dyDescent="0.25">
      <c r="A2113" t="str">
        <f>T("   430219")</f>
        <v xml:space="preserve">   430219</v>
      </c>
      <c r="B2113" t="str">
        <f>T("   AUTRES")</f>
        <v xml:space="preserve">   AUTRES</v>
      </c>
      <c r="C2113" s="4">
        <v>9200</v>
      </c>
      <c r="D2113" s="4">
        <v>3290500</v>
      </c>
    </row>
    <row r="2114" spans="1:4" x14ac:dyDescent="0.25">
      <c r="A2114" t="str">
        <f>T("   440290")</f>
        <v xml:space="preserve">   440290</v>
      </c>
      <c r="B2114" t="str">
        <f>T("   AUTRES")</f>
        <v xml:space="preserve">   AUTRES</v>
      </c>
      <c r="C2114" s="4">
        <v>6400</v>
      </c>
      <c r="D2114" s="4">
        <v>3432740</v>
      </c>
    </row>
    <row r="2115" spans="1:4" x14ac:dyDescent="0.25">
      <c r="A2115" t="str">
        <f>T("   440799")</f>
        <v xml:space="preserve">   440799</v>
      </c>
      <c r="B2115" t="str">
        <f>T("   AUTRES")</f>
        <v xml:space="preserve">   AUTRES</v>
      </c>
      <c r="C2115" s="4">
        <v>2500</v>
      </c>
      <c r="D2115" s="4">
        <v>300000</v>
      </c>
    </row>
    <row r="2116" spans="1:4" x14ac:dyDescent="0.25">
      <c r="A2116" t="str">
        <f>T("   440890")</f>
        <v xml:space="preserve">   440890</v>
      </c>
      <c r="B2116" t="str">
        <f>T("   AUTRES")</f>
        <v xml:space="preserve">   AUTRES</v>
      </c>
      <c r="C2116" s="4">
        <v>121789</v>
      </c>
      <c r="D2116" s="4">
        <v>28349700</v>
      </c>
    </row>
    <row r="2117" spans="1:4" x14ac:dyDescent="0.25">
      <c r="A2117" t="str">
        <f>T("   441039")</f>
        <v xml:space="preserve">   441039</v>
      </c>
      <c r="B2117" t="str">
        <f>T("   AUTRES PANNEAUX DE PARTICULES ET PANNEAUX SIMILAIRES EN BOIS")</f>
        <v xml:space="preserve">   AUTRES PANNEAUX DE PARTICULES ET PANNEAUX SIMILAIRES EN BOIS</v>
      </c>
      <c r="C2117" s="4">
        <v>27250</v>
      </c>
      <c r="D2117" s="4">
        <v>4476143</v>
      </c>
    </row>
    <row r="2118" spans="1:4" x14ac:dyDescent="0.25">
      <c r="A2118" t="str">
        <f>T("   441199")</f>
        <v xml:space="preserve">   441199</v>
      </c>
      <c r="B2118" t="str">
        <f>T("   AUTRES PANNEAUX DE FIBRES 0,35 G/CM3 ET -")</f>
        <v xml:space="preserve">   AUTRES PANNEAUX DE FIBRES 0,35 G/CM3 ET -</v>
      </c>
      <c r="C2118" s="4">
        <v>89322</v>
      </c>
      <c r="D2118" s="4">
        <v>22582995</v>
      </c>
    </row>
    <row r="2119" spans="1:4" x14ac:dyDescent="0.25">
      <c r="A2119" t="str">
        <f>T("   441231")</f>
        <v xml:space="preserve">   441231</v>
      </c>
      <c r="B2119" t="str">
        <f>T("   AYANT AU MOINS UN PLI EXTERIEUR EN BOIS TROPICAUX VISES A LA NOTE 2 DE SOUSPOSITION")</f>
        <v xml:space="preserve">   AYANT AU MOINS UN PLI EXTERIEUR EN BOIS TROPICAUX VISES A LA NOTE 2 DE SOUSPOSITION</v>
      </c>
      <c r="C2119" s="4">
        <v>52000</v>
      </c>
      <c r="D2119" s="4">
        <v>12988932</v>
      </c>
    </row>
    <row r="2120" spans="1:4" x14ac:dyDescent="0.25">
      <c r="A2120" t="str">
        <f>T("   441232")</f>
        <v xml:space="preserve">   441232</v>
      </c>
      <c r="B2120" t="str">
        <f>T("   AUTRES, AYANT AU MOINS UN PLI EXTERIEUR EN BOIS AUTRES QUE DE CONIFERES")</f>
        <v xml:space="preserve">   AUTRES, AYANT AU MOINS UN PLI EXTERIEUR EN BOIS AUTRES QUE DE CONIFERES</v>
      </c>
      <c r="C2120" s="4">
        <v>46800</v>
      </c>
      <c r="D2120" s="4">
        <v>11133600</v>
      </c>
    </row>
    <row r="2121" spans="1:4" x14ac:dyDescent="0.25">
      <c r="A2121" t="str">
        <f>T("   441239")</f>
        <v xml:space="preserve">   441239</v>
      </c>
      <c r="B2121" t="str">
        <f>T("   AUTRES")</f>
        <v xml:space="preserve">   AUTRES</v>
      </c>
      <c r="C2121" s="4">
        <v>815385</v>
      </c>
      <c r="D2121" s="4">
        <v>190661201</v>
      </c>
    </row>
    <row r="2122" spans="1:4" x14ac:dyDescent="0.25">
      <c r="A2122" t="str">
        <f>T("   441299")</f>
        <v xml:space="preserve">   441299</v>
      </c>
      <c r="B2122" t="str">
        <f>T("   AUTRES")</f>
        <v xml:space="preserve">   AUTRES</v>
      </c>
      <c r="C2122" s="4">
        <v>258930</v>
      </c>
      <c r="D2122" s="4">
        <v>59782659</v>
      </c>
    </row>
    <row r="2123" spans="1:4" x14ac:dyDescent="0.25">
      <c r="A2123" t="str">
        <f>T("   441300")</f>
        <v xml:space="preserve">   441300</v>
      </c>
      <c r="B2123" t="str">
        <f>T("   BOIS DITS «DENSIFIES», EN BLOCS, PLANCHES, LAMES OU PROFILES.")</f>
        <v xml:space="preserve">   BOIS DITS «DENSIFIES», EN BLOCS, PLANCHES, LAMES OU PROFILES.</v>
      </c>
      <c r="C2123" s="4">
        <v>6890</v>
      </c>
      <c r="D2123" s="4">
        <v>1632028</v>
      </c>
    </row>
    <row r="2124" spans="1:4" x14ac:dyDescent="0.25">
      <c r="A2124" t="str">
        <f>T("   441400")</f>
        <v xml:space="preserve">   441400</v>
      </c>
      <c r="B2124" t="str">
        <f>T("   CADRES EN BOIS POUR TABLEAUX, PHOTOGRAPHIES, MIROIRS OU OBJETS SIMILAIRES.")</f>
        <v xml:space="preserve">   CADRES EN BOIS POUR TABLEAUX, PHOTOGRAPHIES, MIROIRS OU OBJETS SIMILAIRES.</v>
      </c>
      <c r="C2124" s="4">
        <v>129737</v>
      </c>
      <c r="D2124" s="4">
        <v>29752090</v>
      </c>
    </row>
    <row r="2125" spans="1:4" x14ac:dyDescent="0.25">
      <c r="A2125" t="str">
        <f>T("   441510")</f>
        <v xml:space="preserve">   441510</v>
      </c>
      <c r="B2125" t="str">
        <f>T("   CAISSES, CAISSETTES, CAGEOTS, CYLINDRES ET EMBALLAGES SIMILAIRES; TAMBOURS (TOURETS)")</f>
        <v xml:space="preserve">   CAISSES, CAISSETTES, CAGEOTS, CYLINDRES ET EMBALLAGES SIMILAIRES; TAMBOURS (TOURETS)</v>
      </c>
      <c r="C2125" s="4">
        <v>5590</v>
      </c>
      <c r="D2125" s="4">
        <v>5975250</v>
      </c>
    </row>
    <row r="2126" spans="1:4" x14ac:dyDescent="0.25">
      <c r="A2126" t="str">
        <f>T("   441600")</f>
        <v xml:space="preserve">   441600</v>
      </c>
      <c r="B2126" t="str">
        <f>T("   FUTAILLES, CUVES, BAQUETS ET AUTRES OUVRAGES DE TONNELLERIE ET LEURS PARTIES, EN BOIS,")</f>
        <v xml:space="preserve">   FUTAILLES, CUVES, BAQUETS ET AUTRES OUVRAGES DE TONNELLERIE ET LEURS PARTIES, EN BOIS,</v>
      </c>
      <c r="C2126" s="4">
        <v>3750</v>
      </c>
      <c r="D2126" s="4">
        <v>1000000</v>
      </c>
    </row>
    <row r="2127" spans="1:4" x14ac:dyDescent="0.25">
      <c r="A2127" t="str">
        <f>T("   441700")</f>
        <v xml:space="preserve">   441700</v>
      </c>
      <c r="B2127" t="str">
        <f>T("   OUTILS, MONTURES ET MANCHES D'OUTILS, MONTURES DE BROSSES, MANCHES DE BALAIS OU DE BROS")</f>
        <v xml:space="preserve">   OUTILS, MONTURES ET MANCHES D'OUTILS, MONTURES DE BROSSES, MANCHES DE BALAIS OU DE BROS</v>
      </c>
      <c r="C2127" s="4">
        <v>28000</v>
      </c>
      <c r="D2127" s="4">
        <v>5464408</v>
      </c>
    </row>
    <row r="2128" spans="1:4" x14ac:dyDescent="0.25">
      <c r="A2128" t="str">
        <f>T("   441810")</f>
        <v xml:space="preserve">   441810</v>
      </c>
      <c r="B2128" t="str">
        <f>T("   FENETRES, PORTESFENETRES ET LEURS CADRES ET CHAMBRANLES")</f>
        <v xml:space="preserve">   FENETRES, PORTESFENETRES ET LEURS CADRES ET CHAMBRANLES</v>
      </c>
      <c r="C2128" s="4">
        <v>9268</v>
      </c>
      <c r="D2128" s="4">
        <v>1722987</v>
      </c>
    </row>
    <row r="2129" spans="1:4" x14ac:dyDescent="0.25">
      <c r="A2129" t="str">
        <f>T("   441820")</f>
        <v xml:space="preserve">   441820</v>
      </c>
      <c r="B2129" t="str">
        <f>T("   PORTES ET LEURS CADRES, CHAMBRANLES ET SEUILS")</f>
        <v xml:space="preserve">   PORTES ET LEURS CADRES, CHAMBRANLES ET SEUILS</v>
      </c>
      <c r="C2129" s="4">
        <v>26501</v>
      </c>
      <c r="D2129" s="4">
        <v>8776350</v>
      </c>
    </row>
    <row r="2130" spans="1:4" x14ac:dyDescent="0.25">
      <c r="A2130" t="str">
        <f>T("   441890")</f>
        <v xml:space="preserve">   441890</v>
      </c>
      <c r="B2130" t="str">
        <f>T("   AUTRES")</f>
        <v xml:space="preserve">   AUTRES</v>
      </c>
      <c r="C2130" s="4">
        <v>87497</v>
      </c>
      <c r="D2130" s="4">
        <v>13078678</v>
      </c>
    </row>
    <row r="2131" spans="1:4" x14ac:dyDescent="0.25">
      <c r="A2131" t="str">
        <f>T("   441900")</f>
        <v xml:space="preserve">   441900</v>
      </c>
      <c r="B2131" t="str">
        <f>T("   ARTICLES EN BOIS POUR LA TABLE OU LA CUISINE.")</f>
        <v xml:space="preserve">   ARTICLES EN BOIS POUR LA TABLE OU LA CUISINE.</v>
      </c>
      <c r="C2131" s="4">
        <v>4897</v>
      </c>
      <c r="D2131" s="4">
        <v>2548543</v>
      </c>
    </row>
    <row r="2132" spans="1:4" x14ac:dyDescent="0.25">
      <c r="A2132" t="str">
        <f>T("   442010")</f>
        <v xml:space="preserve">   442010</v>
      </c>
      <c r="B2132" t="str">
        <f>T("   STATUETTES ET AUTRES OBJETS D'ORNEMENT, EN BOIS")</f>
        <v xml:space="preserve">   STATUETTES ET AUTRES OBJETS D'ORNEMENT, EN BOIS</v>
      </c>
      <c r="C2132" s="4">
        <v>3600</v>
      </c>
      <c r="D2132" s="4">
        <v>2000547</v>
      </c>
    </row>
    <row r="2133" spans="1:4" x14ac:dyDescent="0.25">
      <c r="A2133" t="str">
        <f>T("   442090")</f>
        <v xml:space="preserve">   442090</v>
      </c>
      <c r="B2133" t="str">
        <f>T("   AUTRES")</f>
        <v xml:space="preserve">   AUTRES</v>
      </c>
      <c r="C2133" s="4">
        <v>1096</v>
      </c>
      <c r="D2133" s="4">
        <v>328611</v>
      </c>
    </row>
    <row r="2134" spans="1:4" x14ac:dyDescent="0.25">
      <c r="A2134" t="str">
        <f>T("   442110")</f>
        <v xml:space="preserve">   442110</v>
      </c>
      <c r="B2134" t="str">
        <f>T("   CINTRES POUR VETEMENTS")</f>
        <v xml:space="preserve">   CINTRES POUR VETEMENTS</v>
      </c>
      <c r="C2134" s="4">
        <v>3615</v>
      </c>
      <c r="D2134" s="4">
        <v>2370483</v>
      </c>
    </row>
    <row r="2135" spans="1:4" x14ac:dyDescent="0.25">
      <c r="A2135" t="str">
        <f>T("   442190")</f>
        <v xml:space="preserve">   442190</v>
      </c>
      <c r="B2135" t="str">
        <f>T("   AUTRES")</f>
        <v xml:space="preserve">   AUTRES</v>
      </c>
      <c r="C2135" s="4">
        <v>63418</v>
      </c>
      <c r="D2135" s="4">
        <v>13959145</v>
      </c>
    </row>
    <row r="2136" spans="1:4" x14ac:dyDescent="0.25">
      <c r="A2136" t="str">
        <f>T("   450490")</f>
        <v xml:space="preserve">   450490</v>
      </c>
      <c r="B2136" t="str">
        <f>T("   AUTRES")</f>
        <v xml:space="preserve">   AUTRES</v>
      </c>
      <c r="C2136" s="4">
        <v>40000</v>
      </c>
      <c r="D2136" s="4">
        <v>13970000</v>
      </c>
    </row>
    <row r="2137" spans="1:4" x14ac:dyDescent="0.25">
      <c r="A2137" t="str">
        <f>T("   460199")</f>
        <v xml:space="preserve">   460199</v>
      </c>
      <c r="B2137" t="str">
        <f>T("   AUTRES")</f>
        <v xml:space="preserve">   AUTRES</v>
      </c>
      <c r="C2137" s="4">
        <v>20345</v>
      </c>
      <c r="D2137" s="4">
        <v>4794000</v>
      </c>
    </row>
    <row r="2138" spans="1:4" x14ac:dyDescent="0.25">
      <c r="A2138" t="str">
        <f>T("   480210")</f>
        <v xml:space="preserve">   480210</v>
      </c>
      <c r="B2138" t="str">
        <f>T("   Papiers et cartons formes feuille a feuille (papiers a la main)")</f>
        <v xml:space="preserve">   Papiers et cartons formes feuille a feuille (papiers a la main)</v>
      </c>
      <c r="C2138" s="4">
        <v>91176</v>
      </c>
      <c r="D2138" s="4">
        <v>21722939</v>
      </c>
    </row>
    <row r="2139" spans="1:4" x14ac:dyDescent="0.25">
      <c r="A2139" t="str">
        <f>T("   480256")</f>
        <v xml:space="preserve">   480256</v>
      </c>
      <c r="B2139" t="str">
        <f>T("   D'UN POIDS AU M² DE 40 G OU PLUS MAIS N'EXCEDANT PAS 150 G, EN FEUILLES DONT UN COTE")</f>
        <v xml:space="preserve">   D'UN POIDS AU M² DE 40 G OU PLUS MAIS N'EXCEDANT PAS 150 G, EN FEUILLES DONT UN COTE</v>
      </c>
      <c r="C2139" s="4">
        <v>2500</v>
      </c>
      <c r="D2139" s="4">
        <v>1000000</v>
      </c>
    </row>
    <row r="2140" spans="1:4" x14ac:dyDescent="0.25">
      <c r="A2140" t="str">
        <f>T("   480257")</f>
        <v xml:space="preserve">   480257</v>
      </c>
      <c r="B2140" t="str">
        <f>T("   AUTRES, D'UN POIDS AU M² DE 40 G OU PLUS MAIS N'EXCEDANT PAS 150 G")</f>
        <v xml:space="preserve">   AUTRES, D'UN POIDS AU M² DE 40 G OU PLUS MAIS N'EXCEDANT PAS 150 G</v>
      </c>
      <c r="C2140" s="4">
        <v>333726</v>
      </c>
      <c r="D2140" s="4">
        <v>153718782</v>
      </c>
    </row>
    <row r="2141" spans="1:4" x14ac:dyDescent="0.25">
      <c r="A2141" t="str">
        <f>T("   480258")</f>
        <v xml:space="preserve">   480258</v>
      </c>
      <c r="B2141" t="str">
        <f>T("   D'UN POIDS AU M² EXCEDANT 150 G")</f>
        <v xml:space="preserve">   D'UN POIDS AU M² EXCEDANT 150 G</v>
      </c>
      <c r="C2141" s="4">
        <v>213086</v>
      </c>
      <c r="D2141" s="4">
        <v>78108528</v>
      </c>
    </row>
    <row r="2142" spans="1:4" x14ac:dyDescent="0.25">
      <c r="A2142" t="str">
        <f>T("   480262")</f>
        <v xml:space="preserve">   480262</v>
      </c>
      <c r="B2142" t="str">
        <f>T("   EN FEUILLES DONT UN COTE N'EXCEDE PAS 435 MM ET L'AUTRE N'EXCEDE PAS 297 MM A L'ETAT")</f>
        <v xml:space="preserve">   EN FEUILLES DONT UN COTE N'EXCEDE PAS 435 MM ET L'AUTRE N'EXCEDE PAS 297 MM A L'ETAT</v>
      </c>
      <c r="C2142" s="4">
        <v>9280</v>
      </c>
      <c r="D2142" s="4">
        <v>1005252</v>
      </c>
    </row>
    <row r="2143" spans="1:4" x14ac:dyDescent="0.25">
      <c r="A2143" t="str">
        <f>T("   480300")</f>
        <v xml:space="preserve">   480300</v>
      </c>
      <c r="B2143" t="str">
        <f>T("   PAPIERS DES TYPES UTILISES POUR PAPIERS DE TOILETTE, POUR SERVIETTES A DEMAQUILLER, POU")</f>
        <v xml:space="preserve">   PAPIERS DES TYPES UTILISES POUR PAPIERS DE TOILETTE, POUR SERVIETTES A DEMAQUILLER, POU</v>
      </c>
      <c r="C2143" s="4">
        <v>37686</v>
      </c>
      <c r="D2143" s="4">
        <v>14102162</v>
      </c>
    </row>
    <row r="2144" spans="1:4" x14ac:dyDescent="0.25">
      <c r="A2144" t="str">
        <f>T("   480419")</f>
        <v xml:space="preserve">   480419</v>
      </c>
      <c r="B2144" t="str">
        <f>T("   AUTRES")</f>
        <v xml:space="preserve">   AUTRES</v>
      </c>
      <c r="C2144" s="4">
        <v>6863</v>
      </c>
      <c r="D2144" s="4">
        <v>6165000</v>
      </c>
    </row>
    <row r="2145" spans="1:4" x14ac:dyDescent="0.25">
      <c r="A2145" t="str">
        <f>T("   480540")</f>
        <v xml:space="preserve">   480540</v>
      </c>
      <c r="B2145" t="str">
        <f>T("   PAPIER ET CARTON FILTRE")</f>
        <v xml:space="preserve">   PAPIER ET CARTON FILTRE</v>
      </c>
      <c r="C2145" s="4">
        <v>21200</v>
      </c>
      <c r="D2145" s="4">
        <v>2689436</v>
      </c>
    </row>
    <row r="2146" spans="1:4" x14ac:dyDescent="0.25">
      <c r="A2146" t="str">
        <f>T("   480591")</f>
        <v xml:space="preserve">   480591</v>
      </c>
      <c r="B2146" t="str">
        <f>T("   D'UN POIDS AU M² N'EXCEDANT PAS 150 G")</f>
        <v xml:space="preserve">   D'UN POIDS AU M² N'EXCEDANT PAS 150 G</v>
      </c>
      <c r="C2146" s="4">
        <v>29835</v>
      </c>
      <c r="D2146" s="4">
        <v>12654982</v>
      </c>
    </row>
    <row r="2147" spans="1:4" x14ac:dyDescent="0.25">
      <c r="A2147" t="str">
        <f>T("   480593")</f>
        <v xml:space="preserve">   480593</v>
      </c>
      <c r="B2147" t="str">
        <f>T("   D'UN POIDS AU M² EGAL OU SUPERIEUR A 225 G")</f>
        <v xml:space="preserve">   D'UN POIDS AU M² EGAL OU SUPERIEUR A 225 G</v>
      </c>
      <c r="C2147" s="4">
        <v>582745</v>
      </c>
      <c r="D2147" s="4">
        <v>151314130</v>
      </c>
    </row>
    <row r="2148" spans="1:4" x14ac:dyDescent="0.25">
      <c r="A2148" t="str">
        <f>T("   480890")</f>
        <v xml:space="preserve">   480890</v>
      </c>
      <c r="B2148" t="str">
        <f>T("    AUTRES")</f>
        <v xml:space="preserve">    AUTRES</v>
      </c>
      <c r="C2148" s="4">
        <v>13750</v>
      </c>
      <c r="D2148" s="4">
        <v>2161789</v>
      </c>
    </row>
    <row r="2149" spans="1:4" x14ac:dyDescent="0.25">
      <c r="A2149" t="str">
        <f>T("   480920")</f>
        <v xml:space="preserve">   480920</v>
      </c>
      <c r="B2149" t="str">
        <f>T("    PAPIERS DITS «AUTOCOPIANTS»")</f>
        <v xml:space="preserve">    PAPIERS DITS «AUTOCOPIANTS»</v>
      </c>
      <c r="C2149" s="4">
        <v>12178</v>
      </c>
      <c r="D2149" s="4">
        <v>9369999</v>
      </c>
    </row>
    <row r="2150" spans="1:4" x14ac:dyDescent="0.25">
      <c r="A2150" t="str">
        <f>T("   480990")</f>
        <v xml:space="preserve">   480990</v>
      </c>
      <c r="B2150" t="str">
        <f>T("    AUTRES")</f>
        <v xml:space="preserve">    AUTRES</v>
      </c>
      <c r="C2150" s="4">
        <v>114114.8</v>
      </c>
      <c r="D2150" s="4">
        <v>47253613</v>
      </c>
    </row>
    <row r="2151" spans="1:4" x14ac:dyDescent="0.25">
      <c r="A2151" t="str">
        <f>T("   481014")</f>
        <v xml:space="preserve">   481014</v>
      </c>
      <c r="B2151" t="str">
        <f>T("   EN FEUILLES DONT UN DES COTES N'EXCEDE PAS 435 MM ET DONT L'AUTRE COTE N'EXCEDE PAS")</f>
        <v xml:space="preserve">   EN FEUILLES DONT UN DES COTES N'EXCEDE PAS 435 MM ET DONT L'AUTRE COTE N'EXCEDE PAS</v>
      </c>
      <c r="C2151" s="4">
        <v>9091</v>
      </c>
      <c r="D2151" s="4">
        <v>4488036</v>
      </c>
    </row>
    <row r="2152" spans="1:4" x14ac:dyDescent="0.25">
      <c r="A2152" t="str">
        <f>T("   481019")</f>
        <v xml:space="preserve">   481019</v>
      </c>
      <c r="B2152" t="str">
        <f>T("   AUTRES")</f>
        <v xml:space="preserve">   AUTRES</v>
      </c>
      <c r="C2152" s="4">
        <v>187296</v>
      </c>
      <c r="D2152" s="4">
        <v>24502881</v>
      </c>
    </row>
    <row r="2153" spans="1:4" x14ac:dyDescent="0.25">
      <c r="A2153" t="str">
        <f>T("   481099")</f>
        <v xml:space="preserve">   481099</v>
      </c>
      <c r="B2153" t="str">
        <f>T("   AUTRES")</f>
        <v xml:space="preserve">   AUTRES</v>
      </c>
      <c r="C2153" s="4">
        <v>1500</v>
      </c>
      <c r="D2153" s="4">
        <v>354502</v>
      </c>
    </row>
    <row r="2154" spans="1:4" x14ac:dyDescent="0.25">
      <c r="A2154" t="str">
        <f>T("   481149")</f>
        <v xml:space="preserve">   481149</v>
      </c>
      <c r="B2154" t="str">
        <f>T("   AUTRES")</f>
        <v xml:space="preserve">   AUTRES</v>
      </c>
      <c r="C2154" s="4">
        <v>6524</v>
      </c>
      <c r="D2154" s="4">
        <v>3473388</v>
      </c>
    </row>
    <row r="2155" spans="1:4" x14ac:dyDescent="0.25">
      <c r="A2155" t="str">
        <f>T("   481720")</f>
        <v xml:space="preserve">   481720</v>
      </c>
      <c r="B2155" t="str">
        <f>T("   CARTESLETTRES, CARTES POSTALES NON ILLUSTREES ET CARTES POUR CORRESPONDANCE")</f>
        <v xml:space="preserve">   CARTESLETTRES, CARTES POSTALES NON ILLUSTREES ET CARTES POUR CORRESPONDANCE</v>
      </c>
      <c r="C2155" s="4">
        <v>38</v>
      </c>
      <c r="D2155" s="4">
        <v>20000</v>
      </c>
    </row>
    <row r="2156" spans="1:4" x14ac:dyDescent="0.25">
      <c r="A2156" t="str">
        <f>T("   481730")</f>
        <v xml:space="preserve">   481730</v>
      </c>
      <c r="B2156" t="str">
        <f>T("   BOITES, POCHETTES ET PRESENTATIONS SIMILAIRES, EN PAPIER OU CARTON, RENFERMANT UN ASS")</f>
        <v xml:space="preserve">   BOITES, POCHETTES ET PRESENTATIONS SIMILAIRES, EN PAPIER OU CARTON, RENFERMANT UN ASS</v>
      </c>
      <c r="C2156" s="4">
        <v>10000</v>
      </c>
      <c r="D2156" s="4">
        <v>3056774</v>
      </c>
    </row>
    <row r="2157" spans="1:4" x14ac:dyDescent="0.25">
      <c r="A2157" t="str">
        <f>T("   481810")</f>
        <v xml:space="preserve">   481810</v>
      </c>
      <c r="B2157" t="str">
        <f>T("   Papier hygienique")</f>
        <v xml:space="preserve">   Papier hygienique</v>
      </c>
      <c r="C2157" s="4">
        <v>331777</v>
      </c>
      <c r="D2157" s="4">
        <v>136130412</v>
      </c>
    </row>
    <row r="2158" spans="1:4" x14ac:dyDescent="0.25">
      <c r="A2158" t="str">
        <f>T("   481820")</f>
        <v xml:space="preserve">   481820</v>
      </c>
      <c r="B2158" t="str">
        <f>T("   MOUCHOIRS, SERVIETTES A DEMAQUILLER ET ESSUIEMAINS")</f>
        <v xml:space="preserve">   MOUCHOIRS, SERVIETTES A DEMAQUILLER ET ESSUIEMAINS</v>
      </c>
      <c r="C2158" s="4">
        <v>65671</v>
      </c>
      <c r="D2158" s="4">
        <v>21059351</v>
      </c>
    </row>
    <row r="2159" spans="1:4" x14ac:dyDescent="0.25">
      <c r="A2159" t="str">
        <f>T("   481830")</f>
        <v xml:space="preserve">   481830</v>
      </c>
      <c r="B2159" t="str">
        <f>T("   NAPPES ET SERVIETTES DE TABLE")</f>
        <v xml:space="preserve">   NAPPES ET SERVIETTES DE TABLE</v>
      </c>
      <c r="C2159" s="4">
        <v>4500</v>
      </c>
      <c r="D2159" s="4">
        <v>1443112</v>
      </c>
    </row>
    <row r="2160" spans="1:4" x14ac:dyDescent="0.25">
      <c r="A2160" t="str">
        <f>T("   481840")</f>
        <v xml:space="preserve">   481840</v>
      </c>
      <c r="B2160" t="str">
        <f>T("   SERVIETTES,TAMPONS HYGIENIQUES,COUCHES POUR BEBES ET SIMILAIRES EN PAPIER")</f>
        <v xml:space="preserve">   SERVIETTES,TAMPONS HYGIENIQUES,COUCHES POUR BEBES ET SIMILAIRES EN PAPIER</v>
      </c>
      <c r="C2160" s="4">
        <v>986046.84</v>
      </c>
      <c r="D2160" s="4">
        <v>671833402</v>
      </c>
    </row>
    <row r="2161" spans="1:4" x14ac:dyDescent="0.25">
      <c r="A2161" t="str">
        <f>T("   481890")</f>
        <v xml:space="preserve">   481890</v>
      </c>
      <c r="B2161" t="str">
        <f>T("   AUTRES")</f>
        <v xml:space="preserve">   AUTRES</v>
      </c>
      <c r="C2161" s="4">
        <v>10641</v>
      </c>
      <c r="D2161" s="4">
        <v>12483217</v>
      </c>
    </row>
    <row r="2162" spans="1:4" x14ac:dyDescent="0.25">
      <c r="A2162" t="str">
        <f>T("   481910")</f>
        <v xml:space="preserve">   481910</v>
      </c>
      <c r="B2162" t="str">
        <f>T("   BOITES ET CAISSES EN PAPIER OU CARTON ONDULE")</f>
        <v xml:space="preserve">   BOITES ET CAISSES EN PAPIER OU CARTON ONDULE</v>
      </c>
      <c r="C2162" s="4">
        <v>346032</v>
      </c>
      <c r="D2162" s="4">
        <v>78481856</v>
      </c>
    </row>
    <row r="2163" spans="1:4" x14ac:dyDescent="0.25">
      <c r="A2163" t="str">
        <f>T("   481920")</f>
        <v xml:space="preserve">   481920</v>
      </c>
      <c r="B2163" t="str">
        <f>T("   BOITES ET CARTONNAGES, PLIANTS, EN PAPIER OU CARTON NON ONDULE")</f>
        <v xml:space="preserve">   BOITES ET CARTONNAGES, PLIANTS, EN PAPIER OU CARTON NON ONDULE</v>
      </c>
      <c r="C2163" s="4">
        <v>109131</v>
      </c>
      <c r="D2163" s="4">
        <v>14696985</v>
      </c>
    </row>
    <row r="2164" spans="1:4" x14ac:dyDescent="0.25">
      <c r="A2164" t="str">
        <f>T("   481940")</f>
        <v xml:space="preserve">   481940</v>
      </c>
      <c r="B2164" t="str">
        <f>T("   AUTRES SACS; SACHETS, POCHETTES (AUTRES QUE CELLES POUR DISQUES) ET CORNETS")</f>
        <v xml:space="preserve">   AUTRES SACS; SACHETS, POCHETTES (AUTRES QUE CELLES POUR DISQUES) ET CORNETS</v>
      </c>
      <c r="C2164" s="4">
        <v>9806</v>
      </c>
      <c r="D2164" s="4">
        <v>2669614</v>
      </c>
    </row>
    <row r="2165" spans="1:4" x14ac:dyDescent="0.25">
      <c r="A2165" t="str">
        <f>T("   481950")</f>
        <v xml:space="preserve">   481950</v>
      </c>
      <c r="B2165" t="str">
        <f>T("   AUTRES EMBALLAGES, Y COMPRIS LES POCHETTES POUR DISQUES")</f>
        <v xml:space="preserve">   AUTRES EMBALLAGES, Y COMPRIS LES POCHETTES POUR DISQUES</v>
      </c>
      <c r="C2165" s="4">
        <v>5036</v>
      </c>
      <c r="D2165" s="4">
        <v>2184598</v>
      </c>
    </row>
    <row r="2166" spans="1:4" x14ac:dyDescent="0.25">
      <c r="A2166" t="str">
        <f>T("   481960")</f>
        <v xml:space="preserve">   481960</v>
      </c>
      <c r="B2166" t="str">
        <f>T("   CARTONNAGES DE BUREAU, DE MAGASIN OU SIMILAIRES")</f>
        <v xml:space="preserve">   CARTONNAGES DE BUREAU, DE MAGASIN OU SIMILAIRES</v>
      </c>
      <c r="C2166" s="4">
        <v>648</v>
      </c>
      <c r="D2166" s="4">
        <v>376409</v>
      </c>
    </row>
    <row r="2167" spans="1:4" x14ac:dyDescent="0.25">
      <c r="A2167" t="str">
        <f>T("   482010")</f>
        <v xml:space="preserve">   482010</v>
      </c>
      <c r="B2167" t="str">
        <f>T("   REGISTRES, LIVRES COMPTABLES, CARNETS (DE NOTES, DE COMMANDES, DE QUITTANCES), BLOCS")</f>
        <v xml:space="preserve">   REGISTRES, LIVRES COMPTABLES, CARNETS (DE NOTES, DE COMMANDES, DE QUITTANCES), BLOCS</v>
      </c>
      <c r="C2167" s="4">
        <v>78016</v>
      </c>
      <c r="D2167" s="4">
        <v>24845990</v>
      </c>
    </row>
    <row r="2168" spans="1:4" x14ac:dyDescent="0.25">
      <c r="A2168" t="str">
        <f>T("   482020")</f>
        <v xml:space="preserve">   482020</v>
      </c>
      <c r="B2168" t="str">
        <f>T("   Cahiers")</f>
        <v xml:space="preserve">   Cahiers</v>
      </c>
      <c r="C2168" s="4">
        <v>809638</v>
      </c>
      <c r="D2168" s="4">
        <v>196674266</v>
      </c>
    </row>
    <row r="2169" spans="1:4" x14ac:dyDescent="0.25">
      <c r="A2169" t="str">
        <f>T("   482030")</f>
        <v xml:space="preserve">   482030</v>
      </c>
      <c r="B2169" t="str">
        <f>T("   CLASSEURS, RELIURES (AUTRES QUE LES COUVERTURES POUR LIVRES), CHEMISES ET COUVERTURES")</f>
        <v xml:space="preserve">   CLASSEURS, RELIURES (AUTRES QUE LES COUVERTURES POUR LIVRES), CHEMISES ET COUVERTURES</v>
      </c>
      <c r="C2169" s="4">
        <v>53420</v>
      </c>
      <c r="D2169" s="4">
        <v>21029629</v>
      </c>
    </row>
    <row r="2170" spans="1:4" x14ac:dyDescent="0.25">
      <c r="A2170" t="str">
        <f>T("   482040")</f>
        <v xml:space="preserve">   482040</v>
      </c>
      <c r="B2170" t="str">
        <f>T("   LIASSES ET CARNETS MANIFOLD, MEME COMPORTANT DES FEUILLES DE PAPIER CARBONE")</f>
        <v xml:space="preserve">   LIASSES ET CARNETS MANIFOLD, MEME COMPORTANT DES FEUILLES DE PAPIER CARBONE</v>
      </c>
      <c r="C2170" s="4">
        <v>100</v>
      </c>
      <c r="D2170" s="4">
        <v>328114</v>
      </c>
    </row>
    <row r="2171" spans="1:4" x14ac:dyDescent="0.25">
      <c r="A2171" t="str">
        <f>T("   482050")</f>
        <v xml:space="preserve">   482050</v>
      </c>
      <c r="B2171" t="str">
        <f>T("   Albums pour echantillonnages ou pour collections")</f>
        <v xml:space="preserve">   Albums pour echantillonnages ou pour collections</v>
      </c>
      <c r="C2171" s="4">
        <v>13300</v>
      </c>
      <c r="D2171" s="4">
        <v>4651521</v>
      </c>
    </row>
    <row r="2172" spans="1:4" x14ac:dyDescent="0.25">
      <c r="A2172" t="str">
        <f>T("   482090")</f>
        <v xml:space="preserve">   482090</v>
      </c>
      <c r="B2172" t="str">
        <f>T("   AUTRES")</f>
        <v xml:space="preserve">   AUTRES</v>
      </c>
      <c r="C2172" s="4">
        <v>213893</v>
      </c>
      <c r="D2172" s="4">
        <v>64686293</v>
      </c>
    </row>
    <row r="2173" spans="1:4" x14ac:dyDescent="0.25">
      <c r="A2173" t="str">
        <f>T("   482190")</f>
        <v xml:space="preserve">   482190</v>
      </c>
      <c r="B2173" t="str">
        <f>T("   AUTRES")</f>
        <v xml:space="preserve">   AUTRES</v>
      </c>
      <c r="C2173" s="4">
        <v>12176</v>
      </c>
      <c r="D2173" s="4">
        <v>4516558</v>
      </c>
    </row>
    <row r="2174" spans="1:4" x14ac:dyDescent="0.25">
      <c r="A2174" t="str">
        <f>T("   482369")</f>
        <v xml:space="preserve">   482369</v>
      </c>
      <c r="B2174" t="str">
        <f>T("   AUTRES")</f>
        <v xml:space="preserve">   AUTRES</v>
      </c>
      <c r="C2174" s="4">
        <v>14564</v>
      </c>
      <c r="D2174" s="4">
        <v>6553796</v>
      </c>
    </row>
    <row r="2175" spans="1:4" x14ac:dyDescent="0.25">
      <c r="A2175" t="str">
        <f>T("   482390")</f>
        <v xml:space="preserve">   482390</v>
      </c>
      <c r="B2175" t="str">
        <f>T("   AUTRES")</f>
        <v xml:space="preserve">   AUTRES</v>
      </c>
      <c r="C2175" s="4">
        <v>17060</v>
      </c>
      <c r="D2175" s="4">
        <v>4723776</v>
      </c>
    </row>
    <row r="2176" spans="1:4" x14ac:dyDescent="0.25">
      <c r="A2176" t="str">
        <f>T("   490110")</f>
        <v xml:space="preserve">   490110</v>
      </c>
      <c r="B2176" t="str">
        <f>T("   EN FEUILLETS ISOLES, MEME PLIES")</f>
        <v xml:space="preserve">   EN FEUILLETS ISOLES, MEME PLIES</v>
      </c>
      <c r="C2176" s="4">
        <v>533</v>
      </c>
      <c r="D2176" s="4">
        <v>2613456</v>
      </c>
    </row>
    <row r="2177" spans="1:4" x14ac:dyDescent="0.25">
      <c r="A2177" t="str">
        <f>T("   490199")</f>
        <v xml:space="preserve">   490199</v>
      </c>
      <c r="B2177" t="str">
        <f>T("   AUTRES")</f>
        <v xml:space="preserve">   AUTRES</v>
      </c>
      <c r="C2177" s="4">
        <v>618.23</v>
      </c>
      <c r="D2177" s="4">
        <v>9221321</v>
      </c>
    </row>
    <row r="2178" spans="1:4" x14ac:dyDescent="0.25">
      <c r="A2178" t="str">
        <f>T("   490300")</f>
        <v xml:space="preserve">   490300</v>
      </c>
      <c r="B2178" t="str">
        <f>T("   ALBUMS OU LIVRES D'IMAGES ET ALBUMS A DESSINER OU A COLORIER, POUR ENFANTS.")</f>
        <v xml:space="preserve">   ALBUMS OU LIVRES D'IMAGES ET ALBUMS A DESSINER OU A COLORIER, POUR ENFANTS.</v>
      </c>
      <c r="C2178" s="4">
        <v>2383</v>
      </c>
      <c r="D2178" s="4">
        <v>709093</v>
      </c>
    </row>
    <row r="2179" spans="1:4" x14ac:dyDescent="0.25">
      <c r="A2179" t="str">
        <f>T("   490599")</f>
        <v xml:space="preserve">   490599</v>
      </c>
      <c r="B2179" t="str">
        <f>T("   AUTRES")</f>
        <v xml:space="preserve">   AUTRES</v>
      </c>
      <c r="C2179" s="4">
        <v>1992</v>
      </c>
      <c r="D2179" s="4">
        <v>1576989</v>
      </c>
    </row>
    <row r="2180" spans="1:4" x14ac:dyDescent="0.25">
      <c r="A2180" t="str">
        <f>T("   491000")</f>
        <v xml:space="preserve">   491000</v>
      </c>
      <c r="B2180" t="str">
        <f>T("   CALENDRIERS DE TOUS GENRES, IMPRIMES, Y COMPRIS LES BLOCS DE CALENDRIERS A EFFEUILLER.")</f>
        <v xml:space="preserve">   CALENDRIERS DE TOUS GENRES, IMPRIMES, Y COMPRIS LES BLOCS DE CALENDRIERS A EFFEUILLER.</v>
      </c>
      <c r="C2180" s="4">
        <v>22977.200000000001</v>
      </c>
      <c r="D2180" s="4">
        <v>7681488</v>
      </c>
    </row>
    <row r="2181" spans="1:4" x14ac:dyDescent="0.25">
      <c r="A2181" t="str">
        <f>T("   491110")</f>
        <v xml:space="preserve">   491110</v>
      </c>
      <c r="B2181" t="str">
        <f>T("   IMPRIMES PUBLICITAIRES, CATALOGUES COMMERCIAUX ET SIMILAIRES")</f>
        <v xml:space="preserve">   IMPRIMES PUBLICITAIRES, CATALOGUES COMMERCIAUX ET SIMILAIRES</v>
      </c>
      <c r="C2181" s="4">
        <v>31513</v>
      </c>
      <c r="D2181" s="4">
        <v>26643775</v>
      </c>
    </row>
    <row r="2182" spans="1:4" x14ac:dyDescent="0.25">
      <c r="A2182" t="str">
        <f>T("   491191")</f>
        <v xml:space="preserve">   491191</v>
      </c>
      <c r="B2182" t="str">
        <f>T("   IMAGES, GRAVURES ET PHOTOGRAPHIES")</f>
        <v xml:space="preserve">   IMAGES, GRAVURES ET PHOTOGRAPHIES</v>
      </c>
      <c r="C2182" s="4">
        <v>11040</v>
      </c>
      <c r="D2182" s="4">
        <v>3064063</v>
      </c>
    </row>
    <row r="2183" spans="1:4" x14ac:dyDescent="0.25">
      <c r="A2183" t="str">
        <f>T("   491199")</f>
        <v xml:space="preserve">   491199</v>
      </c>
      <c r="B2183" t="str">
        <f>T("   AUTRES")</f>
        <v xml:space="preserve">   AUTRES</v>
      </c>
      <c r="C2183" s="4">
        <v>20838.8</v>
      </c>
      <c r="D2183" s="4">
        <v>124533558</v>
      </c>
    </row>
    <row r="2184" spans="1:4" x14ac:dyDescent="0.25">
      <c r="A2184" t="str">
        <f>T("   511119")</f>
        <v xml:space="preserve">   511119</v>
      </c>
      <c r="B2184" t="str">
        <f>T("   AUTRES")</f>
        <v xml:space="preserve">   AUTRES</v>
      </c>
      <c r="C2184" s="4">
        <v>22876</v>
      </c>
      <c r="D2184" s="4">
        <v>13433636</v>
      </c>
    </row>
    <row r="2185" spans="1:4" x14ac:dyDescent="0.25">
      <c r="A2185" t="str">
        <f>T("   511190")</f>
        <v xml:space="preserve">   511190</v>
      </c>
      <c r="B2185" t="str">
        <f>T("   AUTRES")</f>
        <v xml:space="preserve">   AUTRES</v>
      </c>
      <c r="C2185" s="4">
        <v>4376</v>
      </c>
      <c r="D2185" s="4">
        <v>1534637</v>
      </c>
    </row>
    <row r="2186" spans="1:4" x14ac:dyDescent="0.25">
      <c r="A2186" t="str">
        <f>T("   511290")</f>
        <v xml:space="preserve">   511290</v>
      </c>
      <c r="B2186" t="str">
        <f>T("   AUTRES")</f>
        <v xml:space="preserve">   AUTRES</v>
      </c>
      <c r="C2186" s="4">
        <v>3336</v>
      </c>
      <c r="D2186" s="4">
        <v>3124630</v>
      </c>
    </row>
    <row r="2187" spans="1:4" x14ac:dyDescent="0.25">
      <c r="A2187" t="str">
        <f>T("   520299")</f>
        <v xml:space="preserve">   520299</v>
      </c>
      <c r="B2187" t="str">
        <f>T("   AUTRES")</f>
        <v xml:space="preserve">   AUTRES</v>
      </c>
      <c r="C2187" s="4">
        <v>2000</v>
      </c>
      <c r="D2187" s="4">
        <v>595000</v>
      </c>
    </row>
    <row r="2188" spans="1:4" x14ac:dyDescent="0.25">
      <c r="A2188" t="str">
        <f>T("   520300")</f>
        <v xml:space="preserve">   520300</v>
      </c>
      <c r="B2188" t="str">
        <f>T("   COTON, CARDE OU PEIGNE.")</f>
        <v xml:space="preserve">   COTON, CARDE OU PEIGNE.</v>
      </c>
      <c r="C2188" s="4">
        <v>11108</v>
      </c>
      <c r="D2188" s="4">
        <v>6131605</v>
      </c>
    </row>
    <row r="2189" spans="1:4" x14ac:dyDescent="0.25">
      <c r="A2189" t="str">
        <f>T("   520419")</f>
        <v xml:space="preserve">   520419</v>
      </c>
      <c r="B2189" t="str">
        <f>T("   AUTRES")</f>
        <v xml:space="preserve">   AUTRES</v>
      </c>
      <c r="C2189" s="4">
        <v>87696</v>
      </c>
      <c r="D2189" s="4">
        <v>41553395</v>
      </c>
    </row>
    <row r="2190" spans="1:4" x14ac:dyDescent="0.25">
      <c r="A2190" t="str">
        <f>T("   520420")</f>
        <v xml:space="preserve">   520420</v>
      </c>
      <c r="B2190" t="str">
        <f>T("   CONDITIONNES POUR LA VENTE AU DETAIL")</f>
        <v xml:space="preserve">   CONDITIONNES POUR LA VENTE AU DETAIL</v>
      </c>
      <c r="C2190" s="4">
        <v>170016</v>
      </c>
      <c r="D2190" s="4">
        <v>84484631</v>
      </c>
    </row>
    <row r="2191" spans="1:4" x14ac:dyDescent="0.25">
      <c r="A2191" t="str">
        <f>T("   520790")</f>
        <v xml:space="preserve">   520790</v>
      </c>
      <c r="B2191" t="str">
        <f>T("   AUTRES")</f>
        <v xml:space="preserve">   AUTRES</v>
      </c>
      <c r="C2191" s="4">
        <v>14000</v>
      </c>
      <c r="D2191" s="4">
        <v>1093000</v>
      </c>
    </row>
    <row r="2192" spans="1:4" x14ac:dyDescent="0.25">
      <c r="A2192" t="str">
        <f>T("   520819")</f>
        <v xml:space="preserve">   520819</v>
      </c>
      <c r="B2192" t="str">
        <f>T("   AUTRES TISSUS")</f>
        <v xml:space="preserve">   AUTRES TISSUS</v>
      </c>
      <c r="C2192" s="4">
        <v>2190</v>
      </c>
      <c r="D2192" s="4">
        <v>900000</v>
      </c>
    </row>
    <row r="2193" spans="1:4" x14ac:dyDescent="0.25">
      <c r="A2193" t="str">
        <f>T("   520829")</f>
        <v xml:space="preserve">   520829</v>
      </c>
      <c r="B2193" t="str">
        <f>T("   AUTRES TISSUS")</f>
        <v xml:space="preserve">   AUTRES TISSUS</v>
      </c>
      <c r="C2193" s="4">
        <v>292649</v>
      </c>
      <c r="D2193" s="4">
        <v>142791484</v>
      </c>
    </row>
    <row r="2194" spans="1:4" x14ac:dyDescent="0.25">
      <c r="A2194" t="str">
        <f>T("   520839")</f>
        <v xml:space="preserve">   520839</v>
      </c>
      <c r="B2194" t="str">
        <f>T("   AUTRES TISSUS")</f>
        <v xml:space="preserve">   AUTRES TISSUS</v>
      </c>
      <c r="C2194" s="4">
        <v>18860</v>
      </c>
      <c r="D2194" s="4">
        <v>10928817</v>
      </c>
    </row>
    <row r="2195" spans="1:4" x14ac:dyDescent="0.25">
      <c r="A2195" t="str">
        <f>T("   520849")</f>
        <v xml:space="preserve">   520849</v>
      </c>
      <c r="B2195" t="str">
        <f>T("   AUTRES TISSUS")</f>
        <v xml:space="preserve">   AUTRES TISSUS</v>
      </c>
      <c r="C2195" s="4">
        <v>1578126</v>
      </c>
      <c r="D2195" s="4">
        <v>879132992</v>
      </c>
    </row>
    <row r="2196" spans="1:4" x14ac:dyDescent="0.25">
      <c r="A2196" t="str">
        <f>T("   520851")</f>
        <v xml:space="preserve">   520851</v>
      </c>
      <c r="B2196" t="str">
        <f>T("   A ARMURE TOILE, D'UN POIDS N'EXCEDANT PAS 100 G/M²")</f>
        <v xml:space="preserve">   A ARMURE TOILE, D'UN POIDS N'EXCEDANT PAS 100 G/M²</v>
      </c>
      <c r="C2196" s="4">
        <v>767377</v>
      </c>
      <c r="D2196" s="4">
        <v>463410082</v>
      </c>
    </row>
    <row r="2197" spans="1:4" x14ac:dyDescent="0.25">
      <c r="A2197" t="str">
        <f>T("   520852")</f>
        <v xml:space="preserve">   520852</v>
      </c>
      <c r="B2197" t="str">
        <f>T("   A ARMURE TOILE, D'UN POIDS EXCEDANT 100 G/M²")</f>
        <v xml:space="preserve">   A ARMURE TOILE, D'UN POIDS EXCEDANT 100 G/M²</v>
      </c>
      <c r="C2197" s="4">
        <v>3765072</v>
      </c>
      <c r="D2197" s="4">
        <v>2676235373</v>
      </c>
    </row>
    <row r="2198" spans="1:4" x14ac:dyDescent="0.25">
      <c r="A2198" t="str">
        <f>T("   520859")</f>
        <v xml:space="preserve">   520859</v>
      </c>
      <c r="B2198" t="str">
        <f>T("   AUTRES TISSUS")</f>
        <v xml:space="preserve">   AUTRES TISSUS</v>
      </c>
      <c r="C2198" s="4">
        <v>2166014</v>
      </c>
      <c r="D2198" s="4">
        <v>1374698844</v>
      </c>
    </row>
    <row r="2199" spans="1:4" x14ac:dyDescent="0.25">
      <c r="A2199" t="str">
        <f>T("   520911")</f>
        <v xml:space="preserve">   520911</v>
      </c>
      <c r="B2199" t="str">
        <f>T("   A ARMURE TOILE")</f>
        <v xml:space="preserve">   A ARMURE TOILE</v>
      </c>
      <c r="C2199" s="4">
        <v>112</v>
      </c>
      <c r="D2199" s="4">
        <v>315000</v>
      </c>
    </row>
    <row r="2200" spans="1:4" x14ac:dyDescent="0.25">
      <c r="A2200" t="str">
        <f>T("   520929")</f>
        <v xml:space="preserve">   520929</v>
      </c>
      <c r="B2200" t="str">
        <f>T("   AUTRES TISSUS")</f>
        <v xml:space="preserve">   AUTRES TISSUS</v>
      </c>
      <c r="C2200" s="4">
        <v>444970</v>
      </c>
      <c r="D2200" s="4">
        <v>155400000</v>
      </c>
    </row>
    <row r="2201" spans="1:4" x14ac:dyDescent="0.25">
      <c r="A2201" t="str">
        <f>T("   520951")</f>
        <v xml:space="preserve">   520951</v>
      </c>
      <c r="B2201" t="str">
        <f>T("   A ARMURE TOILE")</f>
        <v xml:space="preserve">   A ARMURE TOILE</v>
      </c>
      <c r="C2201" s="4">
        <v>599787</v>
      </c>
      <c r="D2201" s="4">
        <v>412044390</v>
      </c>
    </row>
    <row r="2202" spans="1:4" x14ac:dyDescent="0.25">
      <c r="A2202" t="str">
        <f>T("   520959")</f>
        <v xml:space="preserve">   520959</v>
      </c>
      <c r="B2202" t="str">
        <f>T("   AUTRES TISSUS")</f>
        <v xml:space="preserve">   AUTRES TISSUS</v>
      </c>
      <c r="C2202" s="4">
        <v>1362089</v>
      </c>
      <c r="D2202" s="4">
        <v>955551281</v>
      </c>
    </row>
    <row r="2203" spans="1:4" x14ac:dyDescent="0.25">
      <c r="A2203" t="str">
        <f>T("   521059")</f>
        <v xml:space="preserve">   521059</v>
      </c>
      <c r="B2203" t="str">
        <f>T("   AUTRES TISSUS")</f>
        <v xml:space="preserve">   AUTRES TISSUS</v>
      </c>
      <c r="C2203" s="4">
        <v>228</v>
      </c>
      <c r="D2203" s="4">
        <v>337500</v>
      </c>
    </row>
    <row r="2204" spans="1:4" x14ac:dyDescent="0.25">
      <c r="A2204" t="str">
        <f>T("   521159")</f>
        <v xml:space="preserve">   521159</v>
      </c>
      <c r="B2204" t="str">
        <f>T("   AUTRES TISSUS")</f>
        <v xml:space="preserve">   AUTRES TISSUS</v>
      </c>
      <c r="C2204" s="4">
        <v>380247</v>
      </c>
      <c r="D2204" s="4">
        <v>240167350</v>
      </c>
    </row>
    <row r="2205" spans="1:4" x14ac:dyDescent="0.25">
      <c r="A2205" t="str">
        <f>T("   521215")</f>
        <v xml:space="preserve">   521215</v>
      </c>
      <c r="B2205" t="str">
        <f>T("   IMPRIMES")</f>
        <v xml:space="preserve">   IMPRIMES</v>
      </c>
      <c r="C2205" s="4">
        <v>54708</v>
      </c>
      <c r="D2205" s="4">
        <v>32769000</v>
      </c>
    </row>
    <row r="2206" spans="1:4" x14ac:dyDescent="0.25">
      <c r="A2206" t="str">
        <f>T("   521225")</f>
        <v xml:space="preserve">   521225</v>
      </c>
      <c r="B2206" t="str">
        <f>T("   IMPRIMES")</f>
        <v xml:space="preserve">   IMPRIMES</v>
      </c>
      <c r="C2206" s="4">
        <v>269816</v>
      </c>
      <c r="D2206" s="4">
        <v>181543112</v>
      </c>
    </row>
    <row r="2207" spans="1:4" x14ac:dyDescent="0.25">
      <c r="A2207" t="str">
        <f>T("   530390")</f>
        <v xml:space="preserve">   530390</v>
      </c>
      <c r="B2207" t="str">
        <f>T("   AUTRES")</f>
        <v xml:space="preserve">   AUTRES</v>
      </c>
      <c r="C2207" s="4">
        <v>650</v>
      </c>
      <c r="D2207" s="4">
        <v>268864</v>
      </c>
    </row>
    <row r="2208" spans="1:4" x14ac:dyDescent="0.25">
      <c r="A2208" t="str">
        <f>T("   530720")</f>
        <v xml:space="preserve">   530720</v>
      </c>
      <c r="B2208" t="str">
        <f>T("   RETORS OU CABLES")</f>
        <v xml:space="preserve">   RETORS OU CABLES</v>
      </c>
      <c r="C2208" s="4">
        <v>750</v>
      </c>
      <c r="D2208" s="4">
        <v>1039109</v>
      </c>
    </row>
    <row r="2209" spans="1:4" x14ac:dyDescent="0.25">
      <c r="A2209" t="str">
        <f>T("   540110")</f>
        <v xml:space="preserve">   540110</v>
      </c>
      <c r="B2209" t="str">
        <f>T("   DE FILAMENTS SYNTHETIQUES")</f>
        <v xml:space="preserve">   DE FILAMENTS SYNTHETIQUES</v>
      </c>
      <c r="C2209" s="4">
        <v>34290</v>
      </c>
      <c r="D2209" s="4">
        <v>17697178</v>
      </c>
    </row>
    <row r="2210" spans="1:4" x14ac:dyDescent="0.25">
      <c r="A2210" t="str">
        <f>T("   540120")</f>
        <v xml:space="preserve">   540120</v>
      </c>
      <c r="B2210" t="str">
        <f>T("   DE FILAMENTS ARTIFICIELS")</f>
        <v xml:space="preserve">   DE FILAMENTS ARTIFICIELS</v>
      </c>
      <c r="C2210" s="4">
        <v>607244</v>
      </c>
      <c r="D2210" s="4">
        <v>329169676</v>
      </c>
    </row>
    <row r="2211" spans="1:4" x14ac:dyDescent="0.25">
      <c r="A2211" t="str">
        <f>T("   540269")</f>
        <v xml:space="preserve">   540269</v>
      </c>
      <c r="B2211" t="str">
        <f>T("   AUTRES")</f>
        <v xml:space="preserve">   AUTRES</v>
      </c>
      <c r="C2211" s="4">
        <v>693</v>
      </c>
      <c r="D2211" s="4">
        <v>551171</v>
      </c>
    </row>
    <row r="2212" spans="1:4" x14ac:dyDescent="0.25">
      <c r="A2212" t="str">
        <f>T("   540769")</f>
        <v xml:space="preserve">   540769</v>
      </c>
      <c r="B2212" t="str">
        <f>T("   AUTRES")</f>
        <v xml:space="preserve">   AUTRES</v>
      </c>
      <c r="C2212" s="4">
        <v>17640</v>
      </c>
      <c r="D2212" s="4">
        <v>9858000</v>
      </c>
    </row>
    <row r="2213" spans="1:4" x14ac:dyDescent="0.25">
      <c r="A2213" t="str">
        <f>T("   540794")</f>
        <v xml:space="preserve">   540794</v>
      </c>
      <c r="B2213" t="str">
        <f>T("   IMPRIMES")</f>
        <v xml:space="preserve">   IMPRIMES</v>
      </c>
      <c r="C2213" s="4">
        <v>10595</v>
      </c>
      <c r="D2213" s="4">
        <v>12000000</v>
      </c>
    </row>
    <row r="2214" spans="1:4" x14ac:dyDescent="0.25">
      <c r="A2214" t="str">
        <f>T("   550320")</f>
        <v xml:space="preserve">   550320</v>
      </c>
      <c r="B2214" t="str">
        <f>T("   DE POLYESTERS")</f>
        <v xml:space="preserve">   DE POLYESTERS</v>
      </c>
      <c r="C2214" s="4">
        <v>51456</v>
      </c>
      <c r="D2214" s="4">
        <v>27759758</v>
      </c>
    </row>
    <row r="2215" spans="1:4" x14ac:dyDescent="0.25">
      <c r="A2215" t="str">
        <f>T("   551090")</f>
        <v xml:space="preserve">   551090</v>
      </c>
      <c r="B2215" t="str">
        <f>T("   AUTRES FILS")</f>
        <v xml:space="preserve">   AUTRES FILS</v>
      </c>
      <c r="C2215" s="4">
        <v>5875</v>
      </c>
      <c r="D2215" s="4">
        <v>800000</v>
      </c>
    </row>
    <row r="2216" spans="1:4" x14ac:dyDescent="0.25">
      <c r="A2216" t="str">
        <f>T("   551120")</f>
        <v xml:space="preserve">   551120</v>
      </c>
      <c r="B2216" t="str">
        <f>T("   DE FIBRES SYNTHETIQUES DISCONTINUES, CONTENANT MOINS DE 85 % EN POIDS DE CES FIBRES")</f>
        <v xml:space="preserve">   DE FIBRES SYNTHETIQUES DISCONTINUES, CONTENANT MOINS DE 85 % EN POIDS DE CES FIBRES</v>
      </c>
      <c r="C2216" s="4">
        <v>17100</v>
      </c>
      <c r="D2216" s="4">
        <v>8743054</v>
      </c>
    </row>
    <row r="2217" spans="1:4" x14ac:dyDescent="0.25">
      <c r="A2217" t="str">
        <f>T("   551219")</f>
        <v xml:space="preserve">   551219</v>
      </c>
      <c r="B2217" t="str">
        <f>T("   AUTRES")</f>
        <v xml:space="preserve">   AUTRES</v>
      </c>
      <c r="C2217" s="4">
        <v>73244</v>
      </c>
      <c r="D2217" s="4">
        <v>57553796</v>
      </c>
    </row>
    <row r="2218" spans="1:4" x14ac:dyDescent="0.25">
      <c r="A2218" t="str">
        <f>T("   551299")</f>
        <v xml:space="preserve">   551299</v>
      </c>
      <c r="B2218" t="str">
        <f>T("   AUTRES")</f>
        <v xml:space="preserve">   AUTRES</v>
      </c>
      <c r="C2218" s="4">
        <v>61070</v>
      </c>
      <c r="D2218" s="4">
        <v>51000000</v>
      </c>
    </row>
    <row r="2219" spans="1:4" x14ac:dyDescent="0.25">
      <c r="A2219" t="str">
        <f>T("   551312")</f>
        <v xml:space="preserve">   551312</v>
      </c>
      <c r="B2219" t="str">
        <f>T("   EN FIBRES DISCONTINUES DE POLYESTER, A ARMURE SERGE, Y COMPRIS LE CROISE, DONT LE RA")</f>
        <v xml:space="preserve">   EN FIBRES DISCONTINUES DE POLYESTER, A ARMURE SERGE, Y COMPRIS LE CROISE, DONT LE RA</v>
      </c>
      <c r="C2219" s="4">
        <v>18900</v>
      </c>
      <c r="D2219" s="4">
        <v>10922993</v>
      </c>
    </row>
    <row r="2220" spans="1:4" x14ac:dyDescent="0.25">
      <c r="A2220" t="str">
        <f>T("   551313")</f>
        <v xml:space="preserve">   551313</v>
      </c>
      <c r="B2220" t="str">
        <f>T("   AUTRES TISSUS DE FIBRES DISCONTINUES DE POLYESTER")</f>
        <v xml:space="preserve">   AUTRES TISSUS DE FIBRES DISCONTINUES DE POLYESTER</v>
      </c>
      <c r="C2220" s="4">
        <v>261830</v>
      </c>
      <c r="D2220" s="4">
        <v>143991536</v>
      </c>
    </row>
    <row r="2221" spans="1:4" x14ac:dyDescent="0.25">
      <c r="A2221" t="str">
        <f>T("   551319")</f>
        <v xml:space="preserve">   551319</v>
      </c>
      <c r="B2221" t="str">
        <f>T("   AUTRES TISSUS")</f>
        <v xml:space="preserve">   AUTRES TISSUS</v>
      </c>
      <c r="C2221" s="4">
        <v>371836</v>
      </c>
      <c r="D2221" s="4">
        <v>341072546</v>
      </c>
    </row>
    <row r="2222" spans="1:4" x14ac:dyDescent="0.25">
      <c r="A2222" t="str">
        <f>T("   551349")</f>
        <v xml:space="preserve">   551349</v>
      </c>
      <c r="B2222" t="str">
        <f>T("   AUTRES TISSUS")</f>
        <v xml:space="preserve">   AUTRES TISSUS</v>
      </c>
      <c r="C2222" s="4">
        <v>266482</v>
      </c>
      <c r="D2222" s="4">
        <v>140889231</v>
      </c>
    </row>
    <row r="2223" spans="1:4" x14ac:dyDescent="0.25">
      <c r="A2223" t="str">
        <f>T("   551411")</f>
        <v xml:space="preserve">   551411</v>
      </c>
      <c r="B2223" t="str">
        <f>T("   EN FIBRES DISCONTINUES DE POLYESTER, A ARMURE TOILE")</f>
        <v xml:space="preserve">   EN FIBRES DISCONTINUES DE POLYESTER, A ARMURE TOILE</v>
      </c>
      <c r="C2223" s="4">
        <v>1000</v>
      </c>
      <c r="D2223" s="4">
        <v>350000</v>
      </c>
    </row>
    <row r="2224" spans="1:4" x14ac:dyDescent="0.25">
      <c r="A2224" t="str">
        <f>T("   551412")</f>
        <v xml:space="preserve">   551412</v>
      </c>
      <c r="B2224" t="str">
        <f>T("   EN FIBRES DISCONTINUES DE POLYESTER, A ARMURE SERGE, Y COMPRIS LE CROISE, DONT LE RA")</f>
        <v xml:space="preserve">   EN FIBRES DISCONTINUES DE POLYESTER, A ARMURE SERGE, Y COMPRIS LE CROISE, DONT LE RA</v>
      </c>
      <c r="C2224" s="4">
        <v>1500</v>
      </c>
      <c r="D2224" s="4">
        <v>600000</v>
      </c>
    </row>
    <row r="2225" spans="1:4" x14ac:dyDescent="0.25">
      <c r="A2225" t="str">
        <f>T("   551419")</f>
        <v xml:space="preserve">   551419</v>
      </c>
      <c r="B2225" t="str">
        <f>T("   AUTRES TISSUS")</f>
        <v xml:space="preserve">   AUTRES TISSUS</v>
      </c>
      <c r="C2225" s="4">
        <v>4500</v>
      </c>
      <c r="D2225" s="4">
        <v>2377855</v>
      </c>
    </row>
    <row r="2226" spans="1:4" x14ac:dyDescent="0.25">
      <c r="A2226" t="str">
        <f>T("   551449")</f>
        <v xml:space="preserve">   551449</v>
      </c>
      <c r="B2226" t="str">
        <f>T("   AUTRES TISSUS")</f>
        <v xml:space="preserve">   AUTRES TISSUS</v>
      </c>
      <c r="C2226" s="4">
        <v>90624</v>
      </c>
      <c r="D2226" s="4">
        <v>78924593</v>
      </c>
    </row>
    <row r="2227" spans="1:4" x14ac:dyDescent="0.25">
      <c r="A2227" t="str">
        <f>T("   551512")</f>
        <v xml:space="preserve">   551512</v>
      </c>
      <c r="B2227" t="str">
        <f>T("   MELANGEES PRINCIPALEMENT OU UNIQUEMENT AVEC DES FILAMENTS SYNTHETIQUES OU ARTIFICIEL")</f>
        <v xml:space="preserve">   MELANGEES PRINCIPALEMENT OU UNIQUEMENT AVEC DES FILAMENTS SYNTHETIQUES OU ARTIFICIEL</v>
      </c>
      <c r="C2227" s="4">
        <v>90474</v>
      </c>
      <c r="D2227" s="4">
        <v>57000000</v>
      </c>
    </row>
    <row r="2228" spans="1:4" x14ac:dyDescent="0.25">
      <c r="A2228" t="str">
        <f>T("   551519")</f>
        <v xml:space="preserve">   551519</v>
      </c>
      <c r="B2228" t="str">
        <f>T("   AUTRES")</f>
        <v xml:space="preserve">   AUTRES</v>
      </c>
      <c r="C2228" s="4">
        <v>958960</v>
      </c>
      <c r="D2228" s="4">
        <v>441000000</v>
      </c>
    </row>
    <row r="2229" spans="1:4" x14ac:dyDescent="0.25">
      <c r="A2229" t="str">
        <f>T("   551529")</f>
        <v xml:space="preserve">   551529</v>
      </c>
      <c r="B2229" t="str">
        <f>T("   AUTRES")</f>
        <v xml:space="preserve">   AUTRES</v>
      </c>
      <c r="C2229" s="4">
        <v>32210</v>
      </c>
      <c r="D2229" s="4">
        <v>10500000</v>
      </c>
    </row>
    <row r="2230" spans="1:4" x14ac:dyDescent="0.25">
      <c r="A2230" t="str">
        <f>T("   551591")</f>
        <v xml:space="preserve">   551591</v>
      </c>
      <c r="B2230" t="str">
        <f>T("   MELANGES PRINCIPALEMENT OU UNIQUEMENT AVEC DES FILAMENTS SYNTHETIQUES OU ARTIFICIELS")</f>
        <v xml:space="preserve">   MELANGES PRINCIPALEMENT OU UNIQUEMENT AVEC DES FILAMENTS SYNTHETIQUES OU ARTIFICIELS</v>
      </c>
      <c r="C2230" s="4">
        <v>143000</v>
      </c>
      <c r="D2230" s="4">
        <v>64108000</v>
      </c>
    </row>
    <row r="2231" spans="1:4" x14ac:dyDescent="0.25">
      <c r="A2231" t="str">
        <f>T("   551599")</f>
        <v xml:space="preserve">   551599</v>
      </c>
      <c r="B2231" t="str">
        <f>T("   AUTRES")</f>
        <v xml:space="preserve">   AUTRES</v>
      </c>
      <c r="C2231" s="4">
        <v>1360410</v>
      </c>
      <c r="D2231" s="4">
        <v>547554000</v>
      </c>
    </row>
    <row r="2232" spans="1:4" x14ac:dyDescent="0.25">
      <c r="A2232" t="str">
        <f>T("   551612")</f>
        <v xml:space="preserve">   551612</v>
      </c>
      <c r="B2232" t="str">
        <f>T("   TEINTS")</f>
        <v xml:space="preserve">   TEINTS</v>
      </c>
      <c r="C2232" s="4">
        <v>77040</v>
      </c>
      <c r="D2232" s="4">
        <v>36000000</v>
      </c>
    </row>
    <row r="2233" spans="1:4" x14ac:dyDescent="0.25">
      <c r="A2233" t="str">
        <f>T("   551694")</f>
        <v xml:space="preserve">   551694</v>
      </c>
      <c r="B2233" t="str">
        <f>T("   IMPRIMES")</f>
        <v xml:space="preserve">   IMPRIMES</v>
      </c>
      <c r="C2233" s="4">
        <v>495200</v>
      </c>
      <c r="D2233" s="4">
        <v>204509000</v>
      </c>
    </row>
    <row r="2234" spans="1:4" x14ac:dyDescent="0.25">
      <c r="A2234" t="str">
        <f>T("   560110")</f>
        <v xml:space="preserve">   560110</v>
      </c>
      <c r="B2234" t="str">
        <f>T("   SERVIETTES,TAMPONS HYGIENIQUES,COUCHES BEBES,ARTICLES D'HYGIENE EN OUATES")</f>
        <v xml:space="preserve">   SERVIETTES,TAMPONS HYGIENIQUES,COUCHES BEBES,ARTICLES D'HYGIENE EN OUATES</v>
      </c>
      <c r="C2234" s="4">
        <v>50928</v>
      </c>
      <c r="D2234" s="4">
        <v>26890541</v>
      </c>
    </row>
    <row r="2235" spans="1:4" x14ac:dyDescent="0.25">
      <c r="A2235" t="str">
        <f>T("   560121")</f>
        <v xml:space="preserve">   560121</v>
      </c>
      <c r="B2235" t="str">
        <f>T("   DE COTON")</f>
        <v xml:space="preserve">   DE COTON</v>
      </c>
      <c r="C2235" s="4">
        <v>23550</v>
      </c>
      <c r="D2235" s="4">
        <v>7565588</v>
      </c>
    </row>
    <row r="2236" spans="1:4" x14ac:dyDescent="0.25">
      <c r="A2236" t="str">
        <f>T("   560129")</f>
        <v xml:space="preserve">   560129</v>
      </c>
      <c r="B2236" t="str">
        <f>T("   AUTRES")</f>
        <v xml:space="preserve">   AUTRES</v>
      </c>
      <c r="C2236" s="4">
        <v>6674</v>
      </c>
      <c r="D2236" s="4">
        <v>8194579</v>
      </c>
    </row>
    <row r="2237" spans="1:4" x14ac:dyDescent="0.25">
      <c r="A2237" t="str">
        <f>T("   560490")</f>
        <v xml:space="preserve">   560490</v>
      </c>
      <c r="B2237" t="str">
        <f>T("   AUTRES")</f>
        <v xml:space="preserve">   AUTRES</v>
      </c>
      <c r="C2237" s="4">
        <v>69700</v>
      </c>
      <c r="D2237" s="4">
        <v>24800961</v>
      </c>
    </row>
    <row r="2238" spans="1:4" x14ac:dyDescent="0.25">
      <c r="A2238" t="str">
        <f>T("   560790")</f>
        <v xml:space="preserve">   560790</v>
      </c>
      <c r="B2238" t="str">
        <f>T("   AUTRES")</f>
        <v xml:space="preserve">   AUTRES</v>
      </c>
      <c r="C2238" s="4">
        <v>12039</v>
      </c>
      <c r="D2238" s="4">
        <v>6656700</v>
      </c>
    </row>
    <row r="2239" spans="1:4" x14ac:dyDescent="0.25">
      <c r="A2239" t="str">
        <f>T("   560811")</f>
        <v xml:space="preserve">   560811</v>
      </c>
      <c r="B2239" t="str">
        <f>T("   FILETS CONFECTIONNES POUR LA PECHE")</f>
        <v xml:space="preserve">   FILETS CONFECTIONNES POUR LA PECHE</v>
      </c>
      <c r="C2239" s="4">
        <v>2500</v>
      </c>
      <c r="D2239" s="4">
        <v>400000</v>
      </c>
    </row>
    <row r="2240" spans="1:4" x14ac:dyDescent="0.25">
      <c r="A2240" t="str">
        <f>T("   560819")</f>
        <v xml:space="preserve">   560819</v>
      </c>
      <c r="B2240" t="str">
        <f>T("   AUTRES")</f>
        <v xml:space="preserve">   AUTRES</v>
      </c>
      <c r="C2240" s="4">
        <v>40500</v>
      </c>
      <c r="D2240" s="4">
        <v>3400000</v>
      </c>
    </row>
    <row r="2241" spans="1:4" x14ac:dyDescent="0.25">
      <c r="A2241" t="str">
        <f>T("   560900")</f>
        <v xml:space="preserve">   560900</v>
      </c>
      <c r="B2241" t="str">
        <f>T("   ARTICLES EN FILS, LAMES OU FORMES SIMILAIRES DES N°S 54.04 OU 54.05, FICELLES, CORDES O")</f>
        <v xml:space="preserve">   ARTICLES EN FILS, LAMES OU FORMES SIMILAIRES DES N°S 54.04 OU 54.05, FICELLES, CORDES O</v>
      </c>
      <c r="C2241" s="4">
        <v>100</v>
      </c>
      <c r="D2241" s="4">
        <v>50000</v>
      </c>
    </row>
    <row r="2242" spans="1:4" x14ac:dyDescent="0.25">
      <c r="A2242" t="str">
        <f>T("   570190")</f>
        <v xml:space="preserve">   570190</v>
      </c>
      <c r="B2242" t="str">
        <f>T("   D'AUTRES MATIERES TEXTILES")</f>
        <v xml:space="preserve">   D'AUTRES MATIERES TEXTILES</v>
      </c>
      <c r="C2242" s="4">
        <v>41159</v>
      </c>
      <c r="D2242" s="4">
        <v>13023640</v>
      </c>
    </row>
    <row r="2243" spans="1:4" x14ac:dyDescent="0.25">
      <c r="A2243" t="str">
        <f>T("   570210")</f>
        <v xml:space="preserve">   570210</v>
      </c>
      <c r="B2243" t="str">
        <f>T("   TAPIS DITS «KELIM» OU «KILIM», «SCHUMACKS» OU «SOUMAK», «KARAMANIE» ET TAPIS SIMILAIR")</f>
        <v xml:space="preserve">   TAPIS DITS «KELIM» OU «KILIM», «SCHUMACKS» OU «SOUMAK», «KARAMANIE» ET TAPIS SIMILAIR</v>
      </c>
      <c r="C2243" s="4">
        <v>7900</v>
      </c>
      <c r="D2243" s="4">
        <v>3265000</v>
      </c>
    </row>
    <row r="2244" spans="1:4" x14ac:dyDescent="0.25">
      <c r="A2244" t="str">
        <f>T("   570231")</f>
        <v xml:space="preserve">   570231</v>
      </c>
      <c r="B2244" t="str">
        <f>T("   DE LAINE OU DE POILS FINS")</f>
        <v xml:space="preserve">   DE LAINE OU DE POILS FINS</v>
      </c>
      <c r="C2244" s="4">
        <v>53050</v>
      </c>
      <c r="D2244" s="4">
        <v>10911000</v>
      </c>
    </row>
    <row r="2245" spans="1:4" x14ac:dyDescent="0.25">
      <c r="A2245" t="str">
        <f>T("   570320")</f>
        <v xml:space="preserve">   570320</v>
      </c>
      <c r="B2245" t="str">
        <f>T("   DE NYLON OU D'AUTRES POLYAMIDES")</f>
        <v xml:space="preserve">   DE NYLON OU D'AUTRES POLYAMIDES</v>
      </c>
      <c r="C2245" s="4">
        <v>1102</v>
      </c>
      <c r="D2245" s="4">
        <v>262391</v>
      </c>
    </row>
    <row r="2246" spans="1:4" x14ac:dyDescent="0.25">
      <c r="A2246" t="str">
        <f>T("   570390")</f>
        <v xml:space="preserve">   570390</v>
      </c>
      <c r="B2246" t="str">
        <f>T("   D'AUTRES MATIERES TEXTILES")</f>
        <v xml:space="preserve">   D'AUTRES MATIERES TEXTILES</v>
      </c>
      <c r="C2246" s="4">
        <v>7030</v>
      </c>
      <c r="D2246" s="4">
        <v>1951858</v>
      </c>
    </row>
    <row r="2247" spans="1:4" x14ac:dyDescent="0.25">
      <c r="A2247" t="str">
        <f>T("   570490")</f>
        <v xml:space="preserve">   570490</v>
      </c>
      <c r="B2247" t="str">
        <f>T("   AUTRES")</f>
        <v xml:space="preserve">   AUTRES</v>
      </c>
      <c r="C2247" s="4">
        <v>91923</v>
      </c>
      <c r="D2247" s="4">
        <v>15940638</v>
      </c>
    </row>
    <row r="2248" spans="1:4" x14ac:dyDescent="0.25">
      <c r="A2248" t="str">
        <f>T("   570500")</f>
        <v xml:space="preserve">   570500</v>
      </c>
      <c r="B2248" t="str">
        <f>T("   AUTRES TAPIS ET REVETEMENTS DE SOL EN MATIERES TEXTILES, MEME CONFECTIONNES.")</f>
        <v xml:space="preserve">   AUTRES TAPIS ET REVETEMENTS DE SOL EN MATIERES TEXTILES, MEME CONFECTIONNES.</v>
      </c>
      <c r="C2248" s="4">
        <v>12149</v>
      </c>
      <c r="D2248" s="4">
        <v>7938591</v>
      </c>
    </row>
    <row r="2249" spans="1:4" x14ac:dyDescent="0.25">
      <c r="A2249" t="str">
        <f>T("   580219")</f>
        <v xml:space="preserve">   580219</v>
      </c>
      <c r="B2249" t="str">
        <f>T("   AUTRES")</f>
        <v xml:space="preserve">   AUTRES</v>
      </c>
      <c r="C2249" s="4">
        <v>76060</v>
      </c>
      <c r="D2249" s="4">
        <v>43641732</v>
      </c>
    </row>
    <row r="2250" spans="1:4" x14ac:dyDescent="0.25">
      <c r="A2250" t="str">
        <f>T("   580631")</f>
        <v xml:space="preserve">   580631</v>
      </c>
      <c r="B2250" t="str">
        <f>T("   DE COTON")</f>
        <v xml:space="preserve">   DE COTON</v>
      </c>
      <c r="C2250" s="4">
        <v>160</v>
      </c>
      <c r="D2250" s="4">
        <v>44811</v>
      </c>
    </row>
    <row r="2251" spans="1:4" x14ac:dyDescent="0.25">
      <c r="A2251" t="str">
        <f>T("   580639")</f>
        <v xml:space="preserve">   580639</v>
      </c>
      <c r="B2251" t="str">
        <f>T("   D'AUTRES MATIERES TEXTILES")</f>
        <v xml:space="preserve">   D'AUTRES MATIERES TEXTILES</v>
      </c>
      <c r="C2251" s="4">
        <v>9401</v>
      </c>
      <c r="D2251" s="4">
        <v>3431647</v>
      </c>
    </row>
    <row r="2252" spans="1:4" x14ac:dyDescent="0.25">
      <c r="A2252" t="str">
        <f>T("   580790")</f>
        <v xml:space="preserve">   580790</v>
      </c>
      <c r="B2252" t="str">
        <f>T("   AUTRES")</f>
        <v xml:space="preserve">   AUTRES</v>
      </c>
      <c r="C2252" s="4">
        <v>1315</v>
      </c>
      <c r="D2252" s="4">
        <v>3401466</v>
      </c>
    </row>
    <row r="2253" spans="1:4" x14ac:dyDescent="0.25">
      <c r="A2253" t="str">
        <f>T("   580890")</f>
        <v xml:space="preserve">   580890</v>
      </c>
      <c r="B2253" t="str">
        <f>T("   AUTRES")</f>
        <v xml:space="preserve">   AUTRES</v>
      </c>
      <c r="C2253" s="4">
        <v>17032</v>
      </c>
      <c r="D2253" s="4">
        <v>5249130</v>
      </c>
    </row>
    <row r="2254" spans="1:4" x14ac:dyDescent="0.25">
      <c r="A2254" t="str">
        <f>T("   581099")</f>
        <v xml:space="preserve">   581099</v>
      </c>
      <c r="B2254" t="str">
        <f>T("   D'AUTRES MATIERES TEXTILES")</f>
        <v xml:space="preserve">   D'AUTRES MATIERES TEXTILES</v>
      </c>
      <c r="C2254" s="4">
        <v>477060</v>
      </c>
      <c r="D2254" s="4">
        <v>240553805</v>
      </c>
    </row>
    <row r="2255" spans="1:4" x14ac:dyDescent="0.25">
      <c r="A2255" t="str">
        <f>T("   590110")</f>
        <v xml:space="preserve">   590110</v>
      </c>
      <c r="B2255" t="str">
        <f>T("   TISSUS ENDUITS DE COLLE OU DE MATIERES AMYLACEES, DES TYPES UTILISES POUR LA RELIURE,")</f>
        <v xml:space="preserve">   TISSUS ENDUITS DE COLLE OU DE MATIERES AMYLACEES, DES TYPES UTILISES POUR LA RELIURE,</v>
      </c>
      <c r="C2255" s="4">
        <v>20727</v>
      </c>
      <c r="D2255" s="4">
        <v>8155410</v>
      </c>
    </row>
    <row r="2256" spans="1:4" x14ac:dyDescent="0.25">
      <c r="A2256" t="str">
        <f>T("   590390")</f>
        <v xml:space="preserve">   590390</v>
      </c>
      <c r="B2256" t="str">
        <f>T("   AUTRES")</f>
        <v xml:space="preserve">   AUTRES</v>
      </c>
      <c r="C2256" s="4">
        <v>55897</v>
      </c>
      <c r="D2256" s="4">
        <v>29542161</v>
      </c>
    </row>
    <row r="2257" spans="1:4" x14ac:dyDescent="0.25">
      <c r="A2257" t="str">
        <f>T("   590610")</f>
        <v xml:space="preserve">   590610</v>
      </c>
      <c r="B2257" t="str">
        <f>T("   RUBANS ADHESIFS D'UNE LARGEUR N'EXCEDANT PAS 20 CM")</f>
        <v xml:space="preserve">   RUBANS ADHESIFS D'UNE LARGEUR N'EXCEDANT PAS 20 CM</v>
      </c>
      <c r="C2257" s="4">
        <v>13730</v>
      </c>
      <c r="D2257" s="4">
        <v>7647683</v>
      </c>
    </row>
    <row r="2258" spans="1:4" x14ac:dyDescent="0.25">
      <c r="A2258" t="str">
        <f>T("   591190")</f>
        <v xml:space="preserve">   591190</v>
      </c>
      <c r="B2258" t="str">
        <f>T("   AUTRES")</f>
        <v xml:space="preserve">   AUTRES</v>
      </c>
      <c r="C2258" s="4">
        <v>10420</v>
      </c>
      <c r="D2258" s="4">
        <v>17562614</v>
      </c>
    </row>
    <row r="2259" spans="1:4" x14ac:dyDescent="0.25">
      <c r="A2259" t="str">
        <f>T("   600290")</f>
        <v xml:space="preserve">   600290</v>
      </c>
      <c r="B2259" t="str">
        <f>T("   AUTRES")</f>
        <v xml:space="preserve">   AUTRES</v>
      </c>
      <c r="C2259" s="4">
        <v>44000</v>
      </c>
      <c r="D2259" s="4">
        <v>18569088</v>
      </c>
    </row>
    <row r="2260" spans="1:4" x14ac:dyDescent="0.25">
      <c r="A2260" t="str">
        <f>T("   610329")</f>
        <v xml:space="preserve">   610329</v>
      </c>
      <c r="B2260" t="str">
        <f>T("   D'AUTRES MATIERES TEXTILES")</f>
        <v xml:space="preserve">   D'AUTRES MATIERES TEXTILES</v>
      </c>
      <c r="C2260" s="4">
        <v>45.9</v>
      </c>
      <c r="D2260" s="4">
        <v>370933</v>
      </c>
    </row>
    <row r="2261" spans="1:4" x14ac:dyDescent="0.25">
      <c r="A2261" t="str">
        <f>T("   610339")</f>
        <v xml:space="preserve">   610339</v>
      </c>
      <c r="B2261" t="str">
        <f>T("   D'AUTRES MATIERES TEXTILES")</f>
        <v xml:space="preserve">   D'AUTRES MATIERES TEXTILES</v>
      </c>
      <c r="C2261" s="4">
        <v>12</v>
      </c>
      <c r="D2261" s="4">
        <v>74000</v>
      </c>
    </row>
    <row r="2262" spans="1:4" x14ac:dyDescent="0.25">
      <c r="A2262" t="str">
        <f>T("   610342")</f>
        <v xml:space="preserve">   610342</v>
      </c>
      <c r="B2262" t="str">
        <f>T("   DE COTON")</f>
        <v xml:space="preserve">   DE COTON</v>
      </c>
      <c r="C2262" s="4">
        <v>47000</v>
      </c>
      <c r="D2262" s="4">
        <v>22000000</v>
      </c>
    </row>
    <row r="2263" spans="1:4" x14ac:dyDescent="0.25">
      <c r="A2263" t="str">
        <f>T("   610469")</f>
        <v xml:space="preserve">   610469</v>
      </c>
      <c r="B2263" t="str">
        <f>T("   D'AUTRES MATIERES TEXTILES")</f>
        <v xml:space="preserve">   D'AUTRES MATIERES TEXTILES</v>
      </c>
      <c r="C2263" s="4">
        <v>9187</v>
      </c>
      <c r="D2263" s="4">
        <v>3667064</v>
      </c>
    </row>
    <row r="2264" spans="1:4" x14ac:dyDescent="0.25">
      <c r="A2264" t="str">
        <f>T("   610510")</f>
        <v xml:space="preserve">   610510</v>
      </c>
      <c r="B2264" t="str">
        <f>T("   DE COTON")</f>
        <v xml:space="preserve">   DE COTON</v>
      </c>
      <c r="C2264" s="4">
        <v>101976</v>
      </c>
      <c r="D2264" s="4">
        <v>35022406</v>
      </c>
    </row>
    <row r="2265" spans="1:4" x14ac:dyDescent="0.25">
      <c r="A2265" t="str">
        <f>T("   610590")</f>
        <v xml:space="preserve">   610590</v>
      </c>
      <c r="B2265" t="str">
        <f>T("   D'AUTRES MATIERES TEXTILES")</f>
        <v xml:space="preserve">   D'AUTRES MATIERES TEXTILES</v>
      </c>
      <c r="C2265" s="4">
        <v>62314</v>
      </c>
      <c r="D2265" s="4">
        <v>31862199</v>
      </c>
    </row>
    <row r="2266" spans="1:4" x14ac:dyDescent="0.25">
      <c r="A2266" t="str">
        <f>T("   610690")</f>
        <v xml:space="preserve">   610690</v>
      </c>
      <c r="B2266" t="str">
        <f>T("   D'AUTRES MATIERES TEXTILES")</f>
        <v xml:space="preserve">   D'AUTRES MATIERES TEXTILES</v>
      </c>
      <c r="C2266" s="4">
        <v>1880</v>
      </c>
      <c r="D2266" s="4">
        <v>3000000</v>
      </c>
    </row>
    <row r="2267" spans="1:4" x14ac:dyDescent="0.25">
      <c r="A2267" t="str">
        <f>T("   610719")</f>
        <v xml:space="preserve">   610719</v>
      </c>
      <c r="B2267" t="str">
        <f>T("   D'AUTRES MATIERES TEXTILES")</f>
        <v xml:space="preserve">   D'AUTRES MATIERES TEXTILES</v>
      </c>
      <c r="C2267" s="4">
        <v>24000</v>
      </c>
      <c r="D2267" s="4">
        <v>13100000</v>
      </c>
    </row>
    <row r="2268" spans="1:4" x14ac:dyDescent="0.25">
      <c r="A2268" t="str">
        <f>T("   610829")</f>
        <v xml:space="preserve">   610829</v>
      </c>
      <c r="B2268" t="str">
        <f>T("   D'AUTRES MATIERES TEXTILES")</f>
        <v xml:space="preserve">   D'AUTRES MATIERES TEXTILES</v>
      </c>
      <c r="C2268" s="4">
        <v>12000</v>
      </c>
      <c r="D2268" s="4">
        <v>6550000</v>
      </c>
    </row>
    <row r="2269" spans="1:4" x14ac:dyDescent="0.25">
      <c r="A2269" t="str">
        <f>T("   610910")</f>
        <v xml:space="preserve">   610910</v>
      </c>
      <c r="B2269" t="str">
        <f>T("   DE COTON")</f>
        <v xml:space="preserve">   DE COTON</v>
      </c>
      <c r="C2269" s="4">
        <v>203440</v>
      </c>
      <c r="D2269" s="4">
        <v>166382226</v>
      </c>
    </row>
    <row r="2270" spans="1:4" x14ac:dyDescent="0.25">
      <c r="A2270" t="str">
        <f>T("   610990")</f>
        <v xml:space="preserve">   610990</v>
      </c>
      <c r="B2270" t="str">
        <f>T("   D'AUTRES MATIERES TEXTILES")</f>
        <v xml:space="preserve">   D'AUTRES MATIERES TEXTILES</v>
      </c>
      <c r="C2270" s="4">
        <v>112764</v>
      </c>
      <c r="D2270" s="4">
        <v>151058900</v>
      </c>
    </row>
    <row r="2271" spans="1:4" x14ac:dyDescent="0.25">
      <c r="A2271" t="str">
        <f>T("   611019")</f>
        <v xml:space="preserve">   611019</v>
      </c>
      <c r="B2271" t="str">
        <f>T("   AUTRES")</f>
        <v xml:space="preserve">   AUTRES</v>
      </c>
      <c r="C2271" s="4">
        <v>1500</v>
      </c>
      <c r="D2271" s="4">
        <v>420000</v>
      </c>
    </row>
    <row r="2272" spans="1:4" x14ac:dyDescent="0.25">
      <c r="A2272" t="str">
        <f>T("   611490")</f>
        <v xml:space="preserve">   611490</v>
      </c>
      <c r="B2272" t="str">
        <f>T("   D'AUTRES MATIERES TEXTILES")</f>
        <v xml:space="preserve">   D'AUTRES MATIERES TEXTILES</v>
      </c>
      <c r="C2272" s="4">
        <v>187475</v>
      </c>
      <c r="D2272" s="4">
        <v>101254579</v>
      </c>
    </row>
    <row r="2273" spans="1:4" x14ac:dyDescent="0.25">
      <c r="A2273" t="str">
        <f>T("   611519")</f>
        <v xml:space="preserve">   611519</v>
      </c>
      <c r="B2273" t="str">
        <f>T("   COLLANTS EN BONNETERIE D'AUTRES MATIERES TEXTILES")</f>
        <v xml:space="preserve">   COLLANTS EN BONNETERIE D'AUTRES MATIERES TEXTILES</v>
      </c>
      <c r="C2273" s="4">
        <v>6662</v>
      </c>
      <c r="D2273" s="4">
        <v>1984260</v>
      </c>
    </row>
    <row r="2274" spans="1:4" x14ac:dyDescent="0.25">
      <c r="A2274" t="str">
        <f>T("   611599")</f>
        <v xml:space="preserve">   611599</v>
      </c>
      <c r="B2274" t="str">
        <f>T("   D'AUTRES MATIERES TEXTILES")</f>
        <v xml:space="preserve">   D'AUTRES MATIERES TEXTILES</v>
      </c>
      <c r="C2274" s="4">
        <v>22653</v>
      </c>
      <c r="D2274" s="4">
        <v>14063126</v>
      </c>
    </row>
    <row r="2275" spans="1:4" x14ac:dyDescent="0.25">
      <c r="A2275" t="str">
        <f>T("   611790")</f>
        <v xml:space="preserve">   611790</v>
      </c>
      <c r="B2275" t="str">
        <f>T("   PARTIES")</f>
        <v xml:space="preserve">   PARTIES</v>
      </c>
      <c r="C2275" s="4">
        <v>12000</v>
      </c>
      <c r="D2275" s="4">
        <v>6600000</v>
      </c>
    </row>
    <row r="2276" spans="1:4" x14ac:dyDescent="0.25">
      <c r="A2276" t="str">
        <f>T("   620113")</f>
        <v xml:space="preserve">   620113</v>
      </c>
      <c r="B2276" t="str">
        <f>T("   DE FIBRES SYNTHETIQUES OU ARTIFICIELLES")</f>
        <v xml:space="preserve">   DE FIBRES SYNTHETIQUES OU ARTIFICIELLES</v>
      </c>
      <c r="C2276" s="4">
        <v>2358</v>
      </c>
      <c r="D2276" s="4">
        <v>1128907</v>
      </c>
    </row>
    <row r="2277" spans="1:4" x14ac:dyDescent="0.25">
      <c r="A2277" t="str">
        <f>T("   620119")</f>
        <v xml:space="preserve">   620119</v>
      </c>
      <c r="B2277" t="str">
        <f>T("   D'AUTRES MATIERES TEXTILES")</f>
        <v xml:space="preserve">   D'AUTRES MATIERES TEXTILES</v>
      </c>
      <c r="C2277" s="4">
        <v>1000</v>
      </c>
      <c r="D2277" s="4">
        <v>300000</v>
      </c>
    </row>
    <row r="2278" spans="1:4" x14ac:dyDescent="0.25">
      <c r="A2278" t="str">
        <f>T("   620193")</f>
        <v xml:space="preserve">   620193</v>
      </c>
      <c r="B2278" t="str">
        <f>T("   DE FIBRES SYNTHETIQUES OU ARTIFICIELLES")</f>
        <v xml:space="preserve">   DE FIBRES SYNTHETIQUES OU ARTIFICIELLES</v>
      </c>
      <c r="C2278" s="4">
        <v>2340</v>
      </c>
      <c r="D2278" s="4">
        <v>655729</v>
      </c>
    </row>
    <row r="2279" spans="1:4" x14ac:dyDescent="0.25">
      <c r="A2279" t="str">
        <f>T("   620213")</f>
        <v xml:space="preserve">   620213</v>
      </c>
      <c r="B2279" t="str">
        <f>T("   DE FIBRES SYNTHETIQUES OU ARTIFICIELLES")</f>
        <v xml:space="preserve">   DE FIBRES SYNTHETIQUES OU ARTIFICIELLES</v>
      </c>
      <c r="C2279" s="4">
        <v>5022</v>
      </c>
      <c r="D2279" s="4">
        <v>1138747</v>
      </c>
    </row>
    <row r="2280" spans="1:4" x14ac:dyDescent="0.25">
      <c r="A2280" t="str">
        <f>T("   620299")</f>
        <v xml:space="preserve">   620299</v>
      </c>
      <c r="B2280" t="str">
        <f>T("   D'AUTRES MATIERES TEXTILES")</f>
        <v xml:space="preserve">   D'AUTRES MATIERES TEXTILES</v>
      </c>
      <c r="C2280" s="4">
        <v>179</v>
      </c>
      <c r="D2280" s="4">
        <v>155000</v>
      </c>
    </row>
    <row r="2281" spans="1:4" x14ac:dyDescent="0.25">
      <c r="A2281" t="str">
        <f>T("   620322")</f>
        <v xml:space="preserve">   620322</v>
      </c>
      <c r="B2281" t="str">
        <f>T("   DE COTON")</f>
        <v xml:space="preserve">   DE COTON</v>
      </c>
      <c r="C2281" s="4">
        <v>66.400000000000006</v>
      </c>
      <c r="D2281" s="4">
        <v>475989</v>
      </c>
    </row>
    <row r="2282" spans="1:4" x14ac:dyDescent="0.25">
      <c r="A2282" t="str">
        <f>T("   620329")</f>
        <v xml:space="preserve">   620329</v>
      </c>
      <c r="B2282" t="str">
        <f>T("   D'AUTRES MATIERES TEXTILES")</f>
        <v xml:space="preserve">   D'AUTRES MATIERES TEXTILES</v>
      </c>
      <c r="C2282" s="4">
        <v>55.7</v>
      </c>
      <c r="D2282" s="4">
        <v>463541</v>
      </c>
    </row>
    <row r="2283" spans="1:4" x14ac:dyDescent="0.25">
      <c r="A2283" t="str">
        <f>T("   620342")</f>
        <v xml:space="preserve">   620342</v>
      </c>
      <c r="B2283" t="str">
        <f>T("   DE COTON")</f>
        <v xml:space="preserve">   DE COTON</v>
      </c>
      <c r="C2283" s="4">
        <v>781800</v>
      </c>
      <c r="D2283" s="4">
        <v>356685609</v>
      </c>
    </row>
    <row r="2284" spans="1:4" x14ac:dyDescent="0.25">
      <c r="A2284" t="str">
        <f>T("   620349")</f>
        <v xml:space="preserve">   620349</v>
      </c>
      <c r="B2284" t="str">
        <f>T("   D'AUTRES MATIERES TEXTILES")</f>
        <v xml:space="preserve">   D'AUTRES MATIERES TEXTILES</v>
      </c>
      <c r="C2284" s="4">
        <v>356040</v>
      </c>
      <c r="D2284" s="4">
        <v>176015889</v>
      </c>
    </row>
    <row r="2285" spans="1:4" x14ac:dyDescent="0.25">
      <c r="A2285" t="str">
        <f>T("   620412")</f>
        <v xml:space="preserve">   620412</v>
      </c>
      <c r="B2285" t="str">
        <f>T("   DE COTON")</f>
        <v xml:space="preserve">   DE COTON</v>
      </c>
      <c r="C2285" s="4">
        <v>366</v>
      </c>
      <c r="D2285" s="4">
        <v>263700</v>
      </c>
    </row>
    <row r="2286" spans="1:4" x14ac:dyDescent="0.25">
      <c r="A2286" t="str">
        <f>T("   620469")</f>
        <v xml:space="preserve">   620469</v>
      </c>
      <c r="B2286" t="str">
        <f>T("   D'AUTRES MATIERES TEXTILES")</f>
        <v xml:space="preserve">   D'AUTRES MATIERES TEXTILES</v>
      </c>
      <c r="C2286" s="4">
        <v>3950</v>
      </c>
      <c r="D2286" s="4">
        <v>1515268</v>
      </c>
    </row>
    <row r="2287" spans="1:4" x14ac:dyDescent="0.25">
      <c r="A2287" t="str">
        <f>T("   620520")</f>
        <v xml:space="preserve">   620520</v>
      </c>
      <c r="B2287" t="str">
        <f>T("   DE COTON")</f>
        <v xml:space="preserve">   DE COTON</v>
      </c>
      <c r="C2287" s="4">
        <v>6471</v>
      </c>
      <c r="D2287" s="4">
        <v>1991917</v>
      </c>
    </row>
    <row r="2288" spans="1:4" x14ac:dyDescent="0.25">
      <c r="A2288" t="str">
        <f>T("   620590")</f>
        <v xml:space="preserve">   620590</v>
      </c>
      <c r="B2288" t="str">
        <f>T("   D'AUTRES MATIERES TEXTILES")</f>
        <v xml:space="preserve">   D'AUTRES MATIERES TEXTILES</v>
      </c>
      <c r="C2288" s="4">
        <v>113850</v>
      </c>
      <c r="D2288" s="4">
        <v>40092661</v>
      </c>
    </row>
    <row r="2289" spans="1:4" x14ac:dyDescent="0.25">
      <c r="A2289" t="str">
        <f>T("   620690")</f>
        <v xml:space="preserve">   620690</v>
      </c>
      <c r="B2289" t="str">
        <f>T("   D'AUTRES MATIERES TEXTILES")</f>
        <v xml:space="preserve">   D'AUTRES MATIERES TEXTILES</v>
      </c>
      <c r="C2289" s="4">
        <v>1319</v>
      </c>
      <c r="D2289" s="4">
        <v>1278822</v>
      </c>
    </row>
    <row r="2290" spans="1:4" x14ac:dyDescent="0.25">
      <c r="A2290" t="str">
        <f>T("   620799")</f>
        <v xml:space="preserve">   620799</v>
      </c>
      <c r="B2290" t="str">
        <f>T("   D'AUTRES MATIERES TEXTILES")</f>
        <v xml:space="preserve">   D'AUTRES MATIERES TEXTILES</v>
      </c>
      <c r="C2290" s="4">
        <v>12000</v>
      </c>
      <c r="D2290" s="4">
        <v>6550000</v>
      </c>
    </row>
    <row r="2291" spans="1:4" x14ac:dyDescent="0.25">
      <c r="A2291" t="str">
        <f>T("   620819")</f>
        <v xml:space="preserve">   620819</v>
      </c>
      <c r="B2291" t="str">
        <f>T("   D'AUTRES MATIERES TEXTILES")</f>
        <v xml:space="preserve">   D'AUTRES MATIERES TEXTILES</v>
      </c>
      <c r="C2291" s="4">
        <v>21752</v>
      </c>
      <c r="D2291" s="4">
        <v>199446290</v>
      </c>
    </row>
    <row r="2292" spans="1:4" x14ac:dyDescent="0.25">
      <c r="A2292" t="str">
        <f>T("   620829")</f>
        <v xml:space="preserve">   620829</v>
      </c>
      <c r="B2292" t="str">
        <f>T("   D'AUTRES MATIERES TEXTILES")</f>
        <v xml:space="preserve">   D'AUTRES MATIERES TEXTILES</v>
      </c>
      <c r="C2292" s="4">
        <v>17595</v>
      </c>
      <c r="D2292" s="4">
        <v>10999000</v>
      </c>
    </row>
    <row r="2293" spans="1:4" x14ac:dyDescent="0.25">
      <c r="A2293" t="str">
        <f>T("   620891")</f>
        <v xml:space="preserve">   620891</v>
      </c>
      <c r="B2293" t="str">
        <f>T("   DE COTON")</f>
        <v xml:space="preserve">   DE COTON</v>
      </c>
      <c r="C2293" s="4">
        <v>560</v>
      </c>
      <c r="D2293" s="4">
        <v>155000</v>
      </c>
    </row>
    <row r="2294" spans="1:4" x14ac:dyDescent="0.25">
      <c r="A2294" t="str">
        <f>T("   620899")</f>
        <v xml:space="preserve">   620899</v>
      </c>
      <c r="B2294" t="str">
        <f>T("   D'AUTRES MATIERES TEXTILES")</f>
        <v xml:space="preserve">   D'AUTRES MATIERES TEXTILES</v>
      </c>
      <c r="C2294" s="4">
        <v>98</v>
      </c>
      <c r="D2294" s="4">
        <v>192337</v>
      </c>
    </row>
    <row r="2295" spans="1:4" x14ac:dyDescent="0.25">
      <c r="A2295" t="str">
        <f>T("   620990")</f>
        <v xml:space="preserve">   620990</v>
      </c>
      <c r="B2295" t="str">
        <f>T("   D'AUTRES MATIERES TEXTILES")</f>
        <v xml:space="preserve">   D'AUTRES MATIERES TEXTILES</v>
      </c>
      <c r="C2295" s="4">
        <v>100</v>
      </c>
      <c r="D2295" s="4">
        <v>327690</v>
      </c>
    </row>
    <row r="2296" spans="1:4" x14ac:dyDescent="0.25">
      <c r="A2296" t="str">
        <f>T("   621020")</f>
        <v xml:space="preserve">   621020</v>
      </c>
      <c r="B2296" t="str">
        <f>T("   AUTRES VETEMENTS, DES TYPES VISES DANS LES N°S 6201.11 A 6201.19")</f>
        <v xml:space="preserve">   AUTRES VETEMENTS, DES TYPES VISES DANS LES N°S 6201.11 A 6201.19</v>
      </c>
      <c r="C2296" s="4">
        <v>273</v>
      </c>
      <c r="D2296" s="4">
        <v>400500</v>
      </c>
    </row>
    <row r="2297" spans="1:4" x14ac:dyDescent="0.25">
      <c r="A2297" t="str">
        <f>T("   621040")</f>
        <v xml:space="preserve">   621040</v>
      </c>
      <c r="B2297" t="str">
        <f>T("   AUTRES VETEMENTS POUR HOMMES OU GARCONNETS")</f>
        <v xml:space="preserve">   AUTRES VETEMENTS POUR HOMMES OU GARCONNETS</v>
      </c>
      <c r="C2297" s="4">
        <v>283193</v>
      </c>
      <c r="D2297" s="4">
        <v>311962064</v>
      </c>
    </row>
    <row r="2298" spans="1:4" x14ac:dyDescent="0.25">
      <c r="A2298" t="str">
        <f>T("   621050")</f>
        <v xml:space="preserve">   621050</v>
      </c>
      <c r="B2298" t="str">
        <f>T("   AUTRES VETEMENTS POUR FEMMES OU FILLETTES")</f>
        <v xml:space="preserve">   AUTRES VETEMENTS POUR FEMMES OU FILLETTES</v>
      </c>
      <c r="C2298" s="4">
        <v>2769</v>
      </c>
      <c r="D2298" s="4">
        <v>700000</v>
      </c>
    </row>
    <row r="2299" spans="1:4" x14ac:dyDescent="0.25">
      <c r="A2299" t="str">
        <f>T("   621111")</f>
        <v xml:space="preserve">   621111</v>
      </c>
      <c r="B2299" t="str">
        <f>T("   POUR HOMMES OU GARCONNETS")</f>
        <v xml:space="preserve">   POUR HOMMES OU GARCONNETS</v>
      </c>
      <c r="C2299" s="4">
        <v>537</v>
      </c>
      <c r="D2299" s="4">
        <v>4500000</v>
      </c>
    </row>
    <row r="2300" spans="1:4" x14ac:dyDescent="0.25">
      <c r="A2300" t="str">
        <f>T("   621112")</f>
        <v xml:space="preserve">   621112</v>
      </c>
      <c r="B2300" t="str">
        <f>T("   POUR FEMMES OU FILLETTES")</f>
        <v xml:space="preserve">   POUR FEMMES OU FILLETTES</v>
      </c>
      <c r="C2300" s="4">
        <v>15</v>
      </c>
      <c r="D2300" s="4">
        <v>65723</v>
      </c>
    </row>
    <row r="2301" spans="1:4" x14ac:dyDescent="0.25">
      <c r="A2301" t="str">
        <f>T("   621133")</f>
        <v xml:space="preserve">   621133</v>
      </c>
      <c r="B2301" t="str">
        <f>T("   DE FIBRES SYNTHETIQUES OU ARTIFICIELLES")</f>
        <v xml:space="preserve">   DE FIBRES SYNTHETIQUES OU ARTIFICIELLES</v>
      </c>
      <c r="C2301" s="4">
        <v>4548</v>
      </c>
      <c r="D2301" s="4">
        <v>33497740</v>
      </c>
    </row>
    <row r="2302" spans="1:4" x14ac:dyDescent="0.25">
      <c r="A2302" t="str">
        <f>T("   621139")</f>
        <v xml:space="preserve">   621139</v>
      </c>
      <c r="B2302" t="str">
        <f>T("   D'AUTRES MATIERES TEXTILES")</f>
        <v xml:space="preserve">   D'AUTRES MATIERES TEXTILES</v>
      </c>
      <c r="C2302" s="4">
        <v>13000</v>
      </c>
      <c r="D2302" s="4">
        <v>7046216</v>
      </c>
    </row>
    <row r="2303" spans="1:4" x14ac:dyDescent="0.25">
      <c r="A2303" t="str">
        <f>T("   621220")</f>
        <v xml:space="preserve">   621220</v>
      </c>
      <c r="B2303" t="str">
        <f>T("   GAINES ET GAINESCULOTTES")</f>
        <v xml:space="preserve">   GAINES ET GAINESCULOTTES</v>
      </c>
      <c r="C2303" s="4">
        <v>126</v>
      </c>
      <c r="D2303" s="4">
        <v>543580</v>
      </c>
    </row>
    <row r="2304" spans="1:4" x14ac:dyDescent="0.25">
      <c r="A2304" t="str">
        <f>T("   621490")</f>
        <v xml:space="preserve">   621490</v>
      </c>
      <c r="B2304" t="str">
        <f>T("   D'AUTRES MATIERES TEXTILES")</f>
        <v xml:space="preserve">   D'AUTRES MATIERES TEXTILES</v>
      </c>
      <c r="C2304" s="4">
        <v>330</v>
      </c>
      <c r="D2304" s="4">
        <v>493415</v>
      </c>
    </row>
    <row r="2305" spans="1:4" x14ac:dyDescent="0.25">
      <c r="A2305" t="str">
        <f>T("   621710")</f>
        <v xml:space="preserve">   621710</v>
      </c>
      <c r="B2305" t="str">
        <f>T("   ACCESSOIRES")</f>
        <v xml:space="preserve">   ACCESSOIRES</v>
      </c>
      <c r="C2305" s="4">
        <v>39204.699999999997</v>
      </c>
      <c r="D2305" s="4">
        <v>7735307</v>
      </c>
    </row>
    <row r="2306" spans="1:4" x14ac:dyDescent="0.25">
      <c r="A2306" t="str">
        <f>T("   630190")</f>
        <v xml:space="preserve">   630190</v>
      </c>
      <c r="B2306" t="str">
        <f>T("   AUTRES COUVERTURES")</f>
        <v xml:space="preserve">   AUTRES COUVERTURES</v>
      </c>
      <c r="C2306" s="4">
        <v>2557</v>
      </c>
      <c r="D2306" s="4">
        <v>1559518</v>
      </c>
    </row>
    <row r="2307" spans="1:4" x14ac:dyDescent="0.25">
      <c r="A2307" t="str">
        <f>T("   630210")</f>
        <v xml:space="preserve">   630210</v>
      </c>
      <c r="B2307" t="str">
        <f>T("   LINGE DE LIT EN BONNETERIE")</f>
        <v xml:space="preserve">   LINGE DE LIT EN BONNETERIE</v>
      </c>
      <c r="C2307" s="4">
        <v>960</v>
      </c>
      <c r="D2307" s="4">
        <v>450000</v>
      </c>
    </row>
    <row r="2308" spans="1:4" x14ac:dyDescent="0.25">
      <c r="A2308" t="str">
        <f>T("   630221")</f>
        <v xml:space="preserve">   630221</v>
      </c>
      <c r="B2308" t="str">
        <f>T("   DE COTON")</f>
        <v xml:space="preserve">   DE COTON</v>
      </c>
      <c r="C2308" s="4">
        <v>959</v>
      </c>
      <c r="D2308" s="4">
        <v>1020686</v>
      </c>
    </row>
    <row r="2309" spans="1:4" x14ac:dyDescent="0.25">
      <c r="A2309" t="str">
        <f>T("   630229")</f>
        <v xml:space="preserve">   630229</v>
      </c>
      <c r="B2309" t="str">
        <f>T("   D'AUTRES MATIERES TEXTILES")</f>
        <v xml:space="preserve">   D'AUTRES MATIERES TEXTILES</v>
      </c>
      <c r="C2309" s="4">
        <v>9182</v>
      </c>
      <c r="D2309" s="4">
        <v>5119411</v>
      </c>
    </row>
    <row r="2310" spans="1:4" x14ac:dyDescent="0.25">
      <c r="A2310" t="str">
        <f>T("   630239")</f>
        <v xml:space="preserve">   630239</v>
      </c>
      <c r="B2310" t="str">
        <f>T("   D'AUTRES MATIERES TEXTILES")</f>
        <v xml:space="preserve">   D'AUTRES MATIERES TEXTILES</v>
      </c>
      <c r="C2310" s="4">
        <v>8511</v>
      </c>
      <c r="D2310" s="4">
        <v>2711943</v>
      </c>
    </row>
    <row r="2311" spans="1:4" x14ac:dyDescent="0.25">
      <c r="A2311" t="str">
        <f>T("   630253")</f>
        <v xml:space="preserve">   630253</v>
      </c>
      <c r="B2311" t="str">
        <f>T("   DE FIBRES SYNTHETIQUES OU ARTIFICIELLES")</f>
        <v xml:space="preserve">   DE FIBRES SYNTHETIQUES OU ARTIFICIELLES</v>
      </c>
      <c r="C2311" s="4">
        <v>1480</v>
      </c>
      <c r="D2311" s="4">
        <v>6255000</v>
      </c>
    </row>
    <row r="2312" spans="1:4" x14ac:dyDescent="0.25">
      <c r="A2312" t="str">
        <f>T("   630259")</f>
        <v xml:space="preserve">   630259</v>
      </c>
      <c r="B2312" t="str">
        <f>T("   D'AUTRES MATIERES TEXTILES")</f>
        <v xml:space="preserve">   D'AUTRES MATIERES TEXTILES</v>
      </c>
      <c r="C2312" s="4">
        <v>19567</v>
      </c>
      <c r="D2312" s="4">
        <v>5790481</v>
      </c>
    </row>
    <row r="2313" spans="1:4" x14ac:dyDescent="0.25">
      <c r="A2313" t="str">
        <f>T("   630291")</f>
        <v xml:space="preserve">   630291</v>
      </c>
      <c r="B2313" t="str">
        <f>T("   DE COTON")</f>
        <v xml:space="preserve">   DE COTON</v>
      </c>
      <c r="C2313" s="4">
        <v>5405</v>
      </c>
      <c r="D2313" s="4">
        <v>1531774</v>
      </c>
    </row>
    <row r="2314" spans="1:4" x14ac:dyDescent="0.25">
      <c r="A2314" t="str">
        <f>T("   630319")</f>
        <v xml:space="preserve">   630319</v>
      </c>
      <c r="B2314" t="str">
        <f>T("   D'AUTRES MATIERES TEXTILES")</f>
        <v xml:space="preserve">   D'AUTRES MATIERES TEXTILES</v>
      </c>
      <c r="C2314" s="4">
        <v>38745</v>
      </c>
      <c r="D2314" s="4">
        <v>16361015</v>
      </c>
    </row>
    <row r="2315" spans="1:4" x14ac:dyDescent="0.25">
      <c r="A2315" t="str">
        <f>T("   630399")</f>
        <v xml:space="preserve">   630399</v>
      </c>
      <c r="B2315" t="str">
        <f>T("   D'AUTRES MATIERES TEXTILES")</f>
        <v xml:space="preserve">   D'AUTRES MATIERES TEXTILES</v>
      </c>
      <c r="C2315" s="4">
        <v>13564</v>
      </c>
      <c r="D2315" s="4">
        <v>8652584</v>
      </c>
    </row>
    <row r="2316" spans="1:4" x14ac:dyDescent="0.25">
      <c r="A2316" t="str">
        <f>T("   630411")</f>
        <v xml:space="preserve">   630411</v>
      </c>
      <c r="B2316" t="str">
        <f>T("   EN BONNETERIE")</f>
        <v xml:space="preserve">   EN BONNETERIE</v>
      </c>
      <c r="C2316" s="4">
        <v>24015</v>
      </c>
      <c r="D2316" s="4">
        <v>13266380</v>
      </c>
    </row>
    <row r="2317" spans="1:4" x14ac:dyDescent="0.25">
      <c r="A2317" t="str">
        <f>T("   630419")</f>
        <v xml:space="preserve">   630419</v>
      </c>
      <c r="B2317" t="str">
        <f>T("   AUTRES")</f>
        <v xml:space="preserve">   AUTRES</v>
      </c>
      <c r="C2317" s="4">
        <v>1357</v>
      </c>
      <c r="D2317" s="4">
        <v>978692</v>
      </c>
    </row>
    <row r="2318" spans="1:4" x14ac:dyDescent="0.25">
      <c r="A2318" t="str">
        <f>T("   630491")</f>
        <v xml:space="preserve">   630491</v>
      </c>
      <c r="B2318" t="str">
        <f>T("   EN BONNETERIE")</f>
        <v xml:space="preserve">   EN BONNETERIE</v>
      </c>
      <c r="C2318" s="4">
        <v>4664</v>
      </c>
      <c r="D2318" s="4">
        <v>1671569</v>
      </c>
    </row>
    <row r="2319" spans="1:4" x14ac:dyDescent="0.25">
      <c r="A2319" t="str">
        <f>T("   630520")</f>
        <v xml:space="preserve">   630520</v>
      </c>
      <c r="B2319" t="str">
        <f>T("   DE COTON")</f>
        <v xml:space="preserve">   DE COTON</v>
      </c>
      <c r="C2319" s="4">
        <v>9797</v>
      </c>
      <c r="D2319" s="4">
        <v>22881009</v>
      </c>
    </row>
    <row r="2320" spans="1:4" x14ac:dyDescent="0.25">
      <c r="A2320" t="str">
        <f>T("   630533")</f>
        <v xml:space="preserve">   630533</v>
      </c>
      <c r="B2320" t="str">
        <f>T("   AUTRES, OBTENUES A PARTIR DE LAMES OU FORMES SIMILAIRES DE POLYETHYLENE OU DE POLYPR")</f>
        <v xml:space="preserve">   AUTRES, OBTENUES A PARTIR DE LAMES OU FORMES SIMILAIRES DE POLYETHYLENE OU DE POLYPR</v>
      </c>
      <c r="C2320" s="4">
        <v>64371</v>
      </c>
      <c r="D2320" s="4">
        <v>42582351</v>
      </c>
    </row>
    <row r="2321" spans="1:4" x14ac:dyDescent="0.25">
      <c r="A2321" t="str">
        <f>T("   630590")</f>
        <v xml:space="preserve">   630590</v>
      </c>
      <c r="B2321" t="str">
        <f>T("   D'AUTRES MATIERES TEXTILES")</f>
        <v xml:space="preserve">   D'AUTRES MATIERES TEXTILES</v>
      </c>
      <c r="C2321" s="4">
        <v>12705</v>
      </c>
      <c r="D2321" s="4">
        <v>14115352</v>
      </c>
    </row>
    <row r="2322" spans="1:4" x14ac:dyDescent="0.25">
      <c r="A2322" t="str">
        <f>T("   630612")</f>
        <v xml:space="preserve">   630612</v>
      </c>
      <c r="B2322" t="str">
        <f>T("   DE FIBRES SYNTHETIQUES")</f>
        <v xml:space="preserve">   DE FIBRES SYNTHETIQUES</v>
      </c>
      <c r="C2322" s="4">
        <v>20007</v>
      </c>
      <c r="D2322" s="4">
        <v>4363936</v>
      </c>
    </row>
    <row r="2323" spans="1:4" x14ac:dyDescent="0.25">
      <c r="A2323" t="str">
        <f>T("   630619")</f>
        <v xml:space="preserve">   630619</v>
      </c>
      <c r="B2323" t="str">
        <f>T("   D'AUTRES MATIERES TEXTILES")</f>
        <v xml:space="preserve">   D'AUTRES MATIERES TEXTILES</v>
      </c>
      <c r="C2323" s="4">
        <v>1000</v>
      </c>
      <c r="D2323" s="4">
        <v>293759</v>
      </c>
    </row>
    <row r="2324" spans="1:4" x14ac:dyDescent="0.25">
      <c r="A2324" t="str">
        <f>T("   630622")</f>
        <v xml:space="preserve">   630622</v>
      </c>
      <c r="B2324" t="str">
        <f>T("   DE FIBRES SYNTHETIQUES")</f>
        <v xml:space="preserve">   DE FIBRES SYNTHETIQUES</v>
      </c>
      <c r="C2324" s="4">
        <v>5878</v>
      </c>
      <c r="D2324" s="4">
        <v>43292635</v>
      </c>
    </row>
    <row r="2325" spans="1:4" x14ac:dyDescent="0.25">
      <c r="A2325" t="str">
        <f>T("   630629")</f>
        <v xml:space="preserve">   630629</v>
      </c>
      <c r="B2325" t="str">
        <f>T("   D'AUTRES MATIERES TEXTILES")</f>
        <v xml:space="preserve">   D'AUTRES MATIERES TEXTILES</v>
      </c>
      <c r="C2325" s="4">
        <v>65765</v>
      </c>
      <c r="D2325" s="4">
        <v>54732725</v>
      </c>
    </row>
    <row r="2326" spans="1:4" x14ac:dyDescent="0.25">
      <c r="A2326" t="str">
        <f>T("   630630")</f>
        <v xml:space="preserve">   630630</v>
      </c>
      <c r="B2326" t="str">
        <f>T("   VOILES")</f>
        <v xml:space="preserve">   VOILES</v>
      </c>
      <c r="C2326" s="4">
        <v>7087</v>
      </c>
      <c r="D2326" s="4">
        <v>41783435</v>
      </c>
    </row>
    <row r="2327" spans="1:4" x14ac:dyDescent="0.25">
      <c r="A2327" t="str">
        <f>T("   630691")</f>
        <v xml:space="preserve">   630691</v>
      </c>
      <c r="B2327" t="str">
        <f>T("   AUTRES ARTICLES DU N. 63.06 DE COTON")</f>
        <v xml:space="preserve">   AUTRES ARTICLES DU N. 63.06 DE COTON</v>
      </c>
      <c r="C2327" s="4">
        <v>19495</v>
      </c>
      <c r="D2327" s="4">
        <v>8733121</v>
      </c>
    </row>
    <row r="2328" spans="1:4" x14ac:dyDescent="0.25">
      <c r="A2328" t="str">
        <f>T("   630710")</f>
        <v xml:space="preserve">   630710</v>
      </c>
      <c r="B2328" t="str">
        <f>T("   SERPILLIERES OU WASSINGUES, LAVETTES, CHAMOISETTES ET ARTICLES D'ENTRETIEN SIMILAIRES")</f>
        <v xml:space="preserve">   SERPILLIERES OU WASSINGUES, LAVETTES, CHAMOISETTES ET ARTICLES D'ENTRETIEN SIMILAIRES</v>
      </c>
      <c r="C2328" s="4">
        <v>15533</v>
      </c>
      <c r="D2328" s="4">
        <v>3960513</v>
      </c>
    </row>
    <row r="2329" spans="1:4" x14ac:dyDescent="0.25">
      <c r="A2329" t="str">
        <f>T("   630720")</f>
        <v xml:space="preserve">   630720</v>
      </c>
      <c r="B2329" t="str">
        <f>T("   CEINTURES ET GILETS DE SAUVETAGE")</f>
        <v xml:space="preserve">   CEINTURES ET GILETS DE SAUVETAGE</v>
      </c>
      <c r="C2329" s="4">
        <v>420</v>
      </c>
      <c r="D2329" s="4">
        <v>1096000</v>
      </c>
    </row>
    <row r="2330" spans="1:4" x14ac:dyDescent="0.25">
      <c r="A2330" t="str">
        <f>T("   630790")</f>
        <v xml:space="preserve">   630790</v>
      </c>
      <c r="B2330" t="str">
        <f>T("   AUTRES")</f>
        <v xml:space="preserve">   AUTRES</v>
      </c>
      <c r="C2330" s="4">
        <v>3127</v>
      </c>
      <c r="D2330" s="4">
        <v>22678665</v>
      </c>
    </row>
    <row r="2331" spans="1:4" x14ac:dyDescent="0.25">
      <c r="A2331" t="str">
        <f>T("   630800")</f>
        <v xml:space="preserve">   630800</v>
      </c>
      <c r="B2331" t="str">
        <f>T("   ASSORTIMENTS COMPOSES DE PIECES DE TISSUS ET DE FILS, MEME AVEC ACCESSOIRES, POUR LA CO")</f>
        <v xml:space="preserve">   ASSORTIMENTS COMPOSES DE PIECES DE TISSUS ET DE FILS, MEME AVEC ACCESSOIRES, POUR LA CO</v>
      </c>
      <c r="C2331" s="4">
        <v>1079</v>
      </c>
      <c r="D2331" s="4">
        <v>246956</v>
      </c>
    </row>
    <row r="2332" spans="1:4" x14ac:dyDescent="0.25">
      <c r="A2332" t="str">
        <f>T("   630900")</f>
        <v xml:space="preserve">   630900</v>
      </c>
      <c r="B2332" t="str">
        <f>T("   ARTICLES DE FRIPERIE.")</f>
        <v xml:space="preserve">   ARTICLES DE FRIPERIE.</v>
      </c>
      <c r="C2332" s="4">
        <v>7670466</v>
      </c>
      <c r="D2332" s="4">
        <v>4198412490</v>
      </c>
    </row>
    <row r="2333" spans="1:4" x14ac:dyDescent="0.25">
      <c r="A2333" t="str">
        <f>T("   631090")</f>
        <v xml:space="preserve">   631090</v>
      </c>
      <c r="B2333" t="str">
        <f>T("   AUTRES")</f>
        <v xml:space="preserve">   AUTRES</v>
      </c>
      <c r="C2333" s="4">
        <v>22085</v>
      </c>
      <c r="D2333" s="4">
        <v>9916807</v>
      </c>
    </row>
    <row r="2334" spans="1:4" x14ac:dyDescent="0.25">
      <c r="A2334" t="str">
        <f>T("   640110")</f>
        <v xml:space="preserve">   640110</v>
      </c>
      <c r="B2334" t="str">
        <f>T("   CHAUSSURES COMPORTANT, A L'AVANT, UNE COQUILLE DE PROTECTION EN METAL")</f>
        <v xml:space="preserve">   CHAUSSURES COMPORTANT, A L'AVANT, UNE COQUILLE DE PROTECTION EN METAL</v>
      </c>
      <c r="C2334" s="4">
        <v>1664</v>
      </c>
      <c r="D2334" s="4">
        <v>1414668</v>
      </c>
    </row>
    <row r="2335" spans="1:4" x14ac:dyDescent="0.25">
      <c r="A2335" t="str">
        <f>T("   640192")</f>
        <v xml:space="preserve">   640192</v>
      </c>
      <c r="B2335" t="str">
        <f>T("   COUVRANT LA CHEVILLE MAIS NE COUVRANT PAS LE GENOU")</f>
        <v xml:space="preserve">   COUVRANT LA CHEVILLE MAIS NE COUVRANT PAS LE GENOU</v>
      </c>
      <c r="C2335" s="4">
        <v>2856</v>
      </c>
      <c r="D2335" s="4">
        <v>10143000</v>
      </c>
    </row>
    <row r="2336" spans="1:4" x14ac:dyDescent="0.25">
      <c r="A2336" t="str">
        <f>T("   640199")</f>
        <v xml:space="preserve">   640199</v>
      </c>
      <c r="B2336" t="str">
        <f>T("   AUTRES")</f>
        <v xml:space="preserve">   AUTRES</v>
      </c>
      <c r="C2336" s="4">
        <v>161935</v>
      </c>
      <c r="D2336" s="4">
        <v>50845844</v>
      </c>
    </row>
    <row r="2337" spans="1:4" x14ac:dyDescent="0.25">
      <c r="A2337" t="str">
        <f>T("   640219")</f>
        <v xml:space="preserve">   640219</v>
      </c>
      <c r="B2337" t="str">
        <f>T("   AUTRES")</f>
        <v xml:space="preserve">   AUTRES</v>
      </c>
      <c r="C2337" s="4">
        <v>421370</v>
      </c>
      <c r="D2337" s="4">
        <v>121993305</v>
      </c>
    </row>
    <row r="2338" spans="1:4" x14ac:dyDescent="0.25">
      <c r="A2338" t="str">
        <f>T("   640220")</f>
        <v xml:space="preserve">   640220</v>
      </c>
      <c r="B2338" t="str">
        <f>T("   CHAUSSURES AVEC DESSUS EN LANIERES OU BRIDES FIXEES A LA SEMELLE PAR DES TETONS")</f>
        <v xml:space="preserve">   CHAUSSURES AVEC DESSUS EN LANIERES OU BRIDES FIXEES A LA SEMELLE PAR DES TETONS</v>
      </c>
      <c r="C2338" s="4">
        <v>917131</v>
      </c>
      <c r="D2338" s="4">
        <v>236081743</v>
      </c>
    </row>
    <row r="2339" spans="1:4" x14ac:dyDescent="0.25">
      <c r="A2339" t="str">
        <f>T("   640299")</f>
        <v xml:space="preserve">   640299</v>
      </c>
      <c r="B2339" t="str">
        <f>T("   AUTRES")</f>
        <v xml:space="preserve">   AUTRES</v>
      </c>
      <c r="C2339" s="4">
        <v>1908338</v>
      </c>
      <c r="D2339" s="4">
        <v>730635077</v>
      </c>
    </row>
    <row r="2340" spans="1:4" x14ac:dyDescent="0.25">
      <c r="A2340" t="str">
        <f>T("   640319")</f>
        <v xml:space="preserve">   640319</v>
      </c>
      <c r="B2340" t="str">
        <f>T("   AUTRES")</f>
        <v xml:space="preserve">   AUTRES</v>
      </c>
      <c r="C2340" s="4">
        <v>162</v>
      </c>
      <c r="D2340" s="4">
        <v>358500</v>
      </c>
    </row>
    <row r="2341" spans="1:4" x14ac:dyDescent="0.25">
      <c r="A2341" t="str">
        <f>T("   640320")</f>
        <v xml:space="preserve">   640320</v>
      </c>
      <c r="B2341" t="str">
        <f>T("   CHAUSSURES A SEMELLES EXTERIEURES EN CUIR NATUREL ET DESSUS CONSTITUES PAR DES LANIER")</f>
        <v xml:space="preserve">   CHAUSSURES A SEMELLES EXTERIEURES EN CUIR NATUREL ET DESSUS CONSTITUES PAR DES LANIER</v>
      </c>
      <c r="C2341" s="4">
        <v>1038</v>
      </c>
      <c r="D2341" s="4">
        <v>881900</v>
      </c>
    </row>
    <row r="2342" spans="1:4" x14ac:dyDescent="0.25">
      <c r="A2342" t="str">
        <f>T("   640340")</f>
        <v xml:space="preserve">   640340</v>
      </c>
      <c r="B2342" t="str">
        <f>T("   AUTRES CHAUSSURES, COMPORTANT, A L'AVANT, UNE COQUILLE DE PROTECTION EN METAL")</f>
        <v xml:space="preserve">   AUTRES CHAUSSURES, COMPORTANT, A L'AVANT, UNE COQUILLE DE PROTECTION EN METAL</v>
      </c>
      <c r="C2342" s="4">
        <v>2416</v>
      </c>
      <c r="D2342" s="4">
        <v>2319228</v>
      </c>
    </row>
    <row r="2343" spans="1:4" x14ac:dyDescent="0.25">
      <c r="A2343" t="str">
        <f>T("   640391")</f>
        <v xml:space="preserve">   640391</v>
      </c>
      <c r="B2343" t="str">
        <f>T("   COUVRANT LA CHEVILLE")</f>
        <v xml:space="preserve">   COUVRANT LA CHEVILLE</v>
      </c>
      <c r="C2343" s="4">
        <v>99600</v>
      </c>
      <c r="D2343" s="4">
        <v>45520862</v>
      </c>
    </row>
    <row r="2344" spans="1:4" x14ac:dyDescent="0.25">
      <c r="A2344" t="str">
        <f>T("   640399")</f>
        <v xml:space="preserve">   640399</v>
      </c>
      <c r="B2344" t="str">
        <f>T("   AUTRES")</f>
        <v xml:space="preserve">   AUTRES</v>
      </c>
      <c r="C2344" s="4">
        <v>29800</v>
      </c>
      <c r="D2344" s="4">
        <v>11698951</v>
      </c>
    </row>
    <row r="2345" spans="1:4" x14ac:dyDescent="0.25">
      <c r="A2345" t="str">
        <f>T("   640419")</f>
        <v xml:space="preserve">   640419</v>
      </c>
      <c r="B2345" t="str">
        <f>T("   AUTRES")</f>
        <v xml:space="preserve">   AUTRES</v>
      </c>
      <c r="C2345" s="4">
        <v>46101</v>
      </c>
      <c r="D2345" s="4">
        <v>12665092</v>
      </c>
    </row>
    <row r="2346" spans="1:4" x14ac:dyDescent="0.25">
      <c r="A2346" t="str">
        <f>T("   640590")</f>
        <v xml:space="preserve">   640590</v>
      </c>
      <c r="B2346" t="str">
        <f>T("   AUTRES")</f>
        <v xml:space="preserve">   AUTRES</v>
      </c>
      <c r="C2346" s="4">
        <v>11950614</v>
      </c>
      <c r="D2346" s="4">
        <v>3505071679</v>
      </c>
    </row>
    <row r="2347" spans="1:4" x14ac:dyDescent="0.25">
      <c r="A2347" t="str">
        <f>T("   640699")</f>
        <v xml:space="preserve">   640699</v>
      </c>
      <c r="B2347" t="str">
        <f>T("   AUTRES PARTIES DE CHAUSSURES EN AUTRES MATIERES")</f>
        <v xml:space="preserve">   AUTRES PARTIES DE CHAUSSURES EN AUTRES MATIERES</v>
      </c>
      <c r="C2347" s="4">
        <v>29580</v>
      </c>
      <c r="D2347" s="4">
        <v>19726775</v>
      </c>
    </row>
    <row r="2348" spans="1:4" x14ac:dyDescent="0.25">
      <c r="A2348" t="str">
        <f>T("   650510")</f>
        <v xml:space="preserve">   650510</v>
      </c>
      <c r="B2348" t="str">
        <f>T("   RESILLES ET FILETS A CHEVEUX EN CHEVEUX")</f>
        <v xml:space="preserve">   RESILLES ET FILETS A CHEVEUX EN CHEVEUX</v>
      </c>
      <c r="C2348" s="4">
        <v>4258</v>
      </c>
      <c r="D2348" s="4">
        <v>1144768</v>
      </c>
    </row>
    <row r="2349" spans="1:4" x14ac:dyDescent="0.25">
      <c r="A2349" t="str">
        <f>T("   650590")</f>
        <v xml:space="preserve">   650590</v>
      </c>
      <c r="B2349" t="str">
        <f>T("   AUTRES COIFFURES EN MATIERES TEXTILES,EN PIECES(MAIS NON EN BANDES)")</f>
        <v xml:space="preserve">   AUTRES COIFFURES EN MATIERES TEXTILES,EN PIECES(MAIS NON EN BANDES)</v>
      </c>
      <c r="C2349" s="4">
        <v>24544</v>
      </c>
      <c r="D2349" s="4">
        <v>17918715</v>
      </c>
    </row>
    <row r="2350" spans="1:4" x14ac:dyDescent="0.25">
      <c r="A2350" t="str">
        <f>T("   650610")</f>
        <v xml:space="preserve">   650610</v>
      </c>
      <c r="B2350" t="str">
        <f>T("   COIFFURES DE SECURITE")</f>
        <v xml:space="preserve">   COIFFURES DE SECURITE</v>
      </c>
      <c r="C2350" s="4">
        <v>156026</v>
      </c>
      <c r="D2350" s="4">
        <v>146383434</v>
      </c>
    </row>
    <row r="2351" spans="1:4" x14ac:dyDescent="0.25">
      <c r="A2351" t="str">
        <f>T("   650691")</f>
        <v xml:space="preserve">   650691</v>
      </c>
      <c r="B2351" t="str">
        <f>T("   EN CAOUTCHOUC OU EN MATIERE PLASTIQUE")</f>
        <v xml:space="preserve">   EN CAOUTCHOUC OU EN MATIERE PLASTIQUE</v>
      </c>
      <c r="C2351" s="4">
        <v>117</v>
      </c>
      <c r="D2351" s="4">
        <v>89123</v>
      </c>
    </row>
    <row r="2352" spans="1:4" x14ac:dyDescent="0.25">
      <c r="A2352" t="str">
        <f>T("   650699")</f>
        <v xml:space="preserve">   650699</v>
      </c>
      <c r="B2352" t="str">
        <f>T("   EN AUTRES MATIERES")</f>
        <v xml:space="preserve">   EN AUTRES MATIERES</v>
      </c>
      <c r="C2352" s="4">
        <v>2012</v>
      </c>
      <c r="D2352" s="4">
        <v>953319</v>
      </c>
    </row>
    <row r="2353" spans="1:4" x14ac:dyDescent="0.25">
      <c r="A2353" t="str">
        <f>T("   660110")</f>
        <v xml:space="preserve">   660110</v>
      </c>
      <c r="B2353" t="str">
        <f>T("   PARASOLS DE JARDIN ET ARTICLES SIMILAIRES")</f>
        <v xml:space="preserve">   PARASOLS DE JARDIN ET ARTICLES SIMILAIRES</v>
      </c>
      <c r="C2353" s="4">
        <v>67569</v>
      </c>
      <c r="D2353" s="4">
        <v>35548714</v>
      </c>
    </row>
    <row r="2354" spans="1:4" x14ac:dyDescent="0.25">
      <c r="A2354" t="str">
        <f>T("   660199")</f>
        <v xml:space="preserve">   660199</v>
      </c>
      <c r="B2354" t="str">
        <f>T("   AUTRES")</f>
        <v xml:space="preserve">   AUTRES</v>
      </c>
      <c r="C2354" s="4">
        <v>53406</v>
      </c>
      <c r="D2354" s="4">
        <v>56721150</v>
      </c>
    </row>
    <row r="2355" spans="1:4" x14ac:dyDescent="0.25">
      <c r="A2355" t="str">
        <f>T("   660390")</f>
        <v xml:space="preserve">   660390</v>
      </c>
      <c r="B2355" t="str">
        <f>T("   AUTRES")</f>
        <v xml:space="preserve">   AUTRES</v>
      </c>
      <c r="C2355" s="4">
        <v>1500</v>
      </c>
      <c r="D2355" s="4">
        <v>800000</v>
      </c>
    </row>
    <row r="2356" spans="1:4" x14ac:dyDescent="0.25">
      <c r="A2356" t="str">
        <f>T("   670210")</f>
        <v xml:space="preserve">   670210</v>
      </c>
      <c r="B2356" t="str">
        <f>T("   EN MATIERES PLASTIQUES")</f>
        <v xml:space="preserve">   EN MATIERES PLASTIQUES</v>
      </c>
      <c r="C2356" s="4">
        <v>22735</v>
      </c>
      <c r="D2356" s="4">
        <v>6696061</v>
      </c>
    </row>
    <row r="2357" spans="1:4" x14ac:dyDescent="0.25">
      <c r="A2357" t="str">
        <f>T("   670290")</f>
        <v xml:space="preserve">   670290</v>
      </c>
      <c r="B2357" t="str">
        <f>T("   EN AUTRES MATIERES")</f>
        <v xml:space="preserve">   EN AUTRES MATIERES</v>
      </c>
      <c r="C2357" s="4">
        <v>45496</v>
      </c>
      <c r="D2357" s="4">
        <v>19063476</v>
      </c>
    </row>
    <row r="2358" spans="1:4" x14ac:dyDescent="0.25">
      <c r="A2358" t="str">
        <f>T("   670419")</f>
        <v xml:space="preserve">   670419</v>
      </c>
      <c r="B2358" t="str">
        <f>T("   AUTRES")</f>
        <v xml:space="preserve">   AUTRES</v>
      </c>
      <c r="C2358" s="4">
        <v>13820</v>
      </c>
      <c r="D2358" s="4">
        <v>6575736</v>
      </c>
    </row>
    <row r="2359" spans="1:4" x14ac:dyDescent="0.25">
      <c r="A2359" t="str">
        <f>T("   670420")</f>
        <v xml:space="preserve">   670420</v>
      </c>
      <c r="B2359" t="str">
        <f>T("   EN CHEVEUX")</f>
        <v xml:space="preserve">   EN CHEVEUX</v>
      </c>
      <c r="C2359" s="4">
        <v>19100</v>
      </c>
      <c r="D2359" s="4">
        <v>8398113</v>
      </c>
    </row>
    <row r="2360" spans="1:4" x14ac:dyDescent="0.25">
      <c r="A2360" t="str">
        <f>T("   670490")</f>
        <v xml:space="preserve">   670490</v>
      </c>
      <c r="B2360" t="str">
        <f>T("   EN AUTRES MATIERES")</f>
        <v xml:space="preserve">   EN AUTRES MATIERES</v>
      </c>
      <c r="C2360" s="4">
        <v>750</v>
      </c>
      <c r="D2360" s="4">
        <v>486444</v>
      </c>
    </row>
    <row r="2361" spans="1:4" x14ac:dyDescent="0.25">
      <c r="A2361" t="str">
        <f>T("   680210")</f>
        <v xml:space="preserve">   680210</v>
      </c>
      <c r="B2361" t="str">
        <f>T("   CARREAUX, CUBES, DES ET ARTICLES SIMILAIRES, MEME DE FORME AUTRE QUE CARREE OU RECTAN")</f>
        <v xml:space="preserve">   CARREAUX, CUBES, DES ET ARTICLES SIMILAIRES, MEME DE FORME AUTRE QUE CARREE OU RECTAN</v>
      </c>
      <c r="C2361" s="4">
        <v>275560</v>
      </c>
      <c r="D2361" s="4">
        <v>37150000</v>
      </c>
    </row>
    <row r="2362" spans="1:4" x14ac:dyDescent="0.25">
      <c r="A2362" t="str">
        <f>T("   680221")</f>
        <v xml:space="preserve">   680221</v>
      </c>
      <c r="B2362" t="str">
        <f>T("   MARBRE, TRAVERTIN ET ALBATRE")</f>
        <v xml:space="preserve">   MARBRE, TRAVERTIN ET ALBATRE</v>
      </c>
      <c r="C2362" s="4">
        <v>2670</v>
      </c>
      <c r="D2362" s="4">
        <v>1529219</v>
      </c>
    </row>
    <row r="2363" spans="1:4" x14ac:dyDescent="0.25">
      <c r="A2363" t="str">
        <f>T("   680223")</f>
        <v xml:space="preserve">   680223</v>
      </c>
      <c r="B2363" t="str">
        <f>T("   GRANIT")</f>
        <v xml:space="preserve">   GRANIT</v>
      </c>
      <c r="C2363" s="4">
        <v>50980</v>
      </c>
      <c r="D2363" s="4">
        <v>7578951</v>
      </c>
    </row>
    <row r="2364" spans="1:4" x14ac:dyDescent="0.25">
      <c r="A2364" t="str">
        <f>T("   680229")</f>
        <v xml:space="preserve">   680229</v>
      </c>
      <c r="B2364" t="str">
        <f>T("   AUTRES PIERRES")</f>
        <v xml:space="preserve">   AUTRES PIERRES</v>
      </c>
      <c r="C2364" s="4">
        <v>45979</v>
      </c>
      <c r="D2364" s="4">
        <v>15184819</v>
      </c>
    </row>
    <row r="2365" spans="1:4" x14ac:dyDescent="0.25">
      <c r="A2365" t="str">
        <f>T("   680293")</f>
        <v xml:space="preserve">   680293</v>
      </c>
      <c r="B2365" t="str">
        <f>T("   GRANIT")</f>
        <v xml:space="preserve">   GRANIT</v>
      </c>
      <c r="C2365" s="4">
        <v>27627</v>
      </c>
      <c r="D2365" s="4">
        <v>5592921</v>
      </c>
    </row>
    <row r="2366" spans="1:4" x14ac:dyDescent="0.25">
      <c r="A2366" t="str">
        <f>T("   680299")</f>
        <v xml:space="preserve">   680299</v>
      </c>
      <c r="B2366" t="str">
        <f>T("   Autres pierres")</f>
        <v xml:space="preserve">   Autres pierres</v>
      </c>
      <c r="C2366" s="4">
        <v>26000</v>
      </c>
      <c r="D2366" s="4">
        <v>3925000</v>
      </c>
    </row>
    <row r="2367" spans="1:4" x14ac:dyDescent="0.25">
      <c r="A2367" t="str">
        <f>T("   680410")</f>
        <v xml:space="preserve">   680410</v>
      </c>
      <c r="B2367" t="str">
        <f>T("   Meules a moudre ou a defibrer")</f>
        <v xml:space="preserve">   Meules a moudre ou a defibrer</v>
      </c>
      <c r="C2367" s="4">
        <v>180</v>
      </c>
      <c r="D2367" s="4">
        <v>1947770</v>
      </c>
    </row>
    <row r="2368" spans="1:4" x14ac:dyDescent="0.25">
      <c r="A2368" t="str">
        <f>T("   680530")</f>
        <v xml:space="preserve">   680530</v>
      </c>
      <c r="B2368" t="str">
        <f>T("   APPLIQUES SUR D'AUTRES MATIERES")</f>
        <v xml:space="preserve">   APPLIQUES SUR D'AUTRES MATIERES</v>
      </c>
      <c r="C2368" s="4">
        <v>58</v>
      </c>
      <c r="D2368" s="4">
        <v>491424</v>
      </c>
    </row>
    <row r="2369" spans="1:4" x14ac:dyDescent="0.25">
      <c r="A2369" t="str">
        <f>T("   680690")</f>
        <v xml:space="preserve">   680690</v>
      </c>
      <c r="B2369" t="str">
        <f>T("   AUTRES")</f>
        <v xml:space="preserve">   AUTRES</v>
      </c>
      <c r="C2369" s="4">
        <v>1000</v>
      </c>
      <c r="D2369" s="4">
        <v>3198071</v>
      </c>
    </row>
    <row r="2370" spans="1:4" x14ac:dyDescent="0.25">
      <c r="A2370" t="str">
        <f>T("   680790")</f>
        <v xml:space="preserve">   680790</v>
      </c>
      <c r="B2370" t="str">
        <f>T("   AUTRES")</f>
        <v xml:space="preserve">   AUTRES</v>
      </c>
      <c r="C2370" s="4">
        <v>154991</v>
      </c>
      <c r="D2370" s="4">
        <v>14942356</v>
      </c>
    </row>
    <row r="2371" spans="1:4" x14ac:dyDescent="0.25">
      <c r="A2371" t="str">
        <f>T("   680919")</f>
        <v xml:space="preserve">   680919</v>
      </c>
      <c r="B2371" t="str">
        <f>T("   AUTRES")</f>
        <v xml:space="preserve">   AUTRES</v>
      </c>
      <c r="C2371" s="4">
        <v>22200</v>
      </c>
      <c r="D2371" s="4">
        <v>10922073</v>
      </c>
    </row>
    <row r="2372" spans="1:4" x14ac:dyDescent="0.25">
      <c r="A2372" t="str">
        <f>T("   680990")</f>
        <v xml:space="preserve">   680990</v>
      </c>
      <c r="B2372" t="str">
        <f>T("   AUTRES OUVRAGES")</f>
        <v xml:space="preserve">   AUTRES OUVRAGES</v>
      </c>
      <c r="C2372" s="4">
        <v>152229</v>
      </c>
      <c r="D2372" s="4">
        <v>29312798</v>
      </c>
    </row>
    <row r="2373" spans="1:4" x14ac:dyDescent="0.25">
      <c r="A2373" t="str">
        <f>T("   681019")</f>
        <v xml:space="preserve">   681019</v>
      </c>
      <c r="B2373" t="str">
        <f>T("   AUTRES")</f>
        <v xml:space="preserve">   AUTRES</v>
      </c>
      <c r="C2373" s="4">
        <v>58453</v>
      </c>
      <c r="D2373" s="4">
        <v>15555163</v>
      </c>
    </row>
    <row r="2374" spans="1:4" x14ac:dyDescent="0.25">
      <c r="A2374" t="str">
        <f>T("   681099")</f>
        <v xml:space="preserve">   681099</v>
      </c>
      <c r="B2374" t="str">
        <f>T("   AUTRES")</f>
        <v xml:space="preserve">   AUTRES</v>
      </c>
      <c r="C2374" s="4">
        <v>3711</v>
      </c>
      <c r="D2374" s="4">
        <v>2552444</v>
      </c>
    </row>
    <row r="2375" spans="1:4" x14ac:dyDescent="0.25">
      <c r="A2375" t="str">
        <f>T("   681120")</f>
        <v xml:space="preserve">   681120</v>
      </c>
      <c r="B2375" t="str">
        <f>T("   PANNEAUX,TUILES ET ARTICLES SIMILAIRES,EN AMIANTE-CIMENT..")</f>
        <v xml:space="preserve">   PANNEAUX,TUILES ET ARTICLES SIMILAIRES,EN AMIANTE-CIMENT..</v>
      </c>
      <c r="C2375" s="4">
        <v>9773</v>
      </c>
      <c r="D2375" s="4">
        <v>1275052</v>
      </c>
    </row>
    <row r="2376" spans="1:4" x14ac:dyDescent="0.25">
      <c r="A2376" t="str">
        <f>T("   681140")</f>
        <v xml:space="preserve">   681140</v>
      </c>
      <c r="B2376" t="str">
        <f>T("   CONTENANT DE L'AMIANTE")</f>
        <v xml:space="preserve">   CONTENANT DE L'AMIANTE</v>
      </c>
      <c r="C2376" s="4">
        <v>6715</v>
      </c>
      <c r="D2376" s="4">
        <v>1303492</v>
      </c>
    </row>
    <row r="2377" spans="1:4" x14ac:dyDescent="0.25">
      <c r="A2377" t="str">
        <f>T("   681182")</f>
        <v xml:space="preserve">   681182</v>
      </c>
      <c r="B2377" t="str">
        <f>T("   AUTRES PLAQUES, PANNEAUX, CARREAUX, TUILES ET ARTICLES SIMILAIRES")</f>
        <v xml:space="preserve">   AUTRES PLAQUES, PANNEAUX, CARREAUX, TUILES ET ARTICLES SIMILAIRES</v>
      </c>
      <c r="C2377" s="4">
        <v>20000</v>
      </c>
      <c r="D2377" s="4">
        <v>3719283</v>
      </c>
    </row>
    <row r="2378" spans="1:4" x14ac:dyDescent="0.25">
      <c r="A2378" t="str">
        <f>T("   690290")</f>
        <v xml:space="preserve">   690290</v>
      </c>
      <c r="B2378" t="str">
        <f>T("   AUTRES")</f>
        <v xml:space="preserve">   AUTRES</v>
      </c>
      <c r="C2378" s="4">
        <v>70859</v>
      </c>
      <c r="D2378" s="4">
        <v>7881279</v>
      </c>
    </row>
    <row r="2379" spans="1:4" x14ac:dyDescent="0.25">
      <c r="A2379" t="str">
        <f>T("   690390")</f>
        <v xml:space="preserve">   690390</v>
      </c>
      <c r="B2379" t="str">
        <f>T("   AUTRES")</f>
        <v xml:space="preserve">   AUTRES</v>
      </c>
      <c r="C2379" s="4">
        <v>9600</v>
      </c>
      <c r="D2379" s="4">
        <v>2184599</v>
      </c>
    </row>
    <row r="2380" spans="1:4" x14ac:dyDescent="0.25">
      <c r="A2380" t="str">
        <f>T("   690510")</f>
        <v xml:space="preserve">   690510</v>
      </c>
      <c r="B2380" t="str">
        <f>T("   TUILES")</f>
        <v xml:space="preserve">   TUILES</v>
      </c>
      <c r="C2380" s="4">
        <v>844331</v>
      </c>
      <c r="D2380" s="4">
        <v>60206146</v>
      </c>
    </row>
    <row r="2381" spans="1:4" x14ac:dyDescent="0.25">
      <c r="A2381" t="str">
        <f>T("   690590")</f>
        <v xml:space="preserve">   690590</v>
      </c>
      <c r="B2381" t="str">
        <f>T("   AUTRES")</f>
        <v xml:space="preserve">   AUTRES</v>
      </c>
      <c r="C2381" s="4">
        <v>563877</v>
      </c>
      <c r="D2381" s="4">
        <v>86845948</v>
      </c>
    </row>
    <row r="2382" spans="1:4" x14ac:dyDescent="0.25">
      <c r="A2382" t="str">
        <f>T("   690710")</f>
        <v xml:space="preserve">   690710</v>
      </c>
      <c r="B2382" t="str">
        <f>T("   CARREAUX, CUBES, DES ET ARTICLES SIMILAIRES, MEME DE FORME AUTRE QUE CARREE OU RECTAN")</f>
        <v xml:space="preserve">   CARREAUX, CUBES, DES ET ARTICLES SIMILAIRES, MEME DE FORME AUTRE QUE CARREE OU RECTAN</v>
      </c>
      <c r="C2382" s="4">
        <v>182039</v>
      </c>
      <c r="D2382" s="4">
        <v>34249316</v>
      </c>
    </row>
    <row r="2383" spans="1:4" x14ac:dyDescent="0.25">
      <c r="A2383" t="str">
        <f>T("   690790")</f>
        <v xml:space="preserve">   690790</v>
      </c>
      <c r="B2383" t="str">
        <f>T("   AUTRES")</f>
        <v xml:space="preserve">   AUTRES</v>
      </c>
      <c r="C2383" s="4">
        <v>5221561</v>
      </c>
      <c r="D2383" s="4">
        <v>598306631</v>
      </c>
    </row>
    <row r="2384" spans="1:4" x14ac:dyDescent="0.25">
      <c r="A2384" t="str">
        <f>T("   690810")</f>
        <v xml:space="preserve">   690810</v>
      </c>
      <c r="B2384" t="str">
        <f>T("   CARREAUX, CUBES, DES ET ARTICLES SIMILAIRES, MEME DE FORME AUTRE QUE CARREE OU RECTAN")</f>
        <v xml:space="preserve">   CARREAUX, CUBES, DES ET ARTICLES SIMILAIRES, MEME DE FORME AUTRE QUE CARREE OU RECTAN</v>
      </c>
      <c r="C2384" s="4">
        <v>1249087</v>
      </c>
      <c r="D2384" s="4">
        <v>174106151</v>
      </c>
    </row>
    <row r="2385" spans="1:4" x14ac:dyDescent="0.25">
      <c r="A2385" t="str">
        <f>T("   690890")</f>
        <v xml:space="preserve">   690890</v>
      </c>
      <c r="B2385" t="str">
        <f>T("   AUTRES")</f>
        <v xml:space="preserve">   AUTRES</v>
      </c>
      <c r="C2385" s="4">
        <v>46371660</v>
      </c>
      <c r="D2385" s="4">
        <v>5216814619</v>
      </c>
    </row>
    <row r="2386" spans="1:4" x14ac:dyDescent="0.25">
      <c r="A2386" t="str">
        <f>T("   690990")</f>
        <v xml:space="preserve">   690990</v>
      </c>
      <c r="B2386" t="str">
        <f>T("   AUTRES")</f>
        <v xml:space="preserve">   AUTRES</v>
      </c>
      <c r="C2386" s="4">
        <v>2198</v>
      </c>
      <c r="D2386" s="4">
        <v>502875</v>
      </c>
    </row>
    <row r="2387" spans="1:4" x14ac:dyDescent="0.25">
      <c r="A2387" t="str">
        <f>T("   691010")</f>
        <v xml:space="preserve">   691010</v>
      </c>
      <c r="B2387" t="str">
        <f>T("   EN PORCELAINE")</f>
        <v xml:space="preserve">   EN PORCELAINE</v>
      </c>
      <c r="C2387" s="4">
        <v>221374</v>
      </c>
      <c r="D2387" s="4">
        <v>92318313</v>
      </c>
    </row>
    <row r="2388" spans="1:4" x14ac:dyDescent="0.25">
      <c r="A2388" t="str">
        <f>T("   691090")</f>
        <v xml:space="preserve">   691090</v>
      </c>
      <c r="B2388" t="str">
        <f>T("   AUTRES")</f>
        <v xml:space="preserve">   AUTRES</v>
      </c>
      <c r="C2388" s="4">
        <v>907536</v>
      </c>
      <c r="D2388" s="4">
        <v>258240308</v>
      </c>
    </row>
    <row r="2389" spans="1:4" x14ac:dyDescent="0.25">
      <c r="A2389" t="str">
        <f>T("   691110")</f>
        <v xml:space="preserve">   691110</v>
      </c>
      <c r="B2389" t="str">
        <f>T("   ARTICLES POUR LE SERVICE DE LA TABLE OU DE LA CUISINE")</f>
        <v xml:space="preserve">   ARTICLES POUR LE SERVICE DE LA TABLE OU DE LA CUISINE</v>
      </c>
      <c r="C2389" s="4">
        <v>140050</v>
      </c>
      <c r="D2389" s="4">
        <v>33522799</v>
      </c>
    </row>
    <row r="2390" spans="1:4" x14ac:dyDescent="0.25">
      <c r="A2390" t="str">
        <f>T("   691190")</f>
        <v xml:space="preserve">   691190</v>
      </c>
      <c r="B2390" t="str">
        <f>T("   AUTRES")</f>
        <v xml:space="preserve">   AUTRES</v>
      </c>
      <c r="C2390" s="4">
        <v>30077</v>
      </c>
      <c r="D2390" s="4">
        <v>5660605</v>
      </c>
    </row>
    <row r="2391" spans="1:4" x14ac:dyDescent="0.25">
      <c r="A2391" t="str">
        <f>T("   691200")</f>
        <v xml:space="preserve">   691200</v>
      </c>
      <c r="B2391" t="str">
        <f>T("   VAISSELLE, AUTRES ARTICLES DE MENAGE OU D'ECONOMIE DOMESTIQUE ET ARTICLES D'HYGIENE OU")</f>
        <v xml:space="preserve">   VAISSELLE, AUTRES ARTICLES DE MENAGE OU D'ECONOMIE DOMESTIQUE ET ARTICLES D'HYGIENE OU</v>
      </c>
      <c r="C2391" s="4">
        <v>227835</v>
      </c>
      <c r="D2391" s="4">
        <v>44800590</v>
      </c>
    </row>
    <row r="2392" spans="1:4" x14ac:dyDescent="0.25">
      <c r="A2392" t="str">
        <f>T("   691390")</f>
        <v xml:space="preserve">   691390</v>
      </c>
      <c r="B2392" t="str">
        <f>T("   AUTRES")</f>
        <v xml:space="preserve">   AUTRES</v>
      </c>
      <c r="C2392" s="4">
        <v>595</v>
      </c>
      <c r="D2392" s="4">
        <v>275932</v>
      </c>
    </row>
    <row r="2393" spans="1:4" x14ac:dyDescent="0.25">
      <c r="A2393" t="str">
        <f>T("   691490")</f>
        <v xml:space="preserve">   691490</v>
      </c>
      <c r="B2393" t="str">
        <f>T("   AUTRES")</f>
        <v xml:space="preserve">   AUTRES</v>
      </c>
      <c r="C2393" s="4">
        <v>19782</v>
      </c>
      <c r="D2393" s="4">
        <v>7066140</v>
      </c>
    </row>
    <row r="2394" spans="1:4" x14ac:dyDescent="0.25">
      <c r="A2394" t="str">
        <f>T("   700220")</f>
        <v xml:space="preserve">   700220</v>
      </c>
      <c r="B2394" t="str">
        <f>T("   BARRES OU BAGUETTES")</f>
        <v xml:space="preserve">   BARRES OU BAGUETTES</v>
      </c>
      <c r="C2394" s="4">
        <v>53000</v>
      </c>
      <c r="D2394" s="4">
        <v>11930909</v>
      </c>
    </row>
    <row r="2395" spans="1:4" x14ac:dyDescent="0.25">
      <c r="A2395" t="str">
        <f>T("   700239")</f>
        <v xml:space="preserve">   700239</v>
      </c>
      <c r="B2395" t="str">
        <f>T("   AUTRES")</f>
        <v xml:space="preserve">   AUTRES</v>
      </c>
      <c r="C2395" s="4">
        <v>18034</v>
      </c>
      <c r="D2395" s="4">
        <v>7755818</v>
      </c>
    </row>
    <row r="2396" spans="1:4" x14ac:dyDescent="0.25">
      <c r="A2396" t="str">
        <f>T("   700319")</f>
        <v xml:space="preserve">   700319</v>
      </c>
      <c r="B2396" t="str">
        <f>T("   AUTRES")</f>
        <v xml:space="preserve">   AUTRES</v>
      </c>
      <c r="C2396" s="4">
        <v>104400</v>
      </c>
      <c r="D2396" s="4">
        <v>18001101</v>
      </c>
    </row>
    <row r="2397" spans="1:4" x14ac:dyDescent="0.25">
      <c r="A2397" t="str">
        <f>T("   700420")</f>
        <v xml:space="preserve">   700420</v>
      </c>
      <c r="B2397" t="str">
        <f>T("   VERRE COLORE DANS LA MASSE, OPACIFIE, PLAQUE (DOUBLE) OU A COUCHE ABSORBANTE, REFLECH")</f>
        <v xml:space="preserve">   VERRE COLORE DANS LA MASSE, OPACIFIE, PLAQUE (DOUBLE) OU A COUCHE ABSORBANTE, REFLECH</v>
      </c>
      <c r="C2397" s="4">
        <v>26000</v>
      </c>
      <c r="D2397" s="4">
        <v>5390679</v>
      </c>
    </row>
    <row r="2398" spans="1:4" x14ac:dyDescent="0.25">
      <c r="A2398" t="str">
        <f>T("   700490")</f>
        <v xml:space="preserve">   700490</v>
      </c>
      <c r="B2398" t="str">
        <f>T("   AUTRE VERRE")</f>
        <v xml:space="preserve">   AUTRE VERRE</v>
      </c>
      <c r="C2398" s="4">
        <v>92748</v>
      </c>
      <c r="D2398" s="4">
        <v>18329603</v>
      </c>
    </row>
    <row r="2399" spans="1:4" x14ac:dyDescent="0.25">
      <c r="A2399" t="str">
        <f>T("   700529")</f>
        <v xml:space="preserve">   700529</v>
      </c>
      <c r="B2399" t="str">
        <f>T("   AUTRE")</f>
        <v xml:space="preserve">   AUTRE</v>
      </c>
      <c r="C2399" s="4">
        <v>2548793</v>
      </c>
      <c r="D2399" s="4">
        <v>592752090</v>
      </c>
    </row>
    <row r="2400" spans="1:4" x14ac:dyDescent="0.25">
      <c r="A2400" t="str">
        <f>T("   700600")</f>
        <v xml:space="preserve">   700600</v>
      </c>
      <c r="B2400" t="str">
        <f>T("   VERRE DES N°S 70.03, 70.04 OU 70.05, COURBE, BISEAUTE, GRAVE, PERCE, EMAILLE OU AUTREME")</f>
        <v xml:space="preserve">   VERRE DES N°S 70.03, 70.04 OU 70.05, COURBE, BISEAUTE, GRAVE, PERCE, EMAILLE OU AUTREME</v>
      </c>
      <c r="C2400" s="4">
        <v>876040</v>
      </c>
      <c r="D2400" s="4">
        <v>105217529</v>
      </c>
    </row>
    <row r="2401" spans="1:4" x14ac:dyDescent="0.25">
      <c r="A2401" t="str">
        <f>T("   700719")</f>
        <v xml:space="preserve">   700719</v>
      </c>
      <c r="B2401" t="str">
        <f>T("   AUTRES")</f>
        <v xml:space="preserve">   AUTRES</v>
      </c>
      <c r="C2401" s="4">
        <v>5600</v>
      </c>
      <c r="D2401" s="4">
        <v>1900000</v>
      </c>
    </row>
    <row r="2402" spans="1:4" x14ac:dyDescent="0.25">
      <c r="A2402" t="str">
        <f>T("   700721")</f>
        <v xml:space="preserve">   700721</v>
      </c>
      <c r="B2402" t="str">
        <f>T("   DE DIMENSIONS ET FORMATS PERMETTANT LEUR EMPLOI DANS LES AUTOMOBILES, VEHICULES AERI")</f>
        <v xml:space="preserve">   DE DIMENSIONS ET FORMATS PERMETTANT LEUR EMPLOI DANS LES AUTOMOBILES, VEHICULES AERI</v>
      </c>
      <c r="C2402" s="4">
        <v>67530</v>
      </c>
      <c r="D2402" s="4">
        <v>25171631</v>
      </c>
    </row>
    <row r="2403" spans="1:4" x14ac:dyDescent="0.25">
      <c r="A2403" t="str">
        <f>T("   700729")</f>
        <v xml:space="preserve">   700729</v>
      </c>
      <c r="B2403" t="str">
        <f>T("   AUTRES")</f>
        <v xml:space="preserve">   AUTRES</v>
      </c>
      <c r="C2403" s="4">
        <v>10209</v>
      </c>
      <c r="D2403" s="4">
        <v>6040000</v>
      </c>
    </row>
    <row r="2404" spans="1:4" x14ac:dyDescent="0.25">
      <c r="A2404" t="str">
        <f>T("   700800")</f>
        <v xml:space="preserve">   700800</v>
      </c>
      <c r="B2404" t="str">
        <f>T("   VITRAGES ISOLANTS A PAROIS MULTIPLES.")</f>
        <v xml:space="preserve">   VITRAGES ISOLANTS A PAROIS MULTIPLES.</v>
      </c>
      <c r="C2404" s="4">
        <v>162379</v>
      </c>
      <c r="D2404" s="4">
        <v>35004861</v>
      </c>
    </row>
    <row r="2405" spans="1:4" x14ac:dyDescent="0.25">
      <c r="A2405" t="str">
        <f>T("   700910")</f>
        <v xml:space="preserve">   700910</v>
      </c>
      <c r="B2405" t="str">
        <f>T("   Miroirs retroviseurs pour vehicules")</f>
        <v xml:space="preserve">   Miroirs retroviseurs pour vehicules</v>
      </c>
      <c r="C2405" s="4">
        <v>25</v>
      </c>
      <c r="D2405" s="4">
        <v>681898</v>
      </c>
    </row>
    <row r="2406" spans="1:4" x14ac:dyDescent="0.25">
      <c r="A2406" t="str">
        <f>T("   700991")</f>
        <v xml:space="preserve">   700991</v>
      </c>
      <c r="B2406" t="str">
        <f>T("   NON ENCADRES")</f>
        <v xml:space="preserve">   NON ENCADRES</v>
      </c>
      <c r="C2406" s="4">
        <v>36353</v>
      </c>
      <c r="D2406" s="4">
        <v>8896839</v>
      </c>
    </row>
    <row r="2407" spans="1:4" x14ac:dyDescent="0.25">
      <c r="A2407" t="str">
        <f>T("   700992")</f>
        <v xml:space="preserve">   700992</v>
      </c>
      <c r="B2407" t="str">
        <f>T("   ENCADRES")</f>
        <v xml:space="preserve">   ENCADRES</v>
      </c>
      <c r="C2407" s="4">
        <v>6501</v>
      </c>
      <c r="D2407" s="4">
        <v>4113578</v>
      </c>
    </row>
    <row r="2408" spans="1:4" x14ac:dyDescent="0.25">
      <c r="A2408" t="str">
        <f>T("   701010")</f>
        <v xml:space="preserve">   701010</v>
      </c>
      <c r="B2408" t="str">
        <f>T("   AMPOULES")</f>
        <v xml:space="preserve">   AMPOULES</v>
      </c>
      <c r="C2408" s="4">
        <v>4500</v>
      </c>
      <c r="D2408" s="4">
        <v>1500000</v>
      </c>
    </row>
    <row r="2409" spans="1:4" x14ac:dyDescent="0.25">
      <c r="A2409" t="str">
        <f>T("   701090")</f>
        <v xml:space="preserve">   701090</v>
      </c>
      <c r="B2409" t="str">
        <f>T("   AUTRES")</f>
        <v xml:space="preserve">   AUTRES</v>
      </c>
      <c r="C2409" s="4">
        <v>33425</v>
      </c>
      <c r="D2409" s="4">
        <v>7061112</v>
      </c>
    </row>
    <row r="2410" spans="1:4" x14ac:dyDescent="0.25">
      <c r="A2410" t="str">
        <f>T("   701110")</f>
        <v xml:space="preserve">   701110</v>
      </c>
      <c r="B2410" t="str">
        <f>T("   POUR L'ECLAIRAGE ELECTRIQUE")</f>
        <v xml:space="preserve">   POUR L'ECLAIRAGE ELECTRIQUE</v>
      </c>
      <c r="C2410" s="4">
        <v>64251</v>
      </c>
      <c r="D2410" s="4">
        <v>34300550</v>
      </c>
    </row>
    <row r="2411" spans="1:4" x14ac:dyDescent="0.25">
      <c r="A2411" t="str">
        <f>T("   701190")</f>
        <v xml:space="preserve">   701190</v>
      </c>
      <c r="B2411" t="str">
        <f>T("   AUTRES")</f>
        <v xml:space="preserve">   AUTRES</v>
      </c>
      <c r="C2411" s="4">
        <v>382298</v>
      </c>
      <c r="D2411" s="4">
        <v>110978043</v>
      </c>
    </row>
    <row r="2412" spans="1:4" x14ac:dyDescent="0.25">
      <c r="A2412" t="str">
        <f>T("   701310")</f>
        <v xml:space="preserve">   701310</v>
      </c>
      <c r="B2412" t="str">
        <f>T("   OBJETS EN VITROCERAME")</f>
        <v xml:space="preserve">   OBJETS EN VITROCERAME</v>
      </c>
      <c r="C2412" s="4">
        <v>62690</v>
      </c>
      <c r="D2412" s="4">
        <v>14964654</v>
      </c>
    </row>
    <row r="2413" spans="1:4" x14ac:dyDescent="0.25">
      <c r="A2413" t="str">
        <f>T("   701328")</f>
        <v xml:space="preserve">   701328</v>
      </c>
      <c r="B2413" t="str">
        <f>T("   AUTRES")</f>
        <v xml:space="preserve">   AUTRES</v>
      </c>
      <c r="C2413" s="4">
        <v>95640</v>
      </c>
      <c r="D2413" s="4">
        <v>22330620</v>
      </c>
    </row>
    <row r="2414" spans="1:4" x14ac:dyDescent="0.25">
      <c r="A2414" t="str">
        <f>T("   701333")</f>
        <v xml:space="preserve">   701333</v>
      </c>
      <c r="B2414" t="str">
        <f>T("   EN CRISTAL AU PLOMB")</f>
        <v xml:space="preserve">   EN CRISTAL AU PLOMB</v>
      </c>
      <c r="C2414" s="4">
        <v>42000</v>
      </c>
      <c r="D2414" s="4">
        <v>10721000</v>
      </c>
    </row>
    <row r="2415" spans="1:4" x14ac:dyDescent="0.25">
      <c r="A2415" t="str">
        <f>T("   701337")</f>
        <v xml:space="preserve">   701337</v>
      </c>
      <c r="B2415" t="str">
        <f>T("   AUTRES")</f>
        <v xml:space="preserve">   AUTRES</v>
      </c>
      <c r="C2415" s="4">
        <v>63179</v>
      </c>
      <c r="D2415" s="4">
        <v>12252505</v>
      </c>
    </row>
    <row r="2416" spans="1:4" x14ac:dyDescent="0.25">
      <c r="A2416" t="str">
        <f>T("   701349")</f>
        <v xml:space="preserve">   701349</v>
      </c>
      <c r="B2416" t="str">
        <f>T("   AUTRES")</f>
        <v xml:space="preserve">   AUTRES</v>
      </c>
      <c r="C2416" s="4">
        <v>26185</v>
      </c>
      <c r="D2416" s="4">
        <v>4779980</v>
      </c>
    </row>
    <row r="2417" spans="1:4" x14ac:dyDescent="0.25">
      <c r="A2417" t="str">
        <f>T("   701399")</f>
        <v xml:space="preserve">   701399</v>
      </c>
      <c r="B2417" t="str">
        <f>T("   AUTRES")</f>
        <v xml:space="preserve">   AUTRES</v>
      </c>
      <c r="C2417" s="4">
        <v>23525</v>
      </c>
      <c r="D2417" s="4">
        <v>12027889</v>
      </c>
    </row>
    <row r="2418" spans="1:4" x14ac:dyDescent="0.25">
      <c r="A2418" t="str">
        <f>T("   701610")</f>
        <v xml:space="preserve">   701610</v>
      </c>
      <c r="B2418" t="str">
        <f>T("   CUBES, DES ET AUTRE VERRERIE, MEME SUR SUPPORT, POUR MOSAIQUES OU DECORATIONS SIMILAI")</f>
        <v xml:space="preserve">   CUBES, DES ET AUTRE VERRERIE, MEME SUR SUPPORT, POUR MOSAIQUES OU DECORATIONS SIMILAI</v>
      </c>
      <c r="C2418" s="4">
        <v>22407</v>
      </c>
      <c r="D2418" s="4">
        <v>5498684</v>
      </c>
    </row>
    <row r="2419" spans="1:4" x14ac:dyDescent="0.25">
      <c r="A2419" t="str">
        <f>T("   701690")</f>
        <v xml:space="preserve">   701690</v>
      </c>
      <c r="B2419" t="str">
        <f>T("   AUTRES")</f>
        <v xml:space="preserve">   AUTRES</v>
      </c>
      <c r="C2419" s="4">
        <v>27223</v>
      </c>
      <c r="D2419" s="4">
        <v>9093971</v>
      </c>
    </row>
    <row r="2420" spans="1:4" x14ac:dyDescent="0.25">
      <c r="A2420" t="str">
        <f>T("   701710")</f>
        <v xml:space="preserve">   701710</v>
      </c>
      <c r="B2420" t="str">
        <f>T("   EN QUARTZ OU EN AUTRE SILICE FONDUS")</f>
        <v xml:space="preserve">   EN QUARTZ OU EN AUTRE SILICE FONDUS</v>
      </c>
      <c r="C2420" s="4">
        <v>1620</v>
      </c>
      <c r="D2420" s="4">
        <v>3764094</v>
      </c>
    </row>
    <row r="2421" spans="1:4" x14ac:dyDescent="0.25">
      <c r="A2421" t="str">
        <f>T("   701790")</f>
        <v xml:space="preserve">   701790</v>
      </c>
      <c r="B2421" t="str">
        <f>T("   AUTRE")</f>
        <v xml:space="preserve">   AUTRE</v>
      </c>
      <c r="C2421" s="4">
        <v>1032</v>
      </c>
      <c r="D2421" s="4">
        <v>2547902</v>
      </c>
    </row>
    <row r="2422" spans="1:4" x14ac:dyDescent="0.25">
      <c r="A2422" t="str">
        <f>T("   701939")</f>
        <v xml:space="preserve">   701939</v>
      </c>
      <c r="B2422" t="str">
        <f>T("   AUTRES")</f>
        <v xml:space="preserve">   AUTRES</v>
      </c>
      <c r="C2422" s="4">
        <v>5600</v>
      </c>
      <c r="D2422" s="4">
        <v>2497896</v>
      </c>
    </row>
    <row r="2423" spans="1:4" x14ac:dyDescent="0.25">
      <c r="A2423" t="str">
        <f>T("   702000")</f>
        <v xml:space="preserve">   702000</v>
      </c>
      <c r="B2423" t="str">
        <f>T("   AUTRES OUVRAGES EN VERRE.")</f>
        <v xml:space="preserve">   AUTRES OUVRAGES EN VERRE.</v>
      </c>
      <c r="C2423" s="4">
        <v>260363</v>
      </c>
      <c r="D2423" s="4">
        <v>63896419</v>
      </c>
    </row>
    <row r="2424" spans="1:4" x14ac:dyDescent="0.25">
      <c r="A2424" t="str">
        <f>T("   710229")</f>
        <v xml:space="preserve">   710229</v>
      </c>
      <c r="B2424" t="str">
        <f>T("   AUTRES")</f>
        <v xml:space="preserve">   AUTRES</v>
      </c>
      <c r="C2424" s="4">
        <v>8211</v>
      </c>
      <c r="D2424" s="4">
        <v>1300000</v>
      </c>
    </row>
    <row r="2425" spans="1:4" x14ac:dyDescent="0.25">
      <c r="A2425" t="str">
        <f>T("   711610")</f>
        <v xml:space="preserve">   711610</v>
      </c>
      <c r="B2425" t="str">
        <f>T("   EN PERLES FINES OU DE CULTURE")</f>
        <v xml:space="preserve">   EN PERLES FINES OU DE CULTURE</v>
      </c>
      <c r="C2425" s="4">
        <v>215</v>
      </c>
      <c r="D2425" s="4">
        <v>205000</v>
      </c>
    </row>
    <row r="2426" spans="1:4" x14ac:dyDescent="0.25">
      <c r="A2426" t="str">
        <f>T("   711711")</f>
        <v xml:space="preserve">   711711</v>
      </c>
      <c r="B2426" t="str">
        <f>T("   BOUTONS DE MANCHETTES ET BOUTONS SIMILAIRES")</f>
        <v xml:space="preserve">   BOUTONS DE MANCHETTES ET BOUTONS SIMILAIRES</v>
      </c>
      <c r="C2426" s="4">
        <v>14000</v>
      </c>
      <c r="D2426" s="4">
        <v>6471000</v>
      </c>
    </row>
    <row r="2427" spans="1:4" x14ac:dyDescent="0.25">
      <c r="A2427" t="str">
        <f>T("   711719")</f>
        <v xml:space="preserve">   711719</v>
      </c>
      <c r="B2427" t="str">
        <f>T("   AUTRES")</f>
        <v xml:space="preserve">   AUTRES</v>
      </c>
      <c r="C2427" s="4">
        <v>840</v>
      </c>
      <c r="D2427" s="4">
        <v>7131095</v>
      </c>
    </row>
    <row r="2428" spans="1:4" x14ac:dyDescent="0.25">
      <c r="A2428" t="str">
        <f>T("   711790")</f>
        <v xml:space="preserve">   711790</v>
      </c>
      <c r="B2428" t="str">
        <f>T("   AUTRES")</f>
        <v xml:space="preserve">   AUTRES</v>
      </c>
      <c r="C2428" s="4">
        <v>72299.5</v>
      </c>
      <c r="D2428" s="4">
        <v>72743938</v>
      </c>
    </row>
    <row r="2429" spans="1:4" x14ac:dyDescent="0.25">
      <c r="A2429" t="str">
        <f>T("   720230")</f>
        <v xml:space="preserve">   720230</v>
      </c>
      <c r="B2429" t="str">
        <f>T("   FERROSILICOMANGANESE")</f>
        <v xml:space="preserve">   FERROSILICOMANGANESE</v>
      </c>
      <c r="C2429" s="4">
        <v>304390</v>
      </c>
      <c r="D2429" s="4">
        <v>181107679</v>
      </c>
    </row>
    <row r="2430" spans="1:4" x14ac:dyDescent="0.25">
      <c r="A2430" t="str">
        <f>T("   720390")</f>
        <v xml:space="preserve">   720390</v>
      </c>
      <c r="B2430" t="str">
        <f>T("   AUTRES")</f>
        <v xml:space="preserve">   AUTRES</v>
      </c>
      <c r="C2430" s="4">
        <v>1400</v>
      </c>
      <c r="D2430" s="4">
        <v>940028</v>
      </c>
    </row>
    <row r="2431" spans="1:4" x14ac:dyDescent="0.25">
      <c r="A2431" t="str">
        <f>T("   720429")</f>
        <v xml:space="preserve">   720429</v>
      </c>
      <c r="B2431" t="str">
        <f>T("   AUTRES")</f>
        <v xml:space="preserve">   AUTRES</v>
      </c>
      <c r="C2431" s="4">
        <v>235200</v>
      </c>
      <c r="D2431" s="4">
        <v>57327000</v>
      </c>
    </row>
    <row r="2432" spans="1:4" x14ac:dyDescent="0.25">
      <c r="A2432" t="str">
        <f>T("   720449")</f>
        <v xml:space="preserve">   720449</v>
      </c>
      <c r="B2432" t="str">
        <f>T("   AUTRES")</f>
        <v xml:space="preserve">   AUTRES</v>
      </c>
      <c r="C2432" s="4">
        <v>3750</v>
      </c>
      <c r="D2432" s="4">
        <v>1500000</v>
      </c>
    </row>
    <row r="2433" spans="1:4" x14ac:dyDescent="0.25">
      <c r="A2433" t="str">
        <f>T("   720890")</f>
        <v xml:space="preserve">   720890</v>
      </c>
      <c r="B2433" t="str">
        <f>T("   AUTRES")</f>
        <v xml:space="preserve">   AUTRES</v>
      </c>
      <c r="C2433" s="4">
        <v>358890</v>
      </c>
      <c r="D2433" s="4">
        <v>236911782</v>
      </c>
    </row>
    <row r="2434" spans="1:4" x14ac:dyDescent="0.25">
      <c r="A2434" t="str">
        <f>T("   720990")</f>
        <v xml:space="preserve">   720990</v>
      </c>
      <c r="B2434" t="str">
        <f>T("   AUTRES")</f>
        <v xml:space="preserve">   AUTRES</v>
      </c>
      <c r="C2434" s="4">
        <v>5797</v>
      </c>
      <c r="D2434" s="4">
        <v>112868632</v>
      </c>
    </row>
    <row r="2435" spans="1:4" x14ac:dyDescent="0.25">
      <c r="A2435" t="str">
        <f>T("   721011")</f>
        <v xml:space="preserve">   721011</v>
      </c>
      <c r="B2435" t="str">
        <f>T("   D'UNE EPAISSEUR DE 0,5 MM OU PLUS")</f>
        <v xml:space="preserve">   D'UNE EPAISSEUR DE 0,5 MM OU PLUS</v>
      </c>
      <c r="C2435" s="4">
        <v>51530</v>
      </c>
      <c r="D2435" s="4">
        <v>16117391</v>
      </c>
    </row>
    <row r="2436" spans="1:4" x14ac:dyDescent="0.25">
      <c r="A2436" t="str">
        <f>T("   721030")</f>
        <v xml:space="preserve">   721030</v>
      </c>
      <c r="B2436" t="str">
        <f>T("   ZINGUES ELECTROLYTIQUEMENT")</f>
        <v xml:space="preserve">   ZINGUES ELECTROLYTIQUEMENT</v>
      </c>
      <c r="C2436" s="4">
        <v>47862</v>
      </c>
      <c r="D2436" s="4">
        <v>18052452</v>
      </c>
    </row>
    <row r="2437" spans="1:4" x14ac:dyDescent="0.25">
      <c r="A2437" t="str">
        <f>T("   721041")</f>
        <v xml:space="preserve">   721041</v>
      </c>
      <c r="B2437" t="str">
        <f>T("   ONDULES")</f>
        <v xml:space="preserve">   ONDULES</v>
      </c>
      <c r="C2437" s="4">
        <v>6042694</v>
      </c>
      <c r="D2437" s="4">
        <v>1405758600</v>
      </c>
    </row>
    <row r="2438" spans="1:4" x14ac:dyDescent="0.25">
      <c r="A2438" t="str">
        <f>T("   721049")</f>
        <v xml:space="preserve">   721049</v>
      </c>
      <c r="B2438" t="str">
        <f>T("   AUTRES")</f>
        <v xml:space="preserve">   AUTRES</v>
      </c>
      <c r="C2438" s="4">
        <v>27000</v>
      </c>
      <c r="D2438" s="4">
        <v>3046934</v>
      </c>
    </row>
    <row r="2439" spans="1:4" x14ac:dyDescent="0.25">
      <c r="A2439" t="str">
        <f>T("   721090")</f>
        <v xml:space="preserve">   721090</v>
      </c>
      <c r="B2439" t="str">
        <f>T("   AUTRES")</f>
        <v xml:space="preserve">   AUTRES</v>
      </c>
      <c r="C2439" s="4">
        <v>26010</v>
      </c>
      <c r="D2439" s="4">
        <v>6969050</v>
      </c>
    </row>
    <row r="2440" spans="1:4" x14ac:dyDescent="0.25">
      <c r="A2440" t="str">
        <f>T("   721391")</f>
        <v xml:space="preserve">   721391</v>
      </c>
      <c r="B2440" t="str">
        <f>T("   DE SECTION CIRCULAIRE D'UN DIAMETRE INFERIEUR A 14 MM")</f>
        <v xml:space="preserve">   DE SECTION CIRCULAIRE D'UN DIAMETRE INFERIEUR A 14 MM</v>
      </c>
      <c r="C2440" s="4">
        <v>40091549</v>
      </c>
      <c r="D2440" s="4">
        <v>10458334518</v>
      </c>
    </row>
    <row r="2441" spans="1:4" x14ac:dyDescent="0.25">
      <c r="A2441" t="str">
        <f>T("   721420")</f>
        <v xml:space="preserve">   721420</v>
      </c>
      <c r="B2441" t="str">
        <f>T("   COMPORTANT DES INDENTATIONS, BOURRELETS, CREUX OU RELIEFS OBTENUS AU COURS DU LAMINAG")</f>
        <v xml:space="preserve">   COMPORTANT DES INDENTATIONS, BOURRELETS, CREUX OU RELIEFS OBTENUS AU COURS DU LAMINAG</v>
      </c>
      <c r="C2441" s="4">
        <v>843026.05</v>
      </c>
      <c r="D2441" s="4">
        <v>220162093</v>
      </c>
    </row>
    <row r="2442" spans="1:4" x14ac:dyDescent="0.25">
      <c r="A2442" t="str">
        <f>T("   721499")</f>
        <v xml:space="preserve">   721499</v>
      </c>
      <c r="B2442" t="str">
        <f>T("   AUTRES")</f>
        <v xml:space="preserve">   AUTRES</v>
      </c>
      <c r="C2442" s="4">
        <v>750822</v>
      </c>
      <c r="D2442" s="4">
        <v>135718448</v>
      </c>
    </row>
    <row r="2443" spans="1:4" x14ac:dyDescent="0.25">
      <c r="A2443" t="str">
        <f>T("   721590")</f>
        <v xml:space="preserve">   721590</v>
      </c>
      <c r="B2443" t="str">
        <f>T("   AUTRES")</f>
        <v xml:space="preserve">   AUTRES</v>
      </c>
      <c r="C2443" s="4">
        <v>3773253</v>
      </c>
      <c r="D2443" s="4">
        <v>1128025779</v>
      </c>
    </row>
    <row r="2444" spans="1:4" x14ac:dyDescent="0.25">
      <c r="A2444" t="str">
        <f>T("   721621")</f>
        <v xml:space="preserve">   721621</v>
      </c>
      <c r="B2444" t="str">
        <f>T("   PROFILES EN L")</f>
        <v xml:space="preserve">   PROFILES EN L</v>
      </c>
      <c r="C2444" s="4">
        <v>684380</v>
      </c>
      <c r="D2444" s="4">
        <v>125703804</v>
      </c>
    </row>
    <row r="2445" spans="1:4" x14ac:dyDescent="0.25">
      <c r="A2445" t="str">
        <f>T("   721632")</f>
        <v xml:space="preserve">   721632</v>
      </c>
      <c r="B2445" t="str">
        <f>T("   PROFILES EN I")</f>
        <v xml:space="preserve">   PROFILES EN I</v>
      </c>
      <c r="C2445" s="4">
        <v>140000</v>
      </c>
      <c r="D2445" s="4">
        <v>17478640</v>
      </c>
    </row>
    <row r="2446" spans="1:4" x14ac:dyDescent="0.25">
      <c r="A2446" t="str">
        <f>T("   721640")</f>
        <v xml:space="preserve">   721640</v>
      </c>
      <c r="B2446" t="str">
        <f>T("   PROFILES EN L OU EN T, SIMPLEMENT LAMINES OU FILES A CHAUD, D'UNE HAUTEUR DE 80 MM OU")</f>
        <v xml:space="preserve">   PROFILES EN L OU EN T, SIMPLEMENT LAMINES OU FILES A CHAUD, D'UNE HAUTEUR DE 80 MM OU</v>
      </c>
      <c r="C2446" s="4">
        <v>560000</v>
      </c>
      <c r="D2446" s="4">
        <v>71039801</v>
      </c>
    </row>
    <row r="2447" spans="1:4" x14ac:dyDescent="0.25">
      <c r="A2447" t="str">
        <f>T("   721650")</f>
        <v xml:space="preserve">   721650</v>
      </c>
      <c r="B2447" t="str">
        <f>T("   AUTRES PROFILES, SIMPLEMENT LAMINES OU FILES A CHAUD")</f>
        <v xml:space="preserve">   AUTRES PROFILES, SIMPLEMENT LAMINES OU FILES A CHAUD</v>
      </c>
      <c r="C2447" s="4">
        <v>104220</v>
      </c>
      <c r="D2447" s="4">
        <v>8738394</v>
      </c>
    </row>
    <row r="2448" spans="1:4" x14ac:dyDescent="0.25">
      <c r="A2448" t="str">
        <f>T("   721661")</f>
        <v xml:space="preserve">   721661</v>
      </c>
      <c r="B2448" t="str">
        <f>T("   OBTENUS A PARTIR DE PRODUITS LAMINES PLATS")</f>
        <v xml:space="preserve">   OBTENUS A PARTIR DE PRODUITS LAMINES PLATS</v>
      </c>
      <c r="C2448" s="4">
        <v>208750</v>
      </c>
      <c r="D2448" s="4">
        <v>37714128</v>
      </c>
    </row>
    <row r="2449" spans="1:4" x14ac:dyDescent="0.25">
      <c r="A2449" t="str">
        <f>T("   721669")</f>
        <v xml:space="preserve">   721669</v>
      </c>
      <c r="B2449" t="str">
        <f>T("   AUTRES")</f>
        <v xml:space="preserve">   AUTRES</v>
      </c>
      <c r="C2449" s="4">
        <v>1702100</v>
      </c>
      <c r="D2449" s="4">
        <v>283082699</v>
      </c>
    </row>
    <row r="2450" spans="1:4" x14ac:dyDescent="0.25">
      <c r="A2450" t="str">
        <f>T("   721699")</f>
        <v xml:space="preserve">   721699</v>
      </c>
      <c r="B2450" t="str">
        <f>T("   AUTRES")</f>
        <v xml:space="preserve">   AUTRES</v>
      </c>
      <c r="C2450" s="4">
        <v>10000</v>
      </c>
      <c r="D2450" s="4">
        <v>2500000</v>
      </c>
    </row>
    <row r="2451" spans="1:4" x14ac:dyDescent="0.25">
      <c r="A2451" t="str">
        <f>T("   721730")</f>
        <v xml:space="preserve">   721730</v>
      </c>
      <c r="B2451" t="str">
        <f>T("   REVETUS D'AUTRES METAUX COMMUNS")</f>
        <v xml:space="preserve">   REVETUS D'AUTRES METAUX COMMUNS</v>
      </c>
      <c r="C2451" s="4">
        <v>1500</v>
      </c>
      <c r="D2451" s="4">
        <v>1200000</v>
      </c>
    </row>
    <row r="2452" spans="1:4" x14ac:dyDescent="0.25">
      <c r="A2452" t="str">
        <f>T("   721790")</f>
        <v xml:space="preserve">   721790</v>
      </c>
      <c r="B2452" t="str">
        <f>T("   AUTRES")</f>
        <v xml:space="preserve">   AUTRES</v>
      </c>
      <c r="C2452" s="4">
        <v>503937</v>
      </c>
      <c r="D2452" s="4">
        <v>131408442</v>
      </c>
    </row>
    <row r="2453" spans="1:4" x14ac:dyDescent="0.25">
      <c r="A2453" t="str">
        <f>T("   722300")</f>
        <v xml:space="preserve">   722300</v>
      </c>
      <c r="B2453" t="str">
        <f>T("   FILS EN ACIERS INOXYDABLES.")</f>
        <v xml:space="preserve">   FILS EN ACIERS INOXYDABLES.</v>
      </c>
      <c r="C2453" s="4">
        <v>54015</v>
      </c>
      <c r="D2453" s="4">
        <v>13295814</v>
      </c>
    </row>
    <row r="2454" spans="1:4" x14ac:dyDescent="0.25">
      <c r="A2454" t="str">
        <f>T("   722490")</f>
        <v xml:space="preserve">   722490</v>
      </c>
      <c r="B2454" t="str">
        <f>T("   AUTRES")</f>
        <v xml:space="preserve">   AUTRES</v>
      </c>
      <c r="C2454" s="4">
        <v>3700</v>
      </c>
      <c r="D2454" s="4">
        <v>940028</v>
      </c>
    </row>
    <row r="2455" spans="1:4" x14ac:dyDescent="0.25">
      <c r="A2455" t="str">
        <f>T("   722860")</f>
        <v xml:space="preserve">   722860</v>
      </c>
      <c r="B2455" t="str">
        <f>T("   AUTRES BARRES")</f>
        <v xml:space="preserve">   AUTRES BARRES</v>
      </c>
      <c r="C2455" s="4">
        <v>85595</v>
      </c>
      <c r="D2455" s="4">
        <v>12558020</v>
      </c>
    </row>
    <row r="2456" spans="1:4" x14ac:dyDescent="0.25">
      <c r="A2456" t="str">
        <f>T("   730290")</f>
        <v xml:space="preserve">   730290</v>
      </c>
      <c r="B2456" t="str">
        <f>T("   AUTRES")</f>
        <v xml:space="preserve">   AUTRES</v>
      </c>
      <c r="C2456" s="4">
        <v>5000</v>
      </c>
      <c r="D2456" s="4">
        <v>4350000</v>
      </c>
    </row>
    <row r="2457" spans="1:4" x14ac:dyDescent="0.25">
      <c r="A2457" t="str">
        <f>T("   730300")</f>
        <v xml:space="preserve">   730300</v>
      </c>
      <c r="B2457" t="str">
        <f>T("   TUBES, TUYAUX ET PROFILES CREUX, EN FONTE.")</f>
        <v xml:space="preserve">   TUBES, TUYAUX ET PROFILES CREUX, EN FONTE.</v>
      </c>
      <c r="C2457" s="4">
        <v>25000</v>
      </c>
      <c r="D2457" s="4">
        <v>6116901</v>
      </c>
    </row>
    <row r="2458" spans="1:4" x14ac:dyDescent="0.25">
      <c r="A2458" t="str">
        <f>T("   730429")</f>
        <v xml:space="preserve">   730429</v>
      </c>
      <c r="B2458" t="str">
        <f>T("   AUTRES")</f>
        <v xml:space="preserve">   AUTRES</v>
      </c>
      <c r="C2458" s="4">
        <v>36392</v>
      </c>
      <c r="D2458" s="4">
        <v>18073068</v>
      </c>
    </row>
    <row r="2459" spans="1:4" x14ac:dyDescent="0.25">
      <c r="A2459" t="str">
        <f>T("   730439")</f>
        <v xml:space="preserve">   730439</v>
      </c>
      <c r="B2459" t="str">
        <f>T("   AUTRES")</f>
        <v xml:space="preserve">   AUTRES</v>
      </c>
      <c r="C2459" s="4">
        <v>100531</v>
      </c>
      <c r="D2459" s="4">
        <v>42667015</v>
      </c>
    </row>
    <row r="2460" spans="1:4" x14ac:dyDescent="0.25">
      <c r="A2460" t="str">
        <f>T("   730449")</f>
        <v xml:space="preserve">   730449</v>
      </c>
      <c r="B2460" t="str">
        <f>T("   AUTRES")</f>
        <v xml:space="preserve">   AUTRES</v>
      </c>
      <c r="C2460" s="4">
        <v>54000</v>
      </c>
      <c r="D2460" s="4">
        <v>6554352</v>
      </c>
    </row>
    <row r="2461" spans="1:4" x14ac:dyDescent="0.25">
      <c r="A2461" t="str">
        <f>T("   730490")</f>
        <v xml:space="preserve">   730490</v>
      </c>
      <c r="B2461" t="str">
        <f>T("   AUTRES")</f>
        <v xml:space="preserve">   AUTRES</v>
      </c>
      <c r="C2461" s="4">
        <v>1215781</v>
      </c>
      <c r="D2461" s="4">
        <v>179742772</v>
      </c>
    </row>
    <row r="2462" spans="1:4" x14ac:dyDescent="0.25">
      <c r="A2462" t="str">
        <f>T("   730531")</f>
        <v xml:space="preserve">   730531</v>
      </c>
      <c r="B2462" t="str">
        <f>T("   SOUDES LONGITUDINALEMENT")</f>
        <v xml:space="preserve">   SOUDES LONGITUDINALEMENT</v>
      </c>
      <c r="C2462" s="4">
        <v>133012</v>
      </c>
      <c r="D2462" s="4">
        <v>15283868</v>
      </c>
    </row>
    <row r="2463" spans="1:4" x14ac:dyDescent="0.25">
      <c r="A2463" t="str">
        <f>T("   730630")</f>
        <v xml:space="preserve">   730630</v>
      </c>
      <c r="B2463" t="str">
        <f>T("   AUTRES, SOUDES, DE SECTION CIRCULAIRE, EN FER OU EN ACIERS NON ALLIES")</f>
        <v xml:space="preserve">   AUTRES, SOUDES, DE SECTION CIRCULAIRE, EN FER OU EN ACIERS NON ALLIES</v>
      </c>
      <c r="C2463" s="4">
        <v>331390</v>
      </c>
      <c r="D2463" s="4">
        <v>84510343</v>
      </c>
    </row>
    <row r="2464" spans="1:4" x14ac:dyDescent="0.25">
      <c r="A2464" t="str">
        <f>T("   730640")</f>
        <v xml:space="preserve">   730640</v>
      </c>
      <c r="B2464" t="str">
        <f>T("   AUTRES, SOUDES, DE SECTION CIRCULAIRE, EN ACIERS INOXYDABLES")</f>
        <v xml:space="preserve">   AUTRES, SOUDES, DE SECTION CIRCULAIRE, EN ACIERS INOXYDABLES</v>
      </c>
      <c r="C2464" s="4">
        <v>273150</v>
      </c>
      <c r="D2464" s="4">
        <v>45581881</v>
      </c>
    </row>
    <row r="2465" spans="1:4" x14ac:dyDescent="0.25">
      <c r="A2465" t="str">
        <f>T("   730650")</f>
        <v xml:space="preserve">   730650</v>
      </c>
      <c r="B2465" t="str">
        <f>T("   AUTRES, SOUDES, DE SECTION CIRCULAIRE, EN AUTRES ACIERS ALLIES")</f>
        <v xml:space="preserve">   AUTRES, SOUDES, DE SECTION CIRCULAIRE, EN AUTRES ACIERS ALLIES</v>
      </c>
      <c r="C2465" s="4">
        <v>653</v>
      </c>
      <c r="D2465" s="4">
        <v>2190116</v>
      </c>
    </row>
    <row r="2466" spans="1:4" x14ac:dyDescent="0.25">
      <c r="A2466" t="str">
        <f>T("   730690")</f>
        <v xml:space="preserve">   730690</v>
      </c>
      <c r="B2466" t="str">
        <f>T("   AUTRES")</f>
        <v xml:space="preserve">   AUTRES</v>
      </c>
      <c r="C2466" s="4">
        <v>306807</v>
      </c>
      <c r="D2466" s="4">
        <v>51976450</v>
      </c>
    </row>
    <row r="2467" spans="1:4" x14ac:dyDescent="0.25">
      <c r="A2467" t="str">
        <f>T("   730799")</f>
        <v xml:space="preserve">   730799</v>
      </c>
      <c r="B2467" t="str">
        <f>T("   AUTRES")</f>
        <v xml:space="preserve">   AUTRES</v>
      </c>
      <c r="C2467" s="4">
        <v>3360</v>
      </c>
      <c r="D2467" s="4">
        <v>2650000</v>
      </c>
    </row>
    <row r="2468" spans="1:4" x14ac:dyDescent="0.25">
      <c r="A2468" t="str">
        <f>T("   730820")</f>
        <v xml:space="preserve">   730820</v>
      </c>
      <c r="B2468" t="str">
        <f>T("   TOURS ET PYLONES")</f>
        <v xml:space="preserve">   TOURS ET PYLONES</v>
      </c>
      <c r="C2468" s="4">
        <v>356998</v>
      </c>
      <c r="D2468" s="4">
        <v>365175375</v>
      </c>
    </row>
    <row r="2469" spans="1:4" x14ac:dyDescent="0.25">
      <c r="A2469" t="str">
        <f>T("   730830")</f>
        <v xml:space="preserve">   730830</v>
      </c>
      <c r="B2469" t="str">
        <f>T("   PORTES, FENETRES ET LEURS CADRES ET CHAMBRANLES ET SEUILS")</f>
        <v xml:space="preserve">   PORTES, FENETRES ET LEURS CADRES ET CHAMBRANLES ET SEUILS</v>
      </c>
      <c r="C2469" s="4">
        <v>102520</v>
      </c>
      <c r="D2469" s="4">
        <v>137103730</v>
      </c>
    </row>
    <row r="2470" spans="1:4" x14ac:dyDescent="0.25">
      <c r="A2470" t="str">
        <f>T("   730840")</f>
        <v xml:space="preserve">   730840</v>
      </c>
      <c r="B2470" t="str">
        <f>T("   MATERIEL D'ECHAFAUDAGE, DE COFFRAGE, D'ETANCONNEMENT OU D'ETAYAGE")</f>
        <v xml:space="preserve">   MATERIEL D'ECHAFAUDAGE, DE COFFRAGE, D'ETANCONNEMENT OU D'ETAYAGE</v>
      </c>
      <c r="C2470" s="4">
        <v>108395</v>
      </c>
      <c r="D2470" s="4">
        <v>20748547</v>
      </c>
    </row>
    <row r="2471" spans="1:4" x14ac:dyDescent="0.25">
      <c r="A2471" t="str">
        <f>T("   730890")</f>
        <v xml:space="preserve">   730890</v>
      </c>
      <c r="B2471" t="str">
        <f>T("   AUTRES")</f>
        <v xml:space="preserve">   AUTRES</v>
      </c>
      <c r="C2471" s="4">
        <v>1082463</v>
      </c>
      <c r="D2471" s="4">
        <v>651673279</v>
      </c>
    </row>
    <row r="2472" spans="1:4" x14ac:dyDescent="0.25">
      <c r="A2472" t="str">
        <f>T("   731021")</f>
        <v xml:space="preserve">   731021</v>
      </c>
      <c r="B2472" t="str">
        <f>T("   BOITES A FERMER PAR SOUDAGE OU SERTISSAGE")</f>
        <v xml:space="preserve">   BOITES A FERMER PAR SOUDAGE OU SERTISSAGE</v>
      </c>
      <c r="C2472" s="4">
        <v>319500</v>
      </c>
      <c r="D2472" s="4">
        <v>130435869</v>
      </c>
    </row>
    <row r="2473" spans="1:4" x14ac:dyDescent="0.25">
      <c r="A2473" t="str">
        <f>T("   731029")</f>
        <v xml:space="preserve">   731029</v>
      </c>
      <c r="B2473" t="str">
        <f>T("   AUTRES")</f>
        <v xml:space="preserve">   AUTRES</v>
      </c>
      <c r="C2473" s="4">
        <v>3064</v>
      </c>
      <c r="D2473" s="4">
        <v>1253204</v>
      </c>
    </row>
    <row r="2474" spans="1:4" x14ac:dyDescent="0.25">
      <c r="A2474" t="str">
        <f>T("   731100")</f>
        <v xml:space="preserve">   731100</v>
      </c>
      <c r="B2474" t="str">
        <f>T("   RECIPIENTS POUR GAZ COMPRIMES OU LIQUEFIES, EN FONTE, FER OU ACIER.")</f>
        <v xml:space="preserve">   RECIPIENTS POUR GAZ COMPRIMES OU LIQUEFIES, EN FONTE, FER OU ACIER.</v>
      </c>
      <c r="C2474" s="4">
        <v>1500</v>
      </c>
      <c r="D2474" s="4">
        <v>874305</v>
      </c>
    </row>
    <row r="2475" spans="1:4" x14ac:dyDescent="0.25">
      <c r="A2475" t="str">
        <f>T("   731210")</f>
        <v xml:space="preserve">   731210</v>
      </c>
      <c r="B2475" t="str">
        <f>T("   TORONS ET CABLES")</f>
        <v xml:space="preserve">   TORONS ET CABLES</v>
      </c>
      <c r="C2475" s="4">
        <v>4176</v>
      </c>
      <c r="D2475" s="4">
        <v>12501942</v>
      </c>
    </row>
    <row r="2476" spans="1:4" x14ac:dyDescent="0.25">
      <c r="A2476" t="str">
        <f>T("   731300")</f>
        <v xml:space="preserve">   731300</v>
      </c>
      <c r="B2476" t="str">
        <f>T("   RONCES ARTIFICIELLES EN FER OU EN ACIER; TORSADES, BARBELEES OU NON, EN FILS OU EN FEUI")</f>
        <v xml:space="preserve">   RONCES ARTIFICIELLES EN FER OU EN ACIER; TORSADES, BARBELEES OU NON, EN FILS OU EN FEUI</v>
      </c>
      <c r="C2476" s="4">
        <v>17000</v>
      </c>
      <c r="D2476" s="4">
        <v>2594978</v>
      </c>
    </row>
    <row r="2477" spans="1:4" x14ac:dyDescent="0.25">
      <c r="A2477" t="str">
        <f>T("   731419")</f>
        <v xml:space="preserve">   731419</v>
      </c>
      <c r="B2477" t="str">
        <f>T("   AUTRES")</f>
        <v xml:space="preserve">   AUTRES</v>
      </c>
      <c r="C2477" s="4">
        <v>225406</v>
      </c>
      <c r="D2477" s="4">
        <v>24249505</v>
      </c>
    </row>
    <row r="2478" spans="1:4" x14ac:dyDescent="0.25">
      <c r="A2478" t="str">
        <f>T("   731420")</f>
        <v xml:space="preserve">   731420</v>
      </c>
      <c r="B2478" t="str">
        <f>T("   GRILLAGES ET TREILLIS, SOUDES AUX POINTS DE RENCONTRE, EN FILS DONT LA PLUS GRANDE DI")</f>
        <v xml:space="preserve">   GRILLAGES ET TREILLIS, SOUDES AUX POINTS DE RENCONTRE, EN FILS DONT LA PLUS GRANDE DI</v>
      </c>
      <c r="C2478" s="4">
        <v>73051</v>
      </c>
      <c r="D2478" s="4">
        <v>86915215</v>
      </c>
    </row>
    <row r="2479" spans="1:4" x14ac:dyDescent="0.25">
      <c r="A2479" t="str">
        <f>T("   731439")</f>
        <v xml:space="preserve">   731439</v>
      </c>
      <c r="B2479" t="str">
        <f>T("   AUTRES")</f>
        <v xml:space="preserve">   AUTRES</v>
      </c>
      <c r="C2479" s="4">
        <v>21774</v>
      </c>
      <c r="D2479" s="4">
        <v>9133965</v>
      </c>
    </row>
    <row r="2480" spans="1:4" x14ac:dyDescent="0.25">
      <c r="A2480" t="str">
        <f>T("   731442")</f>
        <v xml:space="preserve">   731442</v>
      </c>
      <c r="B2480" t="str">
        <f>T("   RECOUVERTS DE MATIERES PLASTIQUES")</f>
        <v xml:space="preserve">   RECOUVERTS DE MATIERES PLASTIQUES</v>
      </c>
      <c r="C2480" s="4">
        <v>8800</v>
      </c>
      <c r="D2480" s="4">
        <v>1879043</v>
      </c>
    </row>
    <row r="2481" spans="1:4" x14ac:dyDescent="0.25">
      <c r="A2481" t="str">
        <f>T("   731449")</f>
        <v xml:space="preserve">   731449</v>
      </c>
      <c r="B2481" t="str">
        <f>T("   AUTRES")</f>
        <v xml:space="preserve">   AUTRES</v>
      </c>
      <c r="C2481" s="4">
        <v>178374</v>
      </c>
      <c r="D2481" s="4">
        <v>54064333</v>
      </c>
    </row>
    <row r="2482" spans="1:4" x14ac:dyDescent="0.25">
      <c r="A2482" t="str">
        <f>T("   731450")</f>
        <v xml:space="preserve">   731450</v>
      </c>
      <c r="B2482" t="str">
        <f>T("   TOLES ET BANDES DEPLOYEES")</f>
        <v xml:space="preserve">   TOLES ET BANDES DEPLOYEES</v>
      </c>
      <c r="C2482" s="4">
        <v>496026</v>
      </c>
      <c r="D2482" s="4">
        <v>99544483</v>
      </c>
    </row>
    <row r="2483" spans="1:4" x14ac:dyDescent="0.25">
      <c r="A2483" t="str">
        <f>T("   731700")</f>
        <v xml:space="preserve">   731700</v>
      </c>
      <c r="B2483" t="str">
        <f>T("   POINTES, CLOUS, PUNAISES, CRAMPONS APPOINTES, AGRAFES ONDULEES OU BISEAUTEES ET ARTICLE")</f>
        <v xml:space="preserve">   POINTES, CLOUS, PUNAISES, CRAMPONS APPOINTES, AGRAFES ONDULEES OU BISEAUTEES ET ARTICLE</v>
      </c>
      <c r="C2483" s="4">
        <v>1388918</v>
      </c>
      <c r="D2483" s="4">
        <v>220004727</v>
      </c>
    </row>
    <row r="2484" spans="1:4" x14ac:dyDescent="0.25">
      <c r="A2484" t="str">
        <f>T("   731811")</f>
        <v xml:space="preserve">   731811</v>
      </c>
      <c r="B2484" t="str">
        <f>T("   TIREFOND")</f>
        <v xml:space="preserve">   TIREFOND</v>
      </c>
      <c r="C2484" s="4">
        <v>25400</v>
      </c>
      <c r="D2484" s="4">
        <v>3495611</v>
      </c>
    </row>
    <row r="2485" spans="1:4" x14ac:dyDescent="0.25">
      <c r="A2485" t="str">
        <f>T("   731812")</f>
        <v xml:space="preserve">   731812</v>
      </c>
      <c r="B2485" t="str">
        <f>T("   AUTRES VIS A BOIS")</f>
        <v xml:space="preserve">   AUTRES VIS A BOIS</v>
      </c>
      <c r="C2485" s="4">
        <v>36280</v>
      </c>
      <c r="D2485" s="4">
        <v>6941410</v>
      </c>
    </row>
    <row r="2486" spans="1:4" x14ac:dyDescent="0.25">
      <c r="A2486" t="str">
        <f>T("   731815")</f>
        <v xml:space="preserve">   731815</v>
      </c>
      <c r="B2486" t="str">
        <f>T("   AUTRES VIS ET BOULONS, MEME AVEC LEURS ECROUS OU RONDELLES")</f>
        <v xml:space="preserve">   AUTRES VIS ET BOULONS, MEME AVEC LEURS ECROUS OU RONDELLES</v>
      </c>
      <c r="C2486" s="4">
        <v>62871</v>
      </c>
      <c r="D2486" s="4">
        <v>21719871</v>
      </c>
    </row>
    <row r="2487" spans="1:4" x14ac:dyDescent="0.25">
      <c r="A2487" t="str">
        <f>T("   731819")</f>
        <v xml:space="preserve">   731819</v>
      </c>
      <c r="B2487" t="str">
        <f>T("   AUTRES")</f>
        <v xml:space="preserve">   AUTRES</v>
      </c>
      <c r="C2487" s="4">
        <v>18550</v>
      </c>
      <c r="D2487" s="4">
        <v>9405895</v>
      </c>
    </row>
    <row r="2488" spans="1:4" x14ac:dyDescent="0.25">
      <c r="A2488" t="str">
        <f>T("   731829")</f>
        <v xml:space="preserve">   731829</v>
      </c>
      <c r="B2488" t="str">
        <f>T("   AUTRES")</f>
        <v xml:space="preserve">   AUTRES</v>
      </c>
      <c r="C2488" s="4">
        <v>14362</v>
      </c>
      <c r="D2488" s="4">
        <v>6668316</v>
      </c>
    </row>
    <row r="2489" spans="1:4" x14ac:dyDescent="0.25">
      <c r="A2489" t="str">
        <f>T("   731930")</f>
        <v xml:space="preserve">   731930</v>
      </c>
      <c r="B2489" t="str">
        <f>T("   AUTRES EPINGLES, EN FER OU ACIER")</f>
        <v xml:space="preserve">   AUTRES EPINGLES, EN FER OU ACIER</v>
      </c>
      <c r="C2489" s="4">
        <v>14941</v>
      </c>
      <c r="D2489" s="4">
        <v>6071725</v>
      </c>
    </row>
    <row r="2490" spans="1:4" x14ac:dyDescent="0.25">
      <c r="A2490" t="str">
        <f>T("   732090")</f>
        <v xml:space="preserve">   732090</v>
      </c>
      <c r="B2490" t="str">
        <f>T("   AUTRES")</f>
        <v xml:space="preserve">   AUTRES</v>
      </c>
      <c r="C2490" s="4">
        <v>27600</v>
      </c>
      <c r="D2490" s="4">
        <v>4356640</v>
      </c>
    </row>
    <row r="2491" spans="1:4" x14ac:dyDescent="0.25">
      <c r="A2491" t="str">
        <f>T("   732111")</f>
        <v xml:space="preserve">   732111</v>
      </c>
      <c r="B2491" t="str">
        <f>T("   A COMBUSTIBLES GAZEUX OU A GAZ ET AUTRES COMBUSTIBLES")</f>
        <v xml:space="preserve">   A COMBUSTIBLES GAZEUX OU A GAZ ET AUTRES COMBUSTIBLES</v>
      </c>
      <c r="C2491" s="4">
        <v>20357</v>
      </c>
      <c r="D2491" s="4">
        <v>12544944</v>
      </c>
    </row>
    <row r="2492" spans="1:4" x14ac:dyDescent="0.25">
      <c r="A2492" t="str">
        <f>T("   732112")</f>
        <v xml:space="preserve">   732112</v>
      </c>
      <c r="B2492" t="str">
        <f>T("   A COMBUSTIBLES LIQUIDES")</f>
        <v xml:space="preserve">   A COMBUSTIBLES LIQUIDES</v>
      </c>
      <c r="C2492" s="4">
        <v>55</v>
      </c>
      <c r="D2492" s="4">
        <v>158828</v>
      </c>
    </row>
    <row r="2493" spans="1:4" x14ac:dyDescent="0.25">
      <c r="A2493" t="str">
        <f>T("   732190")</f>
        <v xml:space="preserve">   732190</v>
      </c>
      <c r="B2493" t="str">
        <f>T("   PARTIES")</f>
        <v xml:space="preserve">   PARTIES</v>
      </c>
      <c r="C2493" s="4">
        <v>9087</v>
      </c>
      <c r="D2493" s="4">
        <v>4645082</v>
      </c>
    </row>
    <row r="2494" spans="1:4" x14ac:dyDescent="0.25">
      <c r="A2494" t="str">
        <f>T("   732392")</f>
        <v xml:space="preserve">   732392</v>
      </c>
      <c r="B2494" t="str">
        <f>T("   EN FONTE, EMAILLES")</f>
        <v xml:space="preserve">   EN FONTE, EMAILLES</v>
      </c>
      <c r="C2494" s="4">
        <v>54379</v>
      </c>
      <c r="D2494" s="4">
        <v>6116877</v>
      </c>
    </row>
    <row r="2495" spans="1:4" x14ac:dyDescent="0.25">
      <c r="A2495" t="str">
        <f>T("   732393")</f>
        <v xml:space="preserve">   732393</v>
      </c>
      <c r="B2495" t="str">
        <f>T("   EN ACIERS INOXYDABLES")</f>
        <v xml:space="preserve">   EN ACIERS INOXYDABLES</v>
      </c>
      <c r="C2495" s="4">
        <v>4455</v>
      </c>
      <c r="D2495" s="4">
        <v>13309647</v>
      </c>
    </row>
    <row r="2496" spans="1:4" x14ac:dyDescent="0.25">
      <c r="A2496" t="str">
        <f>T("   732394")</f>
        <v xml:space="preserve">   732394</v>
      </c>
      <c r="B2496" t="str">
        <f>T("   EN FER OU EN ACIER, EMAILLES")</f>
        <v xml:space="preserve">   EN FER OU EN ACIER, EMAILLES</v>
      </c>
      <c r="C2496" s="4">
        <v>64954</v>
      </c>
      <c r="D2496" s="4">
        <v>19061799</v>
      </c>
    </row>
    <row r="2497" spans="1:4" x14ac:dyDescent="0.25">
      <c r="A2497" t="str">
        <f>T("   732399")</f>
        <v xml:space="preserve">   732399</v>
      </c>
      <c r="B2497" t="str">
        <f>T("   AUTRES")</f>
        <v xml:space="preserve">   AUTRES</v>
      </c>
      <c r="C2497" s="4">
        <v>2070597</v>
      </c>
      <c r="D2497" s="4">
        <v>457052975</v>
      </c>
    </row>
    <row r="2498" spans="1:4" x14ac:dyDescent="0.25">
      <c r="A2498" t="str">
        <f>T("   732410")</f>
        <v xml:space="preserve">   732410</v>
      </c>
      <c r="B2498" t="str">
        <f>T("   EVIERS ET LAVABOS EN ACIERS INOXYDABLES")</f>
        <v xml:space="preserve">   EVIERS ET LAVABOS EN ACIERS INOXYDABLES</v>
      </c>
      <c r="C2498" s="4">
        <v>14960</v>
      </c>
      <c r="D2498" s="4">
        <v>8341588</v>
      </c>
    </row>
    <row r="2499" spans="1:4" x14ac:dyDescent="0.25">
      <c r="A2499" t="str">
        <f>T("   732429")</f>
        <v xml:space="preserve">   732429</v>
      </c>
      <c r="B2499" t="str">
        <f>T("   AUTRES")</f>
        <v xml:space="preserve">   AUTRES</v>
      </c>
      <c r="C2499" s="4">
        <v>23150</v>
      </c>
      <c r="D2499" s="4">
        <v>8968531</v>
      </c>
    </row>
    <row r="2500" spans="1:4" x14ac:dyDescent="0.25">
      <c r="A2500" t="str">
        <f>T("   732490")</f>
        <v xml:space="preserve">   732490</v>
      </c>
      <c r="B2500" t="str">
        <f>T("   AUTRES, Y COMPRIS LES PARTIES")</f>
        <v xml:space="preserve">   AUTRES, Y COMPRIS LES PARTIES</v>
      </c>
      <c r="C2500" s="4">
        <v>16233</v>
      </c>
      <c r="D2500" s="4">
        <v>5909754</v>
      </c>
    </row>
    <row r="2501" spans="1:4" x14ac:dyDescent="0.25">
      <c r="A2501" t="str">
        <f>T("   732619")</f>
        <v xml:space="preserve">   732619</v>
      </c>
      <c r="B2501" t="str">
        <f>T("   AUTRES")</f>
        <v xml:space="preserve">   AUTRES</v>
      </c>
      <c r="C2501" s="4">
        <v>71206</v>
      </c>
      <c r="D2501" s="4">
        <v>18472853</v>
      </c>
    </row>
    <row r="2502" spans="1:4" x14ac:dyDescent="0.25">
      <c r="A2502" t="str">
        <f>T("   732620")</f>
        <v xml:space="preserve">   732620</v>
      </c>
      <c r="B2502" t="str">
        <f>T("   OUVRAGES EN FILS DE FER OU D'ACIER")</f>
        <v xml:space="preserve">   OUVRAGES EN FILS DE FER OU D'ACIER</v>
      </c>
      <c r="C2502" s="4">
        <v>74790</v>
      </c>
      <c r="D2502" s="4">
        <v>19661942</v>
      </c>
    </row>
    <row r="2503" spans="1:4" x14ac:dyDescent="0.25">
      <c r="A2503" t="str">
        <f>T("   732690")</f>
        <v xml:space="preserve">   732690</v>
      </c>
      <c r="B2503" t="str">
        <f>T("   AUTRES")</f>
        <v xml:space="preserve">   AUTRES</v>
      </c>
      <c r="C2503" s="4">
        <v>186665</v>
      </c>
      <c r="D2503" s="4">
        <v>118666399</v>
      </c>
    </row>
    <row r="2504" spans="1:4" x14ac:dyDescent="0.25">
      <c r="A2504" t="str">
        <f>T("   740710")</f>
        <v xml:space="preserve">   740710</v>
      </c>
      <c r="B2504" t="str">
        <f>T("   EN CUIVRE AFFINE")</f>
        <v xml:space="preserve">   EN CUIVRE AFFINE</v>
      </c>
      <c r="C2504" s="4">
        <v>312</v>
      </c>
      <c r="D2504" s="4">
        <v>1914908</v>
      </c>
    </row>
    <row r="2505" spans="1:4" x14ac:dyDescent="0.25">
      <c r="A2505" t="str">
        <f>T("   740939")</f>
        <v xml:space="preserve">   740939</v>
      </c>
      <c r="B2505" t="str">
        <f>T("   AUTRES")</f>
        <v xml:space="preserve">   AUTRES</v>
      </c>
      <c r="C2505" s="4">
        <v>913705</v>
      </c>
      <c r="D2505" s="4">
        <v>123988248</v>
      </c>
    </row>
    <row r="2506" spans="1:4" x14ac:dyDescent="0.25">
      <c r="A2506" t="str">
        <f>T("   741129")</f>
        <v xml:space="preserve">   741129</v>
      </c>
      <c r="B2506" t="str">
        <f>T("   AUTRES")</f>
        <v xml:space="preserve">   AUTRES</v>
      </c>
      <c r="C2506" s="4">
        <v>56437</v>
      </c>
      <c r="D2506" s="4">
        <v>6929210</v>
      </c>
    </row>
    <row r="2507" spans="1:4" x14ac:dyDescent="0.25">
      <c r="A2507" t="str">
        <f>T("   741510")</f>
        <v xml:space="preserve">   741510</v>
      </c>
      <c r="B2507" t="str">
        <f>T("   POINTES ET CLOUS, PUNAISES, CRAMPONS APPOINTES ET ARTICLES SIMILAIRES")</f>
        <v xml:space="preserve">   POINTES ET CLOUS, PUNAISES, CRAMPONS APPOINTES ET ARTICLES SIMILAIRES</v>
      </c>
      <c r="C2507" s="4">
        <v>319371</v>
      </c>
      <c r="D2507" s="4">
        <v>52100500</v>
      </c>
    </row>
    <row r="2508" spans="1:4" x14ac:dyDescent="0.25">
      <c r="A2508" t="str">
        <f>T("   741533")</f>
        <v xml:space="preserve">   741533</v>
      </c>
      <c r="B2508" t="str">
        <f>T("   VIS; BOULONS ET ECROUS")</f>
        <v xml:space="preserve">   VIS; BOULONS ET ECROUS</v>
      </c>
      <c r="C2508" s="4">
        <v>13000</v>
      </c>
      <c r="D2508" s="4">
        <v>21843693</v>
      </c>
    </row>
    <row r="2509" spans="1:4" x14ac:dyDescent="0.25">
      <c r="A2509" t="str">
        <f>T("   741539")</f>
        <v xml:space="preserve">   741539</v>
      </c>
      <c r="B2509" t="str">
        <f>T("   AUTRES")</f>
        <v xml:space="preserve">   AUTRES</v>
      </c>
      <c r="C2509" s="4">
        <v>5243</v>
      </c>
      <c r="D2509" s="4">
        <v>743482</v>
      </c>
    </row>
    <row r="2510" spans="1:4" x14ac:dyDescent="0.25">
      <c r="A2510" t="str">
        <f>T("   741811")</f>
        <v xml:space="preserve">   741811</v>
      </c>
      <c r="B2510" t="str">
        <f>T("   EPONGES,TORCHONS,GANTS,SIMILAIRES POUR RECURAGE,POLISSAGE ETC.")</f>
        <v xml:space="preserve">   EPONGES,TORCHONS,GANTS,SIMILAIRES POUR RECURAGE,POLISSAGE ETC.</v>
      </c>
      <c r="C2510" s="4">
        <v>21350</v>
      </c>
      <c r="D2510" s="4">
        <v>4000000</v>
      </c>
    </row>
    <row r="2511" spans="1:4" x14ac:dyDescent="0.25">
      <c r="A2511" t="str">
        <f>T("   760110")</f>
        <v xml:space="preserve">   760110</v>
      </c>
      <c r="B2511" t="str">
        <f>T("   ALUMINIUM NON ALLIE")</f>
        <v xml:space="preserve">   ALUMINIUM NON ALLIE</v>
      </c>
      <c r="C2511" s="4">
        <v>800</v>
      </c>
      <c r="D2511" s="4">
        <v>716970</v>
      </c>
    </row>
    <row r="2512" spans="1:4" x14ac:dyDescent="0.25">
      <c r="A2512" t="str">
        <f>T("   760421")</f>
        <v xml:space="preserve">   760421</v>
      </c>
      <c r="B2512" t="str">
        <f>T("   PROFILES CREUX")</f>
        <v xml:space="preserve">   PROFILES CREUX</v>
      </c>
      <c r="C2512" s="4">
        <v>78735</v>
      </c>
      <c r="D2512" s="4">
        <v>40738698</v>
      </c>
    </row>
    <row r="2513" spans="1:4" x14ac:dyDescent="0.25">
      <c r="A2513" t="str">
        <f>T("   760429")</f>
        <v xml:space="preserve">   760429</v>
      </c>
      <c r="B2513" t="str">
        <f>T("   AUTRES")</f>
        <v xml:space="preserve">   AUTRES</v>
      </c>
      <c r="C2513" s="4">
        <v>1410919</v>
      </c>
      <c r="D2513" s="4">
        <v>894511851</v>
      </c>
    </row>
    <row r="2514" spans="1:4" x14ac:dyDescent="0.25">
      <c r="A2514" t="str">
        <f>T("   760611")</f>
        <v xml:space="preserve">   760611</v>
      </c>
      <c r="B2514" t="str">
        <f>T("   EN ALUMINIUM NON ALLIE")</f>
        <v xml:space="preserve">   EN ALUMINIUM NON ALLIE</v>
      </c>
      <c r="C2514" s="4">
        <v>344336</v>
      </c>
      <c r="D2514" s="4">
        <v>83959428</v>
      </c>
    </row>
    <row r="2515" spans="1:4" x14ac:dyDescent="0.25">
      <c r="A2515" t="str">
        <f>T("   761010")</f>
        <v xml:space="preserve">   761010</v>
      </c>
      <c r="B2515" t="str">
        <f>T("   PORTES, FENETRES ET LEURS CADRES, CHAMBRANLES ET SEUILS")</f>
        <v xml:space="preserve">   PORTES, FENETRES ET LEURS CADRES, CHAMBRANLES ET SEUILS</v>
      </c>
      <c r="C2515" s="4">
        <v>58449</v>
      </c>
      <c r="D2515" s="4">
        <v>49338418</v>
      </c>
    </row>
    <row r="2516" spans="1:4" x14ac:dyDescent="0.25">
      <c r="A2516" t="str">
        <f>T("   761090")</f>
        <v xml:space="preserve">   761090</v>
      </c>
      <c r="B2516" t="str">
        <f>T("   AUTRES")</f>
        <v xml:space="preserve">   AUTRES</v>
      </c>
      <c r="C2516" s="4">
        <v>651632</v>
      </c>
      <c r="D2516" s="4">
        <v>281557184</v>
      </c>
    </row>
    <row r="2517" spans="1:4" x14ac:dyDescent="0.25">
      <c r="A2517" t="str">
        <f>T("   761519")</f>
        <v xml:space="preserve">   761519</v>
      </c>
      <c r="B2517" t="str">
        <f>T("   AUTRES ARTICLES DE MENAGES OU D'ECONOMIE DOMESTIQUE EN ALUMINIUM")</f>
        <v xml:space="preserve">   AUTRES ARTICLES DE MENAGES OU D'ECONOMIE DOMESTIQUE EN ALUMINIUM</v>
      </c>
      <c r="C2517" s="4">
        <v>593709</v>
      </c>
      <c r="D2517" s="4">
        <v>115654390</v>
      </c>
    </row>
    <row r="2518" spans="1:4" x14ac:dyDescent="0.25">
      <c r="A2518" t="str">
        <f>T("   761610")</f>
        <v xml:space="preserve">   761610</v>
      </c>
      <c r="B2518" t="str">
        <f>T("   POINTES, CLOUS, CRAMPONS APPOINTES, VIS, BOULONS, ECROUS, CROCHETS A PAS DE VIS, RIVE")</f>
        <v xml:space="preserve">   POINTES, CLOUS, CRAMPONS APPOINTES, VIS, BOULONS, ECROUS, CROCHETS A PAS DE VIS, RIVE</v>
      </c>
      <c r="C2518" s="4">
        <v>111389</v>
      </c>
      <c r="D2518" s="4">
        <v>7551620</v>
      </c>
    </row>
    <row r="2519" spans="1:4" x14ac:dyDescent="0.25">
      <c r="A2519" t="str">
        <f>T("   761691")</f>
        <v xml:space="preserve">   761691</v>
      </c>
      <c r="B2519" t="str">
        <f>T("   TOILES METALLIQUES, GRILLAGES ET TREILLIS, EN FILS D'ALUMINIUM")</f>
        <v xml:space="preserve">   TOILES METALLIQUES, GRILLAGES ET TREILLIS, EN FILS D'ALUMINIUM</v>
      </c>
      <c r="C2519" s="4">
        <v>9000</v>
      </c>
      <c r="D2519" s="4">
        <v>5244400</v>
      </c>
    </row>
    <row r="2520" spans="1:4" x14ac:dyDescent="0.25">
      <c r="A2520" t="str">
        <f>T("   761699")</f>
        <v xml:space="preserve">   761699</v>
      </c>
      <c r="B2520" t="str">
        <f>T("   AUTRES")</f>
        <v xml:space="preserve">   AUTRES</v>
      </c>
      <c r="C2520" s="4">
        <v>168136</v>
      </c>
      <c r="D2520" s="4">
        <v>44419996</v>
      </c>
    </row>
    <row r="2521" spans="1:4" x14ac:dyDescent="0.25">
      <c r="A2521" t="str">
        <f>T("   820110")</f>
        <v xml:space="preserve">   820110</v>
      </c>
      <c r="B2521" t="str">
        <f>T("   Beches et pelles")</f>
        <v xml:space="preserve">   Beches et pelles</v>
      </c>
      <c r="C2521" s="4">
        <v>184967</v>
      </c>
      <c r="D2521" s="4">
        <v>36521554</v>
      </c>
    </row>
    <row r="2522" spans="1:4" x14ac:dyDescent="0.25">
      <c r="A2522" t="str">
        <f>T("   820120")</f>
        <v xml:space="preserve">   820120</v>
      </c>
      <c r="B2522" t="str">
        <f>T("   Fourches")</f>
        <v xml:space="preserve">   Fourches</v>
      </c>
      <c r="C2522" s="4">
        <v>3750</v>
      </c>
      <c r="D2522" s="4">
        <v>1000000</v>
      </c>
    </row>
    <row r="2523" spans="1:4" x14ac:dyDescent="0.25">
      <c r="A2523" t="str">
        <f>T("   820130")</f>
        <v xml:space="preserve">   820130</v>
      </c>
      <c r="B2523" t="str">
        <f>T("   Pioches, pics, houes, binettes, rateaux et racloirs")</f>
        <v xml:space="preserve">   Pioches, pics, houes, binettes, rateaux et racloirs</v>
      </c>
      <c r="C2523" s="4">
        <v>7000</v>
      </c>
      <c r="D2523" s="4">
        <v>3668113</v>
      </c>
    </row>
    <row r="2524" spans="1:4" x14ac:dyDescent="0.25">
      <c r="A2524" t="str">
        <f>T("   820190")</f>
        <v xml:space="preserve">   820190</v>
      </c>
      <c r="B2524" t="str">
        <f>T("   AUTRES OUTILS AGRICOLES, HORTICOLES OU FORESTIERS, A MAIN")</f>
        <v xml:space="preserve">   AUTRES OUTILS AGRICOLES, HORTICOLES OU FORESTIERS, A MAIN</v>
      </c>
      <c r="C2524" s="4">
        <v>34919</v>
      </c>
      <c r="D2524" s="4">
        <v>91586793</v>
      </c>
    </row>
    <row r="2525" spans="1:4" x14ac:dyDescent="0.25">
      <c r="A2525" t="str">
        <f>T("   820239")</f>
        <v xml:space="preserve">   820239</v>
      </c>
      <c r="B2525" t="str">
        <f>T("   AUTRES, Y COMPRIS LES PARTIES")</f>
        <v xml:space="preserve">   AUTRES, Y COMPRIS LES PARTIES</v>
      </c>
      <c r="C2525" s="4">
        <v>12700</v>
      </c>
      <c r="D2525" s="4">
        <v>4730012</v>
      </c>
    </row>
    <row r="2526" spans="1:4" x14ac:dyDescent="0.25">
      <c r="A2526" t="str">
        <f>T("   820299")</f>
        <v xml:space="preserve">   820299</v>
      </c>
      <c r="B2526" t="str">
        <f>T("   AUTRES")</f>
        <v xml:space="preserve">   AUTRES</v>
      </c>
      <c r="C2526" s="4">
        <v>35000</v>
      </c>
      <c r="D2526" s="4">
        <v>13284383</v>
      </c>
    </row>
    <row r="2527" spans="1:4" x14ac:dyDescent="0.25">
      <c r="A2527" t="str">
        <f>T("   820320")</f>
        <v xml:space="preserve">   820320</v>
      </c>
      <c r="B2527" t="str">
        <f>T("   PINCES (MEME COUPANTES), TENAILLES, BRUCELLES ET OUTILS SIMILAIRES")</f>
        <v xml:space="preserve">   PINCES (MEME COUPANTES), TENAILLES, BRUCELLES ET OUTILS SIMILAIRES</v>
      </c>
      <c r="C2527" s="4">
        <v>2500</v>
      </c>
      <c r="D2527" s="4">
        <v>940028</v>
      </c>
    </row>
    <row r="2528" spans="1:4" x14ac:dyDescent="0.25">
      <c r="A2528" t="str">
        <f>T("   820411")</f>
        <v xml:space="preserve">   820411</v>
      </c>
      <c r="B2528" t="str">
        <f>T("   A OUVERTURE FIXE")</f>
        <v xml:space="preserve">   A OUVERTURE FIXE</v>
      </c>
      <c r="C2528" s="4">
        <v>35950</v>
      </c>
      <c r="D2528" s="4">
        <v>12015875</v>
      </c>
    </row>
    <row r="2529" spans="1:4" x14ac:dyDescent="0.25">
      <c r="A2529" t="str">
        <f>T("   820520")</f>
        <v xml:space="preserve">   820520</v>
      </c>
      <c r="B2529" t="str">
        <f>T("   MARTEAUX ET MASSES")</f>
        <v xml:space="preserve">   MARTEAUX ET MASSES</v>
      </c>
      <c r="C2529" s="4">
        <v>19674</v>
      </c>
      <c r="D2529" s="4">
        <v>8448784</v>
      </c>
    </row>
    <row r="2530" spans="1:4" x14ac:dyDescent="0.25">
      <c r="A2530" t="str">
        <f>T("   820559")</f>
        <v xml:space="preserve">   820559</v>
      </c>
      <c r="B2530" t="str">
        <f>T("   AUTRES")</f>
        <v xml:space="preserve">   AUTRES</v>
      </c>
      <c r="C2530" s="4">
        <v>90785</v>
      </c>
      <c r="D2530" s="4">
        <v>30951790</v>
      </c>
    </row>
    <row r="2531" spans="1:4" x14ac:dyDescent="0.25">
      <c r="A2531" t="str">
        <f>T("   820750")</f>
        <v xml:space="preserve">   820750</v>
      </c>
      <c r="B2531" t="str">
        <f>T("   OUTILS A PERCER")</f>
        <v xml:space="preserve">   OUTILS A PERCER</v>
      </c>
      <c r="C2531" s="4">
        <v>1680</v>
      </c>
      <c r="D2531" s="4">
        <v>1045582</v>
      </c>
    </row>
    <row r="2532" spans="1:4" x14ac:dyDescent="0.25">
      <c r="A2532" t="str">
        <f>T("   820790")</f>
        <v xml:space="preserve">   820790</v>
      </c>
      <c r="B2532" t="str">
        <f>T("   AUTRES OUTILS INTERCHANGEABLES")</f>
        <v xml:space="preserve">   AUTRES OUTILS INTERCHANGEABLES</v>
      </c>
      <c r="C2532" s="4">
        <v>2631</v>
      </c>
      <c r="D2532" s="4">
        <v>868490</v>
      </c>
    </row>
    <row r="2533" spans="1:4" x14ac:dyDescent="0.25">
      <c r="A2533" t="str">
        <f>T("   820900")</f>
        <v xml:space="preserve">   820900</v>
      </c>
      <c r="B2533" t="str">
        <f>T("   PLAQUETTES, BAGUETTES, POINTES ET OBJETS SIMILAIRES POUR OUTILS, NON MONTES, CONSTITUES")</f>
        <v xml:space="preserve">   PLAQUETTES, BAGUETTES, POINTES ET OBJETS SIMILAIRES POUR OUTILS, NON MONTES, CONSTITUES</v>
      </c>
      <c r="C2533" s="4">
        <v>5000</v>
      </c>
      <c r="D2533" s="4">
        <v>1400000</v>
      </c>
    </row>
    <row r="2534" spans="1:4" x14ac:dyDescent="0.25">
      <c r="A2534" t="str">
        <f>T("   821191")</f>
        <v xml:space="preserve">   821191</v>
      </c>
      <c r="B2534" t="str">
        <f>T("   COUTEAUX DE TABLE A LAME FIXE")</f>
        <v xml:space="preserve">   COUTEAUX DE TABLE A LAME FIXE</v>
      </c>
      <c r="C2534" s="4">
        <v>11000</v>
      </c>
      <c r="D2534" s="4">
        <v>3932480</v>
      </c>
    </row>
    <row r="2535" spans="1:4" x14ac:dyDescent="0.25">
      <c r="A2535" t="str">
        <f>T("   821192")</f>
        <v xml:space="preserve">   821192</v>
      </c>
      <c r="B2535" t="str">
        <f>T("   AUTRES COUTEAUX A LAME FIXE")</f>
        <v xml:space="preserve">   AUTRES COUTEAUX A LAME FIXE</v>
      </c>
      <c r="C2535" s="4">
        <v>17500</v>
      </c>
      <c r="D2535" s="4">
        <v>3932480</v>
      </c>
    </row>
    <row r="2536" spans="1:4" x14ac:dyDescent="0.25">
      <c r="A2536" t="str">
        <f>T("   821300")</f>
        <v xml:space="preserve">   821300</v>
      </c>
      <c r="B2536" t="str">
        <f>T("   CISEAUX A DOUBLES BRANCHES ET LEURS LAMES.")</f>
        <v xml:space="preserve">   CISEAUX A DOUBLES BRANCHES ET LEURS LAMES.</v>
      </c>
      <c r="C2536" s="4">
        <v>751</v>
      </c>
      <c r="D2536" s="4">
        <v>485207</v>
      </c>
    </row>
    <row r="2537" spans="1:4" x14ac:dyDescent="0.25">
      <c r="A2537" t="str">
        <f>T("   821410")</f>
        <v xml:space="preserve">   821410</v>
      </c>
      <c r="B2537" t="str">
        <f>T("   COUPEPAPIER, OUVRELETTRES, GRATTOIRS, TAILLECRAYONS ET LEURS LAMES")</f>
        <v xml:space="preserve">   COUPEPAPIER, OUVRELETTRES, GRATTOIRS, TAILLECRAYONS ET LEURS LAMES</v>
      </c>
      <c r="C2537" s="4">
        <v>400</v>
      </c>
      <c r="D2537" s="4">
        <v>45075</v>
      </c>
    </row>
    <row r="2538" spans="1:4" x14ac:dyDescent="0.25">
      <c r="A2538" t="str">
        <f>T("   821490")</f>
        <v xml:space="preserve">   821490</v>
      </c>
      <c r="B2538" t="str">
        <f>T("   AUTRES")</f>
        <v xml:space="preserve">   AUTRES</v>
      </c>
      <c r="C2538" s="4">
        <v>1550</v>
      </c>
      <c r="D2538" s="4">
        <v>913450</v>
      </c>
    </row>
    <row r="2539" spans="1:4" x14ac:dyDescent="0.25">
      <c r="A2539" t="str">
        <f>T("   821599")</f>
        <v xml:space="preserve">   821599</v>
      </c>
      <c r="B2539" t="str">
        <f>T("   AUTRES")</f>
        <v xml:space="preserve">   AUTRES</v>
      </c>
      <c r="C2539" s="4">
        <v>219025</v>
      </c>
      <c r="D2539" s="4">
        <v>38505811</v>
      </c>
    </row>
    <row r="2540" spans="1:4" x14ac:dyDescent="0.25">
      <c r="A2540" t="str">
        <f>T("   830110")</f>
        <v xml:space="preserve">   830110</v>
      </c>
      <c r="B2540" t="str">
        <f>T("   CADENAS")</f>
        <v xml:space="preserve">   CADENAS</v>
      </c>
      <c r="C2540" s="4">
        <v>116172</v>
      </c>
      <c r="D2540" s="4">
        <v>36590867</v>
      </c>
    </row>
    <row r="2541" spans="1:4" x14ac:dyDescent="0.25">
      <c r="A2541" t="str">
        <f>T("   830130")</f>
        <v xml:space="preserve">   830130</v>
      </c>
      <c r="B2541" t="str">
        <f>T("   SERRURES DES TYPES UTILISES POUR MEUBLES")</f>
        <v xml:space="preserve">   SERRURES DES TYPES UTILISES POUR MEUBLES</v>
      </c>
      <c r="C2541" s="4">
        <v>39728</v>
      </c>
      <c r="D2541" s="4">
        <v>9492468</v>
      </c>
    </row>
    <row r="2542" spans="1:4" x14ac:dyDescent="0.25">
      <c r="A2542" t="str">
        <f>T("   830140")</f>
        <v xml:space="preserve">   830140</v>
      </c>
      <c r="B2542" t="str">
        <f>T("   AUTRES SERRURES; VERROUS")</f>
        <v xml:space="preserve">   AUTRES SERRURES; VERROUS</v>
      </c>
      <c r="C2542" s="4">
        <v>1157820</v>
      </c>
      <c r="D2542" s="4">
        <v>400568262</v>
      </c>
    </row>
    <row r="2543" spans="1:4" x14ac:dyDescent="0.25">
      <c r="A2543" t="str">
        <f>T("   830150")</f>
        <v xml:space="preserve">   830150</v>
      </c>
      <c r="B2543" t="str">
        <f>T("   FERMOIRS ET MONTURESFERMOIRS COMPORTANT UNE SERRURE")</f>
        <v xml:space="preserve">   FERMOIRS ET MONTURESFERMOIRS COMPORTANT UNE SERRURE</v>
      </c>
      <c r="C2543" s="4">
        <v>2300</v>
      </c>
      <c r="D2543" s="4">
        <v>300000</v>
      </c>
    </row>
    <row r="2544" spans="1:4" x14ac:dyDescent="0.25">
      <c r="A2544" t="str">
        <f>T("   830160")</f>
        <v xml:space="preserve">   830160</v>
      </c>
      <c r="B2544" t="str">
        <f>T("   PARTIES")</f>
        <v xml:space="preserve">   PARTIES</v>
      </c>
      <c r="C2544" s="4">
        <v>27512</v>
      </c>
      <c r="D2544" s="4">
        <v>9204371</v>
      </c>
    </row>
    <row r="2545" spans="1:4" x14ac:dyDescent="0.25">
      <c r="A2545" t="str">
        <f>T("   830170")</f>
        <v xml:space="preserve">   830170</v>
      </c>
      <c r="B2545" t="str">
        <f>T("   CLEFS PRESENTEES ISOLEMENT")</f>
        <v xml:space="preserve">   CLEFS PRESENTEES ISOLEMENT</v>
      </c>
      <c r="C2545" s="4">
        <v>6000</v>
      </c>
      <c r="D2545" s="4">
        <v>1120000</v>
      </c>
    </row>
    <row r="2546" spans="1:4" x14ac:dyDescent="0.25">
      <c r="A2546" t="str">
        <f>T("   830210")</f>
        <v xml:space="preserve">   830210</v>
      </c>
      <c r="B2546" t="str">
        <f>T("   CHARNIERES DE TOUS GENRES (Y COMPRIS LES PAUMELLES ET PENTURES)")</f>
        <v xml:space="preserve">   CHARNIERES DE TOUS GENRES (Y COMPRIS LES PAUMELLES ET PENTURES)</v>
      </c>
      <c r="C2546" s="4">
        <v>87731</v>
      </c>
      <c r="D2546" s="4">
        <v>22950676</v>
      </c>
    </row>
    <row r="2547" spans="1:4" x14ac:dyDescent="0.25">
      <c r="A2547" t="str">
        <f>T("   830220")</f>
        <v xml:space="preserve">   830220</v>
      </c>
      <c r="B2547" t="str">
        <f>T("   ROULETTES")</f>
        <v xml:space="preserve">   ROULETTES</v>
      </c>
      <c r="C2547" s="4">
        <v>65</v>
      </c>
      <c r="D2547" s="4">
        <v>287286</v>
      </c>
    </row>
    <row r="2548" spans="1:4" x14ac:dyDescent="0.25">
      <c r="A2548" t="str">
        <f>T("   830230")</f>
        <v xml:space="preserve">   830230</v>
      </c>
      <c r="B2548" t="str">
        <f>T("   AUTRES GARNITURES, FERRURES ET ARTICLES SIMILAIRES POUR VEHICULES AUTOMOBILES")</f>
        <v xml:space="preserve">   AUTRES GARNITURES, FERRURES ET ARTICLES SIMILAIRES POUR VEHICULES AUTOMOBILES</v>
      </c>
      <c r="C2548" s="4">
        <v>90</v>
      </c>
      <c r="D2548" s="4">
        <v>99600</v>
      </c>
    </row>
    <row r="2549" spans="1:4" x14ac:dyDescent="0.25">
      <c r="A2549" t="str">
        <f>T("   830241")</f>
        <v xml:space="preserve">   830241</v>
      </c>
      <c r="B2549" t="str">
        <f>T("   POUR BATIMENTS")</f>
        <v xml:space="preserve">   POUR BATIMENTS</v>
      </c>
      <c r="C2549" s="4">
        <v>579</v>
      </c>
      <c r="D2549" s="4">
        <v>8818693</v>
      </c>
    </row>
    <row r="2550" spans="1:4" x14ac:dyDescent="0.25">
      <c r="A2550" t="str">
        <f>T("   830242")</f>
        <v xml:space="preserve">   830242</v>
      </c>
      <c r="B2550" t="str">
        <f>T("   AUTRES, POUR MEUBLES")</f>
        <v xml:space="preserve">   AUTRES, POUR MEUBLES</v>
      </c>
      <c r="C2550" s="4">
        <v>22820</v>
      </c>
      <c r="D2550" s="4">
        <v>15526836</v>
      </c>
    </row>
    <row r="2551" spans="1:4" x14ac:dyDescent="0.25">
      <c r="A2551" t="str">
        <f>T("   830249")</f>
        <v xml:space="preserve">   830249</v>
      </c>
      <c r="B2551" t="str">
        <f>T("   AUTRES")</f>
        <v xml:space="preserve">   AUTRES</v>
      </c>
      <c r="C2551" s="4">
        <v>128342</v>
      </c>
      <c r="D2551" s="4">
        <v>38452741</v>
      </c>
    </row>
    <row r="2552" spans="1:4" x14ac:dyDescent="0.25">
      <c r="A2552" t="str">
        <f>T("   830250")</f>
        <v xml:space="preserve">   830250</v>
      </c>
      <c r="B2552" t="str">
        <f>T("   PATERES, PORTECHAPEAUX, SUPPORTS ET ARTICLES SIMILAIRES")</f>
        <v xml:space="preserve">   PATERES, PORTECHAPEAUX, SUPPORTS ET ARTICLES SIMILAIRES</v>
      </c>
      <c r="C2552" s="4">
        <v>3520</v>
      </c>
      <c r="D2552" s="4">
        <v>1430924</v>
      </c>
    </row>
    <row r="2553" spans="1:4" x14ac:dyDescent="0.25">
      <c r="A2553" t="str">
        <f>T("   830300")</f>
        <v xml:space="preserve">   830300</v>
      </c>
      <c r="B2553" t="str">
        <f>T("   COFFRESFORTS, PORTES BLINDEES ET COMPARTIMENTS POUR CHAMBRES FORTES, COFFRES ET CASSET")</f>
        <v xml:space="preserve">   COFFRESFORTS, PORTES BLINDEES ET COMPARTIMENTS POUR CHAMBRES FORTES, COFFRES ET CASSET</v>
      </c>
      <c r="C2553" s="4">
        <v>1902</v>
      </c>
      <c r="D2553" s="4">
        <v>1523562</v>
      </c>
    </row>
    <row r="2554" spans="1:4" x14ac:dyDescent="0.25">
      <c r="A2554" t="str">
        <f>T("   830590")</f>
        <v xml:space="preserve">   830590</v>
      </c>
      <c r="B2554" t="str">
        <f>T("   AUTRES, Y COMPRIS LES PARTIES")</f>
        <v xml:space="preserve">   AUTRES, Y COMPRIS LES PARTIES</v>
      </c>
      <c r="C2554" s="4">
        <v>300</v>
      </c>
      <c r="D2554" s="4">
        <v>338913</v>
      </c>
    </row>
    <row r="2555" spans="1:4" x14ac:dyDescent="0.25">
      <c r="A2555" t="str">
        <f>T("   830629")</f>
        <v xml:space="preserve">   830629</v>
      </c>
      <c r="B2555" t="str">
        <f>T("   AUTRES")</f>
        <v xml:space="preserve">   AUTRES</v>
      </c>
      <c r="C2555" s="4">
        <v>7000</v>
      </c>
      <c r="D2555" s="4">
        <v>1140000</v>
      </c>
    </row>
    <row r="2556" spans="1:4" x14ac:dyDescent="0.25">
      <c r="A2556" t="str">
        <f>T("   830630")</f>
        <v xml:space="preserve">   830630</v>
      </c>
      <c r="B2556" t="str">
        <f>T("   CADRES POUR PHOTOGRAPHIES, GRAVURES OU SIMILAIRES; MIROIRS")</f>
        <v xml:space="preserve">   CADRES POUR PHOTOGRAPHIES, GRAVURES OU SIMILAIRES; MIROIRS</v>
      </c>
      <c r="C2556" s="4">
        <v>13081</v>
      </c>
      <c r="D2556" s="4">
        <v>4073907</v>
      </c>
    </row>
    <row r="2557" spans="1:4" x14ac:dyDescent="0.25">
      <c r="A2557" t="str">
        <f>T("   830810")</f>
        <v xml:space="preserve">   830810</v>
      </c>
      <c r="B2557" t="str">
        <f>T("   AGRAFES, CROCHETS ET œILLETS")</f>
        <v xml:space="preserve">   AGRAFES, CROCHETS ET œILLETS</v>
      </c>
      <c r="C2557" s="4">
        <v>24000</v>
      </c>
      <c r="D2557" s="4">
        <v>7462254</v>
      </c>
    </row>
    <row r="2558" spans="1:4" x14ac:dyDescent="0.25">
      <c r="A2558" t="str">
        <f>T("   831110")</f>
        <v xml:space="preserve">   831110</v>
      </c>
      <c r="B2558" t="str">
        <f>T("   ELECTRODES ENROBEES POUR LE SOUDAGE A L'ARC, EN METAUX COMMUNS")</f>
        <v xml:space="preserve">   ELECTRODES ENROBEES POUR LE SOUDAGE A L'ARC, EN METAUX COMMUNS</v>
      </c>
      <c r="C2558" s="4">
        <v>393774</v>
      </c>
      <c r="D2558" s="4">
        <v>56584319</v>
      </c>
    </row>
    <row r="2559" spans="1:4" x14ac:dyDescent="0.25">
      <c r="A2559" t="str">
        <f>T("   831120")</f>
        <v xml:space="preserve">   831120</v>
      </c>
      <c r="B2559" t="str">
        <f>T("   FILS FOURRES POUR LE SOUDAGE A L'ARC, EN METAUX COMMUNS")</f>
        <v xml:space="preserve">   FILS FOURRES POUR LE SOUDAGE A L'ARC, EN METAUX COMMUNS</v>
      </c>
      <c r="C2559" s="4">
        <v>15850</v>
      </c>
      <c r="D2559" s="4">
        <v>1000000</v>
      </c>
    </row>
    <row r="2560" spans="1:4" x14ac:dyDescent="0.25">
      <c r="A2560" t="str">
        <f>T("   831130")</f>
        <v xml:space="preserve">   831130</v>
      </c>
      <c r="B2560" t="str">
        <f>T("   BAGUETTES ENROBEES ET FILS FOURRES POUR LE BRASAGE OU LE SOUDAGE A LA FLAMME, EN META")</f>
        <v xml:space="preserve">   BAGUETTES ENROBEES ET FILS FOURRES POUR LE BRASAGE OU LE SOUDAGE A LA FLAMME, EN META</v>
      </c>
      <c r="C2560" s="4">
        <v>309880</v>
      </c>
      <c r="D2560" s="4">
        <v>52786128</v>
      </c>
    </row>
    <row r="2561" spans="1:4" x14ac:dyDescent="0.25">
      <c r="A2561" t="str">
        <f>T("   831190")</f>
        <v xml:space="preserve">   831190</v>
      </c>
      <c r="B2561" t="str">
        <f>T("   AUTRES")</f>
        <v xml:space="preserve">   AUTRES</v>
      </c>
      <c r="C2561" s="4">
        <v>142050</v>
      </c>
      <c r="D2561" s="4">
        <v>17269381</v>
      </c>
    </row>
    <row r="2562" spans="1:4" x14ac:dyDescent="0.25">
      <c r="A2562" t="str">
        <f>T("   840310")</f>
        <v xml:space="preserve">   840310</v>
      </c>
      <c r="B2562" t="str">
        <f>T("   CHAUDIERES")</f>
        <v xml:space="preserve">   CHAUDIERES</v>
      </c>
      <c r="C2562" s="4">
        <v>725</v>
      </c>
      <c r="D2562" s="4">
        <v>411645</v>
      </c>
    </row>
    <row r="2563" spans="1:4" x14ac:dyDescent="0.25">
      <c r="A2563" t="str">
        <f>T("   840510")</f>
        <v xml:space="preserve">   840510</v>
      </c>
      <c r="B2563" t="str">
        <f>T("   GENERATEURS DE GAZ A L'AIR OU DE GAZ A L'EAU, AVEC OU SANS LEURS EPURATEURS; GENERATE")</f>
        <v xml:space="preserve">   GENERATEURS DE GAZ A L'AIR OU DE GAZ A L'EAU, AVEC OU SANS LEURS EPURATEURS; GENERATE</v>
      </c>
      <c r="C2563" s="4">
        <v>947</v>
      </c>
      <c r="D2563" s="4">
        <v>149867</v>
      </c>
    </row>
    <row r="2564" spans="1:4" x14ac:dyDescent="0.25">
      <c r="A2564" t="str">
        <f>T("   840790")</f>
        <v xml:space="preserve">   840790</v>
      </c>
      <c r="B2564" t="str">
        <f>T("   AUTRES MOTEURS")</f>
        <v xml:space="preserve">   AUTRES MOTEURS</v>
      </c>
      <c r="C2564" s="4">
        <v>500</v>
      </c>
      <c r="D2564" s="4">
        <v>499962</v>
      </c>
    </row>
    <row r="2565" spans="1:4" x14ac:dyDescent="0.25">
      <c r="A2565" t="str">
        <f>T("   840890")</f>
        <v xml:space="preserve">   840890</v>
      </c>
      <c r="B2565" t="str">
        <f>T("   AUTRES MOTEURS")</f>
        <v xml:space="preserve">   AUTRES MOTEURS</v>
      </c>
      <c r="C2565" s="4">
        <v>1719</v>
      </c>
      <c r="D2565" s="4">
        <v>1910232</v>
      </c>
    </row>
    <row r="2566" spans="1:4" x14ac:dyDescent="0.25">
      <c r="A2566" t="str">
        <f>T("   840999")</f>
        <v xml:space="preserve">   840999</v>
      </c>
      <c r="B2566" t="str">
        <f>T("   AUTRES")</f>
        <v xml:space="preserve">   AUTRES</v>
      </c>
      <c r="C2566" s="4">
        <v>3509.5</v>
      </c>
      <c r="D2566" s="4">
        <v>3487995</v>
      </c>
    </row>
    <row r="2567" spans="1:4" x14ac:dyDescent="0.25">
      <c r="A2567" t="str">
        <f>T("   841090")</f>
        <v xml:space="preserve">   841090</v>
      </c>
      <c r="B2567" t="str">
        <f>T("   PARTIES, Y COMPRIS LES REGULATEURS")</f>
        <v xml:space="preserve">   PARTIES, Y COMPRIS LES REGULATEURS</v>
      </c>
      <c r="C2567" s="4">
        <v>29</v>
      </c>
      <c r="D2567" s="4">
        <v>130000</v>
      </c>
    </row>
    <row r="2568" spans="1:4" x14ac:dyDescent="0.25">
      <c r="A2568" t="str">
        <f>T("   841311")</f>
        <v xml:space="preserve">   841311</v>
      </c>
      <c r="B2568" t="str">
        <f>T("   POMPES POUR LA DISTRIBUTION DE CARBURANTS OU DE LUBRIFIANTS, DES TYPES UTILISES DANS")</f>
        <v xml:space="preserve">   POMPES POUR LA DISTRIBUTION DE CARBURANTS OU DE LUBRIFIANTS, DES TYPES UTILISES DANS</v>
      </c>
      <c r="C2568" s="4">
        <v>32538</v>
      </c>
      <c r="D2568" s="4">
        <v>122313131</v>
      </c>
    </row>
    <row r="2569" spans="1:4" x14ac:dyDescent="0.25">
      <c r="A2569" t="str">
        <f>T("   841319")</f>
        <v xml:space="preserve">   841319</v>
      </c>
      <c r="B2569" t="str">
        <f>T("   AUTRES")</f>
        <v xml:space="preserve">   AUTRES</v>
      </c>
      <c r="C2569" s="4">
        <v>8405</v>
      </c>
      <c r="D2569" s="4">
        <v>1268139</v>
      </c>
    </row>
    <row r="2570" spans="1:4" x14ac:dyDescent="0.25">
      <c r="A2570" t="str">
        <f>T("   841360")</f>
        <v xml:space="preserve">   841360</v>
      </c>
      <c r="B2570" t="str">
        <f>T("   Autres pompes volumetriques rotatives")</f>
        <v xml:space="preserve">   Autres pompes volumetriques rotatives</v>
      </c>
      <c r="C2570" s="4">
        <v>600</v>
      </c>
      <c r="D2570" s="4">
        <v>483457</v>
      </c>
    </row>
    <row r="2571" spans="1:4" x14ac:dyDescent="0.25">
      <c r="A2571" t="str">
        <f>T("   841370")</f>
        <v xml:space="preserve">   841370</v>
      </c>
      <c r="B2571" t="str">
        <f>T("   Autres pompes centrifuges")</f>
        <v xml:space="preserve">   Autres pompes centrifuges</v>
      </c>
      <c r="C2571" s="4">
        <v>760</v>
      </c>
      <c r="D2571" s="4">
        <v>3730236</v>
      </c>
    </row>
    <row r="2572" spans="1:4" x14ac:dyDescent="0.25">
      <c r="A2572" t="str">
        <f>T("   841381")</f>
        <v xml:space="preserve">   841381</v>
      </c>
      <c r="B2572" t="str">
        <f>T("   POMPES")</f>
        <v xml:space="preserve">   POMPES</v>
      </c>
      <c r="C2572" s="4">
        <v>17671</v>
      </c>
      <c r="D2572" s="4">
        <v>47799516</v>
      </c>
    </row>
    <row r="2573" spans="1:4" x14ac:dyDescent="0.25">
      <c r="A2573" t="str">
        <f>T("   841382")</f>
        <v xml:space="preserve">   841382</v>
      </c>
      <c r="B2573" t="str">
        <f>T("   ELEVATEURS A LIQUIDES")</f>
        <v xml:space="preserve">   ELEVATEURS A LIQUIDES</v>
      </c>
      <c r="C2573" s="4">
        <v>99</v>
      </c>
      <c r="D2573" s="4">
        <v>233015</v>
      </c>
    </row>
    <row r="2574" spans="1:4" x14ac:dyDescent="0.25">
      <c r="A2574" t="str">
        <f>T("   841391")</f>
        <v xml:space="preserve">   841391</v>
      </c>
      <c r="B2574" t="str">
        <f>T("   DE POMPES")</f>
        <v xml:space="preserve">   DE POMPES</v>
      </c>
      <c r="C2574" s="4">
        <v>6667.1</v>
      </c>
      <c r="D2574" s="4">
        <v>3065841</v>
      </c>
    </row>
    <row r="2575" spans="1:4" x14ac:dyDescent="0.25">
      <c r="A2575" t="str">
        <f>T("   841420")</f>
        <v xml:space="preserve">   841420</v>
      </c>
      <c r="B2575" t="str">
        <f>T("   POMPES A AIR, A MAIN OU A PIED")</f>
        <v xml:space="preserve">   POMPES A AIR, A MAIN OU A PIED</v>
      </c>
      <c r="C2575" s="4">
        <v>33468</v>
      </c>
      <c r="D2575" s="4">
        <v>23230321</v>
      </c>
    </row>
    <row r="2576" spans="1:4" x14ac:dyDescent="0.25">
      <c r="A2576" t="str">
        <f>T("   841430")</f>
        <v xml:space="preserve">   841430</v>
      </c>
      <c r="B2576" t="str">
        <f>T("   COMPRESSEURS DES TYPES UTILISES DANS LES EQUIPEMENTS FRIGORIFIQUES")</f>
        <v xml:space="preserve">   COMPRESSEURS DES TYPES UTILISES DANS LES EQUIPEMENTS FRIGORIFIQUES</v>
      </c>
      <c r="C2576" s="4">
        <v>755</v>
      </c>
      <c r="D2576" s="4">
        <v>449354</v>
      </c>
    </row>
    <row r="2577" spans="1:4" x14ac:dyDescent="0.25">
      <c r="A2577" t="str">
        <f>T("   841440")</f>
        <v xml:space="preserve">   841440</v>
      </c>
      <c r="B2577" t="str">
        <f>T("   COMPRESSEURS D'AIR MONTES SUR CHASSIS A ROUES ET REMORQUABLES")</f>
        <v xml:space="preserve">   COMPRESSEURS D'AIR MONTES SUR CHASSIS A ROUES ET REMORQUABLES</v>
      </c>
      <c r="C2577" s="4">
        <v>2958</v>
      </c>
      <c r="D2577" s="4">
        <v>2861660</v>
      </c>
    </row>
    <row r="2578" spans="1:4" x14ac:dyDescent="0.25">
      <c r="A2578" t="str">
        <f>T("   841451")</f>
        <v xml:space="preserve">   841451</v>
      </c>
      <c r="B2578" t="str">
        <f>T("   VENTILATEURS DE TABLE, DE SOL, MURAUX, PLAFONNIERS, DE TOITURES OU DE FENETRES, A MO")</f>
        <v xml:space="preserve">   VENTILATEURS DE TABLE, DE SOL, MURAUX, PLAFONNIERS, DE TOITURES OU DE FENETRES, A MO</v>
      </c>
      <c r="C2578" s="4">
        <v>312512</v>
      </c>
      <c r="D2578" s="4">
        <v>111492947</v>
      </c>
    </row>
    <row r="2579" spans="1:4" x14ac:dyDescent="0.25">
      <c r="A2579" t="str">
        <f>T("   841459")</f>
        <v xml:space="preserve">   841459</v>
      </c>
      <c r="B2579" t="str">
        <f>T("   AUTRES")</f>
        <v xml:space="preserve">   AUTRES</v>
      </c>
      <c r="C2579" s="4">
        <v>146119</v>
      </c>
      <c r="D2579" s="4">
        <v>59474462</v>
      </c>
    </row>
    <row r="2580" spans="1:4" x14ac:dyDescent="0.25">
      <c r="A2580" t="str">
        <f>T("   841480")</f>
        <v xml:space="preserve">   841480</v>
      </c>
      <c r="B2580" t="str">
        <f>T("   AUTRES")</f>
        <v xml:space="preserve">   AUTRES</v>
      </c>
      <c r="C2580" s="4">
        <v>11</v>
      </c>
      <c r="D2580" s="4">
        <v>99579</v>
      </c>
    </row>
    <row r="2581" spans="1:4" x14ac:dyDescent="0.25">
      <c r="A2581" t="str">
        <f>T("   841490")</f>
        <v xml:space="preserve">   841490</v>
      </c>
      <c r="B2581" t="str">
        <f>T("   PARTIES")</f>
        <v xml:space="preserve">   PARTIES</v>
      </c>
      <c r="C2581" s="4">
        <v>1014</v>
      </c>
      <c r="D2581" s="4">
        <v>2134704</v>
      </c>
    </row>
    <row r="2582" spans="1:4" x14ac:dyDescent="0.25">
      <c r="A2582" t="str">
        <f>T("   841510")</f>
        <v xml:space="preserve">   841510</v>
      </c>
      <c r="B2582" t="str">
        <f>T("   DU TYPE MURAL OU POUR FENETRES, FORMANT UN SEUL CORPS OU DU TYPE «SPLITSYSTEM» (SYST")</f>
        <v xml:space="preserve">   DU TYPE MURAL OU POUR FENETRES, FORMANT UN SEUL CORPS OU DU TYPE «SPLITSYSTEM» (SYST</v>
      </c>
      <c r="C2582" s="4">
        <v>481794</v>
      </c>
      <c r="D2582" s="4">
        <v>337612979</v>
      </c>
    </row>
    <row r="2583" spans="1:4" x14ac:dyDescent="0.25">
      <c r="A2583" t="str">
        <f>T("   841581")</f>
        <v xml:space="preserve">   841581</v>
      </c>
      <c r="B2583" t="str">
        <f>T("   AVEC DISPOSITIF DE REFRIGERATION ET SOUPAPE D’INVERSION DU CYCLE THERMIQUE (POMPES A")</f>
        <v xml:space="preserve">   AVEC DISPOSITIF DE REFRIGERATION ET SOUPAPE D’INVERSION DU CYCLE THERMIQUE (POMPES A</v>
      </c>
      <c r="C2583" s="4">
        <v>2034</v>
      </c>
      <c r="D2583" s="4">
        <v>619881</v>
      </c>
    </row>
    <row r="2584" spans="1:4" x14ac:dyDescent="0.25">
      <c r="A2584" t="str">
        <f>T("   841582")</f>
        <v xml:space="preserve">   841582</v>
      </c>
      <c r="B2584" t="str">
        <f>T("   AUTRES, AVEC DISPOSITIF DE REFRIGERATION")</f>
        <v xml:space="preserve">   AUTRES, AVEC DISPOSITIF DE REFRIGERATION</v>
      </c>
      <c r="C2584" s="4">
        <v>128559</v>
      </c>
      <c r="D2584" s="4">
        <v>93243495</v>
      </c>
    </row>
    <row r="2585" spans="1:4" x14ac:dyDescent="0.25">
      <c r="A2585" t="str">
        <f>T("   841590")</f>
        <v xml:space="preserve">   841590</v>
      </c>
      <c r="B2585" t="str">
        <f>T("   PARTIES")</f>
        <v xml:space="preserve">   PARTIES</v>
      </c>
      <c r="C2585" s="4">
        <v>3520</v>
      </c>
      <c r="D2585" s="4">
        <v>2768103</v>
      </c>
    </row>
    <row r="2586" spans="1:4" x14ac:dyDescent="0.25">
      <c r="A2586" t="str">
        <f>T("   841620")</f>
        <v xml:space="preserve">   841620</v>
      </c>
      <c r="B2586" t="str">
        <f>T("   AUTRES BRULEURS, Y COMPRIS LES BRULEURS MIXTES")</f>
        <v xml:space="preserve">   AUTRES BRULEURS, Y COMPRIS LES BRULEURS MIXTES</v>
      </c>
      <c r="C2586" s="4">
        <v>25</v>
      </c>
      <c r="D2586" s="4">
        <v>376410</v>
      </c>
    </row>
    <row r="2587" spans="1:4" x14ac:dyDescent="0.25">
      <c r="A2587" t="str">
        <f>T("   841780")</f>
        <v xml:space="preserve">   841780</v>
      </c>
      <c r="B2587" t="str">
        <f>T("   AUTRES")</f>
        <v xml:space="preserve">   AUTRES</v>
      </c>
      <c r="C2587" s="4">
        <v>1708.7</v>
      </c>
      <c r="D2587" s="4">
        <v>2828452</v>
      </c>
    </row>
    <row r="2588" spans="1:4" x14ac:dyDescent="0.25">
      <c r="A2588" t="str">
        <f>T("   841810")</f>
        <v xml:space="preserve">   841810</v>
      </c>
      <c r="B2588" t="str">
        <f>T("   COMBINAISONS DE REFRIGERATEURS ET DE CONGELATEURSCONSERVATEURS MUNIS DE PORTES EXTER")</f>
        <v xml:space="preserve">   COMBINAISONS DE REFRIGERATEURS ET DE CONGELATEURSCONSERVATEURS MUNIS DE PORTES EXTER</v>
      </c>
      <c r="C2588" s="4">
        <v>28802</v>
      </c>
      <c r="D2588" s="4">
        <v>35178606</v>
      </c>
    </row>
    <row r="2589" spans="1:4" x14ac:dyDescent="0.25">
      <c r="A2589" t="str">
        <f>T("   841821")</f>
        <v xml:space="preserve">   841821</v>
      </c>
      <c r="B2589" t="str">
        <f>T("   A COMPRESSION")</f>
        <v xml:space="preserve">   A COMPRESSION</v>
      </c>
      <c r="C2589" s="4">
        <v>50615</v>
      </c>
      <c r="D2589" s="4">
        <v>61169138</v>
      </c>
    </row>
    <row r="2590" spans="1:4" x14ac:dyDescent="0.25">
      <c r="A2590" t="str">
        <f>T("   841829")</f>
        <v xml:space="preserve">   841829</v>
      </c>
      <c r="B2590" t="str">
        <f>T("   AUTRES")</f>
        <v xml:space="preserve">   AUTRES</v>
      </c>
      <c r="C2590" s="4">
        <v>153473</v>
      </c>
      <c r="D2590" s="4">
        <v>178599543</v>
      </c>
    </row>
    <row r="2591" spans="1:4" x14ac:dyDescent="0.25">
      <c r="A2591" t="str">
        <f>T("   841830")</f>
        <v xml:space="preserve">   841830</v>
      </c>
      <c r="B2591" t="str">
        <f>T("   MEUBLES CONGELATEURSCONSERVATEURS DU TYPE COFFRE, D'UNE CAPACITE N'EXCEDANT PAS 800 ")</f>
        <v xml:space="preserve">   MEUBLES CONGELATEURSCONSERVATEURS DU TYPE COFFRE, D'UNE CAPACITE N'EXCEDANT PAS 800 </v>
      </c>
      <c r="C2591" s="4">
        <v>38965</v>
      </c>
      <c r="D2591" s="4">
        <v>62458325</v>
      </c>
    </row>
    <row r="2592" spans="1:4" x14ac:dyDescent="0.25">
      <c r="A2592" t="str">
        <f>T("   841840")</f>
        <v xml:space="preserve">   841840</v>
      </c>
      <c r="B2592" t="str">
        <f>T("   MEUBLES CONGELATEURSCONSERVATEURS DU TYPE ARMOIRE, D'UNE CAPACITE N'EXCEDANT PAS 900")</f>
        <v xml:space="preserve">   MEUBLES CONGELATEURSCONSERVATEURS DU TYPE ARMOIRE, D'UNE CAPACITE N'EXCEDANT PAS 900</v>
      </c>
      <c r="C2592" s="4">
        <v>8921</v>
      </c>
      <c r="D2592" s="4">
        <v>13292018</v>
      </c>
    </row>
    <row r="2593" spans="1:4" x14ac:dyDescent="0.25">
      <c r="A2593" t="str">
        <f>T("   841850")</f>
        <v xml:space="preserve">   841850</v>
      </c>
      <c r="B2593" t="str">
        <f>T("   AUTRES MEUBLES (COFFRES, ARMOIRES, VITRINES, COMPTOIRS ET SIMILAIRES), POUR LA CONSER")</f>
        <v xml:space="preserve">   AUTRES MEUBLES (COFFRES, ARMOIRES, VITRINES, COMPTOIRS ET SIMILAIRES), POUR LA CONSER</v>
      </c>
      <c r="C2593" s="4">
        <v>72850</v>
      </c>
      <c r="D2593" s="4">
        <v>107265312</v>
      </c>
    </row>
    <row r="2594" spans="1:4" x14ac:dyDescent="0.25">
      <c r="A2594" t="str">
        <f>T("   841869")</f>
        <v xml:space="preserve">   841869</v>
      </c>
      <c r="B2594" t="str">
        <f>T("   AUTRES")</f>
        <v xml:space="preserve">   AUTRES</v>
      </c>
      <c r="C2594" s="4">
        <v>400</v>
      </c>
      <c r="D2594" s="4">
        <v>3410588</v>
      </c>
    </row>
    <row r="2595" spans="1:4" x14ac:dyDescent="0.25">
      <c r="A2595" t="str">
        <f>T("   841891")</f>
        <v xml:space="preserve">   841891</v>
      </c>
      <c r="B2595" t="str">
        <f>T("   Meubles concus pour recevoir un equipement pour la production du froid")</f>
        <v xml:space="preserve">   Meubles concus pour recevoir un equipement pour la production du froid</v>
      </c>
      <c r="C2595" s="4">
        <v>22356</v>
      </c>
      <c r="D2595" s="4">
        <v>4950600</v>
      </c>
    </row>
    <row r="2596" spans="1:4" x14ac:dyDescent="0.25">
      <c r="A2596" t="str">
        <f>T("   841899")</f>
        <v xml:space="preserve">   841899</v>
      </c>
      <c r="B2596" t="str">
        <f>T("   AUTRES")</f>
        <v xml:space="preserve">   AUTRES</v>
      </c>
      <c r="C2596" s="4">
        <v>1044</v>
      </c>
      <c r="D2596" s="4">
        <v>696290</v>
      </c>
    </row>
    <row r="2597" spans="1:4" x14ac:dyDescent="0.25">
      <c r="A2597" t="str">
        <f>T("   841919")</f>
        <v xml:space="preserve">   841919</v>
      </c>
      <c r="B2597" t="str">
        <f>T("   AUTRES")</f>
        <v xml:space="preserve">   AUTRES</v>
      </c>
      <c r="C2597" s="4">
        <v>8068</v>
      </c>
      <c r="D2597" s="4">
        <v>6554352</v>
      </c>
    </row>
    <row r="2598" spans="1:4" x14ac:dyDescent="0.25">
      <c r="A2598" t="str">
        <f>T("   841920")</f>
        <v xml:space="preserve">   841920</v>
      </c>
      <c r="B2598" t="str">
        <f>T("   STERILISATEURS MEDICOCHIRURGICAUX OU DE LABORATOIRES")</f>
        <v xml:space="preserve">   STERILISATEURS MEDICOCHIRURGICAUX OU DE LABORATOIRES</v>
      </c>
      <c r="C2598" s="4">
        <v>100</v>
      </c>
      <c r="D2598" s="4">
        <v>2006521</v>
      </c>
    </row>
    <row r="2599" spans="1:4" x14ac:dyDescent="0.25">
      <c r="A2599" t="str">
        <f>T("   841989")</f>
        <v xml:space="preserve">   841989</v>
      </c>
      <c r="B2599" t="str">
        <f>T("   AUTRES")</f>
        <v xml:space="preserve">   AUTRES</v>
      </c>
      <c r="C2599" s="4">
        <v>16148</v>
      </c>
      <c r="D2599" s="4">
        <v>24746560</v>
      </c>
    </row>
    <row r="2600" spans="1:4" x14ac:dyDescent="0.25">
      <c r="A2600" t="str">
        <f>T("   842119")</f>
        <v xml:space="preserve">   842119</v>
      </c>
      <c r="B2600" t="str">
        <f>T("   AUTRES")</f>
        <v xml:space="preserve">   AUTRES</v>
      </c>
      <c r="C2600" s="4">
        <v>50</v>
      </c>
      <c r="D2600" s="4">
        <v>643780</v>
      </c>
    </row>
    <row r="2601" spans="1:4" x14ac:dyDescent="0.25">
      <c r="A2601" t="str">
        <f>T("   842121")</f>
        <v xml:space="preserve">   842121</v>
      </c>
      <c r="B2601" t="str">
        <f>T("   POUR LA FILTRATION OU L'EPURATION DES EAUX")</f>
        <v xml:space="preserve">   POUR LA FILTRATION OU L'EPURATION DES EAUX</v>
      </c>
      <c r="C2601" s="4">
        <v>14981</v>
      </c>
      <c r="D2601" s="4">
        <v>7964345</v>
      </c>
    </row>
    <row r="2602" spans="1:4" x14ac:dyDescent="0.25">
      <c r="A2602" t="str">
        <f>T("   842129")</f>
        <v xml:space="preserve">   842129</v>
      </c>
      <c r="B2602" t="str">
        <f>T("   AUTRES")</f>
        <v xml:space="preserve">   AUTRES</v>
      </c>
      <c r="C2602" s="4">
        <v>103.7</v>
      </c>
      <c r="D2602" s="4">
        <v>101592</v>
      </c>
    </row>
    <row r="2603" spans="1:4" x14ac:dyDescent="0.25">
      <c r="A2603" t="str">
        <f>T("   842131")</f>
        <v xml:space="preserve">   842131</v>
      </c>
      <c r="B2603" t="str">
        <f>T("   FILTRES D'ENTREE D'AIR POUR MOTEURS A ALLUMAGE PAR ETINCELLES OU PAR COMPRESSION")</f>
        <v xml:space="preserve">   FILTRES D'ENTREE D'AIR POUR MOTEURS A ALLUMAGE PAR ETINCELLES OU PAR COMPRESSION</v>
      </c>
      <c r="C2603" s="4">
        <v>6515</v>
      </c>
      <c r="D2603" s="4">
        <v>13644328</v>
      </c>
    </row>
    <row r="2604" spans="1:4" x14ac:dyDescent="0.25">
      <c r="A2604" t="str">
        <f>T("   842139")</f>
        <v xml:space="preserve">   842139</v>
      </c>
      <c r="B2604" t="str">
        <f>T("   AUTRES")</f>
        <v xml:space="preserve">   AUTRES</v>
      </c>
      <c r="C2604" s="4">
        <v>695</v>
      </c>
      <c r="D2604" s="4">
        <v>6612060</v>
      </c>
    </row>
    <row r="2605" spans="1:4" x14ac:dyDescent="0.25">
      <c r="A2605" t="str">
        <f>T("   842211")</f>
        <v xml:space="preserve">   842211</v>
      </c>
      <c r="B2605" t="str">
        <f>T("   DE TYPE MENAGER")</f>
        <v xml:space="preserve">   DE TYPE MENAGER</v>
      </c>
      <c r="C2605" s="4">
        <v>1200</v>
      </c>
      <c r="D2605" s="4">
        <v>850000</v>
      </c>
    </row>
    <row r="2606" spans="1:4" x14ac:dyDescent="0.25">
      <c r="A2606" t="str">
        <f>T("   842219")</f>
        <v xml:space="preserve">   842219</v>
      </c>
      <c r="B2606" t="str">
        <f>T("   AUTRES")</f>
        <v xml:space="preserve">   AUTRES</v>
      </c>
      <c r="C2606" s="4">
        <v>71702</v>
      </c>
      <c r="D2606" s="4">
        <v>2715660</v>
      </c>
    </row>
    <row r="2607" spans="1:4" x14ac:dyDescent="0.25">
      <c r="A2607" t="str">
        <f>T("   842230")</f>
        <v xml:space="preserve">   842230</v>
      </c>
      <c r="B2607" t="str">
        <f>T("   MACHINES ET APPAREILS A REMPLIR, FERMER, BOUCHER OU ETIQUETER LES BOUTEILLES, BOITES,")</f>
        <v xml:space="preserve">   MACHINES ET APPAREILS A REMPLIR, FERMER, BOUCHER OU ETIQUETER LES BOUTEILLES, BOITES,</v>
      </c>
      <c r="C2607" s="4">
        <v>2604</v>
      </c>
      <c r="D2607" s="4">
        <v>5583406</v>
      </c>
    </row>
    <row r="2608" spans="1:4" x14ac:dyDescent="0.25">
      <c r="A2608" t="str">
        <f>T("   842240")</f>
        <v xml:space="preserve">   842240</v>
      </c>
      <c r="B2608" t="str">
        <f>T("   AUTRES MACHINES ET APPAREILS A EMPAQUETER OU A EMBALLER LES MARCHANDISES (Y COMPRIS L")</f>
        <v xml:space="preserve">   AUTRES MACHINES ET APPAREILS A EMPAQUETER OU A EMBALLER LES MARCHANDISES (Y COMPRIS L</v>
      </c>
      <c r="C2608" s="4">
        <v>698</v>
      </c>
      <c r="D2608" s="4">
        <v>2788449</v>
      </c>
    </row>
    <row r="2609" spans="1:4" x14ac:dyDescent="0.25">
      <c r="A2609" t="str">
        <f>T("   842290")</f>
        <v xml:space="preserve">   842290</v>
      </c>
      <c r="B2609" t="str">
        <f>T("   PARTIES")</f>
        <v xml:space="preserve">   PARTIES</v>
      </c>
      <c r="C2609" s="4">
        <v>2.8</v>
      </c>
      <c r="D2609" s="4">
        <v>262086</v>
      </c>
    </row>
    <row r="2610" spans="1:4" x14ac:dyDescent="0.25">
      <c r="A2610" t="str">
        <f>T("   842310")</f>
        <v xml:space="preserve">   842310</v>
      </c>
      <c r="B2610" t="str">
        <f>T("   PESEPERSONNES, Y COMPRIS LES PESEBEBES; BALANCES DE MENAGE")</f>
        <v xml:space="preserve">   PESEPERSONNES, Y COMPRIS LES PESEBEBES; BALANCES DE MENAGE</v>
      </c>
      <c r="C2610" s="4">
        <v>761</v>
      </c>
      <c r="D2610" s="4">
        <v>875785</v>
      </c>
    </row>
    <row r="2611" spans="1:4" x14ac:dyDescent="0.25">
      <c r="A2611" t="str">
        <f>T("   842320")</f>
        <v xml:space="preserve">   842320</v>
      </c>
      <c r="B2611" t="str">
        <f>T("   Bascules a pesage continu sur transporteurs")</f>
        <v xml:space="preserve">   Bascules a pesage continu sur transporteurs</v>
      </c>
      <c r="C2611" s="4">
        <v>11076</v>
      </c>
      <c r="D2611" s="4">
        <v>12711783</v>
      </c>
    </row>
    <row r="2612" spans="1:4" x14ac:dyDescent="0.25">
      <c r="A2612" t="str">
        <f>T("   842389")</f>
        <v xml:space="preserve">   842389</v>
      </c>
      <c r="B2612" t="str">
        <f>T("   AUTRES")</f>
        <v xml:space="preserve">   AUTRES</v>
      </c>
      <c r="C2612" s="4">
        <v>1913</v>
      </c>
      <c r="D2612" s="4">
        <v>938534</v>
      </c>
    </row>
    <row r="2613" spans="1:4" x14ac:dyDescent="0.25">
      <c r="A2613" t="str">
        <f>T("   842390")</f>
        <v xml:space="preserve">   842390</v>
      </c>
      <c r="B2613" t="str">
        <f>T("   POIDS POUR TOUTES BALANCES; PARTIES D'APPAREILS OU INSTRUMENTS DE PESAGE")</f>
        <v xml:space="preserve">   POIDS POUR TOUTES BALANCES; PARTIES D'APPAREILS OU INSTRUMENTS DE PESAGE</v>
      </c>
      <c r="C2613" s="4">
        <v>8190</v>
      </c>
      <c r="D2613" s="4">
        <v>3190327</v>
      </c>
    </row>
    <row r="2614" spans="1:4" x14ac:dyDescent="0.25">
      <c r="A2614" t="str">
        <f>T("   842410")</f>
        <v xml:space="preserve">   842410</v>
      </c>
      <c r="B2614" t="str">
        <f>T("   EXTINCTEURS, MEME CHARGES")</f>
        <v xml:space="preserve">   EXTINCTEURS, MEME CHARGES</v>
      </c>
      <c r="C2614" s="4">
        <v>2426</v>
      </c>
      <c r="D2614" s="4">
        <v>335084</v>
      </c>
    </row>
    <row r="2615" spans="1:4" x14ac:dyDescent="0.25">
      <c r="A2615" t="str">
        <f>T("   842481")</f>
        <v xml:space="preserve">   842481</v>
      </c>
      <c r="B2615" t="str">
        <f>T("   POUR L'AGRICULTURE OU L'HORTICULTURE")</f>
        <v xml:space="preserve">   POUR L'AGRICULTURE OU L'HORTICULTURE</v>
      </c>
      <c r="C2615" s="4">
        <v>35914.5</v>
      </c>
      <c r="D2615" s="4">
        <v>49396051</v>
      </c>
    </row>
    <row r="2616" spans="1:4" x14ac:dyDescent="0.25">
      <c r="A2616" t="str">
        <f>T("   842549")</f>
        <v xml:space="preserve">   842549</v>
      </c>
      <c r="B2616" t="str">
        <f>T("   AUTRES")</f>
        <v xml:space="preserve">   AUTRES</v>
      </c>
      <c r="C2616" s="4">
        <v>5050</v>
      </c>
      <c r="D2616" s="4">
        <v>8200000</v>
      </c>
    </row>
    <row r="2617" spans="1:4" x14ac:dyDescent="0.25">
      <c r="A2617" t="str">
        <f>T("   842619")</f>
        <v xml:space="preserve">   842619</v>
      </c>
      <c r="B2617" t="str">
        <f>T("   AUTRES")</f>
        <v xml:space="preserve">   AUTRES</v>
      </c>
      <c r="C2617" s="4">
        <v>3800</v>
      </c>
      <c r="D2617" s="4">
        <v>13844522</v>
      </c>
    </row>
    <row r="2618" spans="1:4" x14ac:dyDescent="0.25">
      <c r="A2618" t="str">
        <f>T("   842620")</f>
        <v xml:space="preserve">   842620</v>
      </c>
      <c r="B2618" t="str">
        <f>T("   Grues a tour")</f>
        <v xml:space="preserve">   Grues a tour</v>
      </c>
      <c r="C2618" s="4">
        <v>32400</v>
      </c>
      <c r="D2618" s="4">
        <v>28877968</v>
      </c>
    </row>
    <row r="2619" spans="1:4" x14ac:dyDescent="0.25">
      <c r="A2619" t="str">
        <f>T("   842649")</f>
        <v xml:space="preserve">   842649</v>
      </c>
      <c r="B2619" t="str">
        <f>T("   AUTRES")</f>
        <v xml:space="preserve">   AUTRES</v>
      </c>
      <c r="C2619" s="4">
        <v>113600</v>
      </c>
      <c r="D2619" s="4">
        <v>201467618</v>
      </c>
    </row>
    <row r="2620" spans="1:4" x14ac:dyDescent="0.25">
      <c r="A2620" t="str">
        <f>T("   842699")</f>
        <v xml:space="preserve">   842699</v>
      </c>
      <c r="B2620" t="str">
        <f>T("   AUTRES")</f>
        <v xml:space="preserve">   AUTRES</v>
      </c>
      <c r="C2620" s="4">
        <v>57400</v>
      </c>
      <c r="D2620" s="4">
        <v>171007961</v>
      </c>
    </row>
    <row r="2621" spans="1:4" x14ac:dyDescent="0.25">
      <c r="A2621" t="str">
        <f>T("   842790")</f>
        <v xml:space="preserve">   842790</v>
      </c>
      <c r="B2621" t="str">
        <f>T("   AUTRES CHARIOTS")</f>
        <v xml:space="preserve">   AUTRES CHARIOTS</v>
      </c>
      <c r="C2621" s="4">
        <v>8832</v>
      </c>
      <c r="D2621" s="4">
        <v>2935828</v>
      </c>
    </row>
    <row r="2622" spans="1:4" x14ac:dyDescent="0.25">
      <c r="A2622" t="str">
        <f>T("   842833")</f>
        <v xml:space="preserve">   842833</v>
      </c>
      <c r="B2622" t="str">
        <f>T("   AUTRES, A BANDE OU A COURROIE")</f>
        <v xml:space="preserve">   AUTRES, A BANDE OU A COURROIE</v>
      </c>
      <c r="C2622" s="4">
        <v>2000</v>
      </c>
      <c r="D2622" s="4">
        <v>1244740</v>
      </c>
    </row>
    <row r="2623" spans="1:4" x14ac:dyDescent="0.25">
      <c r="A2623" t="str">
        <f>T("   842839")</f>
        <v xml:space="preserve">   842839</v>
      </c>
      <c r="B2623" t="str">
        <f>T("   AUTRES")</f>
        <v xml:space="preserve">   AUTRES</v>
      </c>
      <c r="C2623" s="4">
        <v>1634</v>
      </c>
      <c r="D2623" s="4">
        <v>6487530</v>
      </c>
    </row>
    <row r="2624" spans="1:4" x14ac:dyDescent="0.25">
      <c r="A2624" t="str">
        <f>T("   842890")</f>
        <v xml:space="preserve">   842890</v>
      </c>
      <c r="B2624" t="str">
        <f>T("   AUTRES MACHINES ET APPAREILS")</f>
        <v xml:space="preserve">   AUTRES MACHINES ET APPAREILS</v>
      </c>
      <c r="C2624" s="4">
        <v>27030</v>
      </c>
      <c r="D2624" s="4">
        <v>100077096</v>
      </c>
    </row>
    <row r="2625" spans="1:4" x14ac:dyDescent="0.25">
      <c r="A2625" t="str">
        <f>T("   842911")</f>
        <v xml:space="preserve">   842911</v>
      </c>
      <c r="B2625" t="str">
        <f>T("   A CHENILLES")</f>
        <v xml:space="preserve">   A CHENILLES</v>
      </c>
      <c r="C2625" s="4">
        <v>25476</v>
      </c>
      <c r="D2625" s="4">
        <v>29790611</v>
      </c>
    </row>
    <row r="2626" spans="1:4" x14ac:dyDescent="0.25">
      <c r="A2626" t="str">
        <f>T("   842919")</f>
        <v xml:space="preserve">   842919</v>
      </c>
      <c r="B2626" t="str">
        <f>T("   AUTRES")</f>
        <v xml:space="preserve">   AUTRES</v>
      </c>
      <c r="C2626" s="4">
        <v>26770</v>
      </c>
      <c r="D2626" s="4">
        <v>19849456</v>
      </c>
    </row>
    <row r="2627" spans="1:4" x14ac:dyDescent="0.25">
      <c r="A2627" t="str">
        <f>T("   842920")</f>
        <v xml:space="preserve">   842920</v>
      </c>
      <c r="B2627" t="str">
        <f>T("   NIVELEUSES")</f>
        <v xml:space="preserve">   NIVELEUSES</v>
      </c>
      <c r="C2627" s="4">
        <v>151400</v>
      </c>
      <c r="D2627" s="4">
        <v>460772874</v>
      </c>
    </row>
    <row r="2628" spans="1:4" x14ac:dyDescent="0.25">
      <c r="A2628" t="str">
        <f>T("   842940")</f>
        <v xml:space="preserve">   842940</v>
      </c>
      <c r="B2628" t="str">
        <f>T("   COMPACTEUSES ET ROULEAUX COMPRESSEURS")</f>
        <v xml:space="preserve">   COMPACTEUSES ET ROULEAUX COMPRESSEURS</v>
      </c>
      <c r="C2628" s="4">
        <v>93046</v>
      </c>
      <c r="D2628" s="4">
        <v>70688395</v>
      </c>
    </row>
    <row r="2629" spans="1:4" x14ac:dyDescent="0.25">
      <c r="A2629" t="str">
        <f>T("   842951")</f>
        <v xml:space="preserve">   842951</v>
      </c>
      <c r="B2629" t="str">
        <f>T("   CHARGEUSES ET CHARGEUSESPELLETEUSES A CHARGEMENT FRONTAL")</f>
        <v xml:space="preserve">   CHARGEUSES ET CHARGEUSESPELLETEUSES A CHARGEMENT FRONTAL</v>
      </c>
      <c r="C2629" s="4">
        <v>134131</v>
      </c>
      <c r="D2629" s="4">
        <v>152830968</v>
      </c>
    </row>
    <row r="2630" spans="1:4" x14ac:dyDescent="0.25">
      <c r="A2630" t="str">
        <f>T("   842959")</f>
        <v xml:space="preserve">   842959</v>
      </c>
      <c r="B2630" t="str">
        <f>T("   AUTRES")</f>
        <v xml:space="preserve">   AUTRES</v>
      </c>
      <c r="C2630" s="4">
        <v>7250</v>
      </c>
      <c r="D2630" s="4">
        <v>36683050</v>
      </c>
    </row>
    <row r="2631" spans="1:4" x14ac:dyDescent="0.25">
      <c r="A2631" t="str">
        <f>T("   843049")</f>
        <v xml:space="preserve">   843049</v>
      </c>
      <c r="B2631" t="str">
        <f>T("   AUTRES")</f>
        <v xml:space="preserve">   AUTRES</v>
      </c>
      <c r="C2631" s="4">
        <v>64070</v>
      </c>
      <c r="D2631" s="4">
        <v>89344263</v>
      </c>
    </row>
    <row r="2632" spans="1:4" x14ac:dyDescent="0.25">
      <c r="A2632" t="str">
        <f>T("   843131")</f>
        <v xml:space="preserve">   843131</v>
      </c>
      <c r="B2632" t="str">
        <f>T("   D'ASCENSEURS, MONTECHARGE OU ESCALIERS MECANIQUES")</f>
        <v xml:space="preserve">   D'ASCENSEURS, MONTECHARGE OU ESCALIERS MECANIQUES</v>
      </c>
      <c r="C2632" s="4">
        <v>183</v>
      </c>
      <c r="D2632" s="4">
        <v>3844563</v>
      </c>
    </row>
    <row r="2633" spans="1:4" x14ac:dyDescent="0.25">
      <c r="A2633" t="str">
        <f>T("   843139")</f>
        <v xml:space="preserve">   843139</v>
      </c>
      <c r="B2633" t="str">
        <f>T("   AUTRES")</f>
        <v xml:space="preserve">   AUTRES</v>
      </c>
      <c r="C2633" s="4">
        <v>58059</v>
      </c>
      <c r="D2633" s="4">
        <v>54707729</v>
      </c>
    </row>
    <row r="2634" spans="1:4" x14ac:dyDescent="0.25">
      <c r="A2634" t="str">
        <f>T("   843141")</f>
        <v xml:space="preserve">   843141</v>
      </c>
      <c r="B2634" t="str">
        <f>T("   GODETS, BENNES, BENNESPRENEUSES, PELLES, GRAPPINS ET PINCES")</f>
        <v xml:space="preserve">   GODETS, BENNES, BENNESPRENEUSES, PELLES, GRAPPINS ET PINCES</v>
      </c>
      <c r="C2634" s="4">
        <v>3000</v>
      </c>
      <c r="D2634" s="4">
        <v>400000</v>
      </c>
    </row>
    <row r="2635" spans="1:4" x14ac:dyDescent="0.25">
      <c r="A2635" t="str">
        <f>T("   843142")</f>
        <v xml:space="preserve">   843142</v>
      </c>
      <c r="B2635" t="str">
        <f>T("   LAMES DE BOUTEURS (BULLDOZERS) OU DE BOUTEURS BIAIS (ANGLEDOZERS)")</f>
        <v xml:space="preserve">   LAMES DE BOUTEURS (BULLDOZERS) OU DE BOUTEURS BIAIS (ANGLEDOZERS)</v>
      </c>
      <c r="C2635" s="4">
        <v>216</v>
      </c>
      <c r="D2635" s="4">
        <v>199158</v>
      </c>
    </row>
    <row r="2636" spans="1:4" x14ac:dyDescent="0.25">
      <c r="A2636" t="str">
        <f>T("   843143")</f>
        <v xml:space="preserve">   843143</v>
      </c>
      <c r="B2636" t="str">
        <f>T("   PARTIES DE MACHINES DE SONDAGE OU DE FORAGE DES N°S 8430.41 OU 8430.49")</f>
        <v xml:space="preserve">   PARTIES DE MACHINES DE SONDAGE OU DE FORAGE DES N°S 8430.41 OU 8430.49</v>
      </c>
      <c r="C2636" s="4">
        <v>1720</v>
      </c>
      <c r="D2636" s="4">
        <v>9639267</v>
      </c>
    </row>
    <row r="2637" spans="1:4" x14ac:dyDescent="0.25">
      <c r="A2637" t="str">
        <f>T("   843149")</f>
        <v xml:space="preserve">   843149</v>
      </c>
      <c r="B2637" t="str">
        <f>T("   AUTRES")</f>
        <v xml:space="preserve">   AUTRES</v>
      </c>
      <c r="C2637" s="4">
        <v>158531.6</v>
      </c>
      <c r="D2637" s="4">
        <v>345075761</v>
      </c>
    </row>
    <row r="2638" spans="1:4" x14ac:dyDescent="0.25">
      <c r="A2638" t="str">
        <f>T("   843210")</f>
        <v xml:space="preserve">   843210</v>
      </c>
      <c r="B2638" t="str">
        <f>T("   Charrues")</f>
        <v xml:space="preserve">   Charrues</v>
      </c>
      <c r="C2638" s="4">
        <v>21000</v>
      </c>
      <c r="D2638" s="4">
        <v>2000000</v>
      </c>
    </row>
    <row r="2639" spans="1:4" x14ac:dyDescent="0.25">
      <c r="A2639" t="str">
        <f>T("   843230")</f>
        <v xml:space="preserve">   843230</v>
      </c>
      <c r="B2639" t="str">
        <f>T("   Semoirs, plantoirs et repiqueurs")</f>
        <v xml:space="preserve">   Semoirs, plantoirs et repiqueurs</v>
      </c>
      <c r="C2639" s="4">
        <v>10170</v>
      </c>
      <c r="D2639" s="4">
        <v>8293454</v>
      </c>
    </row>
    <row r="2640" spans="1:4" x14ac:dyDescent="0.25">
      <c r="A2640" t="str">
        <f>T("   843280")</f>
        <v xml:space="preserve">   843280</v>
      </c>
      <c r="B2640" t="str">
        <f>T("   AUTRES MACHINES, APPAREILS ET ENGINS")</f>
        <v xml:space="preserve">   AUTRES MACHINES, APPAREILS ET ENGINS</v>
      </c>
      <c r="C2640" s="4">
        <v>8041</v>
      </c>
      <c r="D2640" s="4">
        <v>34020735</v>
      </c>
    </row>
    <row r="2641" spans="1:4" x14ac:dyDescent="0.25">
      <c r="A2641" t="str">
        <f>T("   843311")</f>
        <v xml:space="preserve">   843311</v>
      </c>
      <c r="B2641" t="str">
        <f>T("   A MOTEUR, DONT LE DISPOSITIF DE COUPE TOURNE DANS UN PLAN HORIZONTAL")</f>
        <v xml:space="preserve">   A MOTEUR, DONT LE DISPOSITIF DE COUPE TOURNE DANS UN PLAN HORIZONTAL</v>
      </c>
      <c r="C2641" s="4">
        <v>767</v>
      </c>
      <c r="D2641" s="4">
        <v>1283169</v>
      </c>
    </row>
    <row r="2642" spans="1:4" x14ac:dyDescent="0.25">
      <c r="A2642" t="str">
        <f>T("   843359")</f>
        <v xml:space="preserve">   843359</v>
      </c>
      <c r="B2642" t="str">
        <f>T("   AUTRES")</f>
        <v xml:space="preserve">   AUTRES</v>
      </c>
      <c r="C2642" s="4">
        <v>1200</v>
      </c>
      <c r="D2642" s="4">
        <v>6699875</v>
      </c>
    </row>
    <row r="2643" spans="1:4" x14ac:dyDescent="0.25">
      <c r="A2643" t="str">
        <f>T("   843621")</f>
        <v xml:space="preserve">   843621</v>
      </c>
      <c r="B2643" t="str">
        <f>T("   Couveuses et eleveuses")</f>
        <v xml:space="preserve">   Couveuses et eleveuses</v>
      </c>
      <c r="C2643" s="4">
        <v>10000</v>
      </c>
      <c r="D2643" s="4">
        <v>5311555</v>
      </c>
    </row>
    <row r="2644" spans="1:4" x14ac:dyDescent="0.25">
      <c r="A2644" t="str">
        <f>T("   843680")</f>
        <v xml:space="preserve">   843680</v>
      </c>
      <c r="B2644" t="str">
        <f>T("   AUTRES MACHINES ET APPAREILS")</f>
        <v xml:space="preserve">   AUTRES MACHINES ET APPAREILS</v>
      </c>
      <c r="C2644" s="4">
        <v>26495</v>
      </c>
      <c r="D2644" s="4">
        <v>119085272</v>
      </c>
    </row>
    <row r="2645" spans="1:4" x14ac:dyDescent="0.25">
      <c r="A2645" t="str">
        <f>T("   843699")</f>
        <v xml:space="preserve">   843699</v>
      </c>
      <c r="B2645" t="str">
        <f>T("   AUTRES")</f>
        <v xml:space="preserve">   AUTRES</v>
      </c>
      <c r="C2645" s="4">
        <v>33751</v>
      </c>
      <c r="D2645" s="4">
        <v>30612142</v>
      </c>
    </row>
    <row r="2646" spans="1:4" x14ac:dyDescent="0.25">
      <c r="A2646" t="str">
        <f>T("   843780")</f>
        <v xml:space="preserve">   843780</v>
      </c>
      <c r="B2646" t="str">
        <f>T("   AUTRES MACHINES ET APPAREILS")</f>
        <v xml:space="preserve">   AUTRES MACHINES ET APPAREILS</v>
      </c>
      <c r="C2646" s="4">
        <v>6984</v>
      </c>
      <c r="D2646" s="4">
        <v>5621744</v>
      </c>
    </row>
    <row r="2647" spans="1:4" x14ac:dyDescent="0.25">
      <c r="A2647" t="str">
        <f>T("   843880")</f>
        <v xml:space="preserve">   843880</v>
      </c>
      <c r="B2647" t="str">
        <f>T("   AUTRES MACHINES ET APPAREILS")</f>
        <v xml:space="preserve">   AUTRES MACHINES ET APPAREILS</v>
      </c>
      <c r="C2647" s="4">
        <v>334468</v>
      </c>
      <c r="D2647" s="4">
        <v>203102234</v>
      </c>
    </row>
    <row r="2648" spans="1:4" x14ac:dyDescent="0.25">
      <c r="A2648" t="str">
        <f>T("   843890")</f>
        <v xml:space="preserve">   843890</v>
      </c>
      <c r="B2648" t="str">
        <f>T("   PARTIES")</f>
        <v xml:space="preserve">   PARTIES</v>
      </c>
      <c r="C2648" s="4">
        <v>112509</v>
      </c>
      <c r="D2648" s="4">
        <v>735403832</v>
      </c>
    </row>
    <row r="2649" spans="1:4" x14ac:dyDescent="0.25">
      <c r="A2649" t="str">
        <f>T("   844010")</f>
        <v xml:space="preserve">   844010</v>
      </c>
      <c r="B2649" t="str">
        <f>T("   MACHINES ET APPAREILS")</f>
        <v xml:space="preserve">   MACHINES ET APPAREILS</v>
      </c>
      <c r="C2649" s="4">
        <v>8615</v>
      </c>
      <c r="D2649" s="4">
        <v>9394598</v>
      </c>
    </row>
    <row r="2650" spans="1:4" x14ac:dyDescent="0.25">
      <c r="A2650" t="str">
        <f>T("   844110")</f>
        <v xml:space="preserve">   844110</v>
      </c>
      <c r="B2650" t="str">
        <f>T("   COUPEUSES")</f>
        <v xml:space="preserve">   COUPEUSES</v>
      </c>
      <c r="C2650" s="4">
        <v>100</v>
      </c>
      <c r="D2650" s="4">
        <v>179052</v>
      </c>
    </row>
    <row r="2651" spans="1:4" x14ac:dyDescent="0.25">
      <c r="A2651" t="str">
        <f>T("   844180")</f>
        <v xml:space="preserve">   844180</v>
      </c>
      <c r="B2651" t="str">
        <f>T("   AUTRES MACHINES ET APPAREILS")</f>
        <v xml:space="preserve">   AUTRES MACHINES ET APPAREILS</v>
      </c>
      <c r="C2651" s="4">
        <v>66725</v>
      </c>
      <c r="D2651" s="4">
        <v>65159945</v>
      </c>
    </row>
    <row r="2652" spans="1:4" x14ac:dyDescent="0.25">
      <c r="A2652" t="str">
        <f>T("   844230")</f>
        <v xml:space="preserve">   844230</v>
      </c>
      <c r="B2652" t="str">
        <f>T("   MACHINES, APPAREILS ET MATERIEL")</f>
        <v xml:space="preserve">   MACHINES, APPAREILS ET MATERIEL</v>
      </c>
      <c r="C2652" s="4">
        <v>2142</v>
      </c>
      <c r="D2652" s="4">
        <v>10032604</v>
      </c>
    </row>
    <row r="2653" spans="1:4" x14ac:dyDescent="0.25">
      <c r="A2653" t="str">
        <f>T("   844250")</f>
        <v xml:space="preserve">   844250</v>
      </c>
      <c r="B2653" t="str">
        <f>T("   CLICHES, PLANCHES, CYLINDRES ET AUTRES ORGANES IMPRIMANTS; PIERRES LITHOGRAPHIQUES, P")</f>
        <v xml:space="preserve">   CLICHES, PLANCHES, CYLINDRES ET AUTRES ORGANES IMPRIMANTS; PIERRES LITHOGRAPHIQUES, P</v>
      </c>
      <c r="C2653" s="4">
        <v>294</v>
      </c>
      <c r="D2653" s="4">
        <v>287865</v>
      </c>
    </row>
    <row r="2654" spans="1:4" x14ac:dyDescent="0.25">
      <c r="A2654" t="str">
        <f>T("   844319")</f>
        <v xml:space="preserve">   844319</v>
      </c>
      <c r="B2654" t="str">
        <f>T("   AUTRES")</f>
        <v xml:space="preserve">   AUTRES</v>
      </c>
      <c r="C2654" s="4">
        <v>29000</v>
      </c>
      <c r="D2654" s="4">
        <v>27184411</v>
      </c>
    </row>
    <row r="2655" spans="1:4" x14ac:dyDescent="0.25">
      <c r="A2655" t="str">
        <f>T("   844332")</f>
        <v xml:space="preserve">   844332</v>
      </c>
      <c r="B2655" t="str">
        <f>T("   AUTRES, APTES A ETRE CONNECTEES A UNE MACHINE AUTOMATIQUE DE TRAITEMENT DE L’INFORMA")</f>
        <v xml:space="preserve">   AUTRES, APTES A ETRE CONNECTEES A UNE MACHINE AUTOMATIQUE DE TRAITEMENT DE L’INFORMA</v>
      </c>
      <c r="C2655" s="4">
        <v>5950</v>
      </c>
      <c r="D2655" s="4">
        <v>14106141</v>
      </c>
    </row>
    <row r="2656" spans="1:4" x14ac:dyDescent="0.25">
      <c r="A2656" t="str">
        <f>T("   844391")</f>
        <v xml:space="preserve">   844391</v>
      </c>
      <c r="B2656" t="str">
        <f>T("   PARTIES ET ACCESSOIRES DE MACHINES ET D’APPAREILS SERVANT A L’IMPRESSION AU MOYEN DE")</f>
        <v xml:space="preserve">   PARTIES ET ACCESSOIRES DE MACHINES ET D’APPAREILS SERVANT A L’IMPRESSION AU MOYEN DE</v>
      </c>
      <c r="C2656" s="4">
        <v>10242</v>
      </c>
      <c r="D2656" s="4">
        <v>6693245</v>
      </c>
    </row>
    <row r="2657" spans="1:4" x14ac:dyDescent="0.25">
      <c r="A2657" t="str">
        <f>T("   844399")</f>
        <v xml:space="preserve">   844399</v>
      </c>
      <c r="B2657" t="str">
        <f>T("   AUTRES")</f>
        <v xml:space="preserve">   AUTRES</v>
      </c>
      <c r="C2657" s="4">
        <v>63</v>
      </c>
      <c r="D2657" s="4">
        <v>2673217</v>
      </c>
    </row>
    <row r="2658" spans="1:4" x14ac:dyDescent="0.25">
      <c r="A2658" t="str">
        <f>T("   844820")</f>
        <v xml:space="preserve">   844820</v>
      </c>
      <c r="B2658" t="str">
        <f>T("   PARTIES ET ACCESSOIRES DES MACHINES DU N° 84.44 OU DE LEURS MACHINES OU APPAREILS AUX")</f>
        <v xml:space="preserve">   PARTIES ET ACCESSOIRES DES MACHINES DU N° 84.44 OU DE LEURS MACHINES OU APPAREILS AUX</v>
      </c>
      <c r="C2658" s="4">
        <v>62053</v>
      </c>
      <c r="D2658" s="4">
        <v>54238300</v>
      </c>
    </row>
    <row r="2659" spans="1:4" x14ac:dyDescent="0.25">
      <c r="A2659" t="str">
        <f>T("   844839")</f>
        <v xml:space="preserve">   844839</v>
      </c>
      <c r="B2659" t="str">
        <f>T("   AUTRES")</f>
        <v xml:space="preserve">   AUTRES</v>
      </c>
      <c r="C2659" s="4">
        <v>14603</v>
      </c>
      <c r="D2659" s="4">
        <v>18619618</v>
      </c>
    </row>
    <row r="2660" spans="1:4" x14ac:dyDescent="0.25">
      <c r="A2660" t="str">
        <f>T("   845019")</f>
        <v xml:space="preserve">   845019</v>
      </c>
      <c r="B2660" t="str">
        <f>T("   AUTRES")</f>
        <v xml:space="preserve">   AUTRES</v>
      </c>
      <c r="C2660" s="4">
        <v>24506</v>
      </c>
      <c r="D2660" s="4">
        <v>21825551</v>
      </c>
    </row>
    <row r="2661" spans="1:4" x14ac:dyDescent="0.25">
      <c r="A2661" t="str">
        <f>T("   845180")</f>
        <v xml:space="preserve">   845180</v>
      </c>
      <c r="B2661" t="str">
        <f>T("   AUTRES MACHINES ET APPAREILS")</f>
        <v xml:space="preserve">   AUTRES MACHINES ET APPAREILS</v>
      </c>
      <c r="C2661" s="4">
        <v>10100</v>
      </c>
      <c r="D2661" s="4">
        <v>59888425</v>
      </c>
    </row>
    <row r="2662" spans="1:4" x14ac:dyDescent="0.25">
      <c r="A2662" t="str">
        <f>T("   845210")</f>
        <v xml:space="preserve">   845210</v>
      </c>
      <c r="B2662" t="str">
        <f>T("   Machines a coudre de type menager")</f>
        <v xml:space="preserve">   Machines a coudre de type menager</v>
      </c>
      <c r="C2662" s="4">
        <v>433368</v>
      </c>
      <c r="D2662" s="4">
        <v>268471972</v>
      </c>
    </row>
    <row r="2663" spans="1:4" x14ac:dyDescent="0.25">
      <c r="A2663" t="str">
        <f>T("   845229")</f>
        <v xml:space="preserve">   845229</v>
      </c>
      <c r="B2663" t="str">
        <f>T("   AUTRES")</f>
        <v xml:space="preserve">   AUTRES</v>
      </c>
      <c r="C2663" s="4">
        <v>81748</v>
      </c>
      <c r="D2663" s="4">
        <v>79740539</v>
      </c>
    </row>
    <row r="2664" spans="1:4" x14ac:dyDescent="0.25">
      <c r="A2664" t="str">
        <f>T("   845290")</f>
        <v xml:space="preserve">   845290</v>
      </c>
      <c r="B2664" t="str">
        <f>T("   MEUBLES, EMBASES ET COUVERCLES POUR MACHINES A COUDRE ET LEURS PARTIES; AUTRES PARTIE")</f>
        <v xml:space="preserve">   MEUBLES, EMBASES ET COUVERCLES POUR MACHINES A COUDRE ET LEURS PARTIES; AUTRES PARTIE</v>
      </c>
      <c r="C2664" s="4">
        <v>152</v>
      </c>
      <c r="D2664" s="4">
        <v>25761</v>
      </c>
    </row>
    <row r="2665" spans="1:4" x14ac:dyDescent="0.25">
      <c r="A2665" t="str">
        <f>T("   846150")</f>
        <v xml:space="preserve">   846150</v>
      </c>
      <c r="B2665" t="str">
        <f>T("   MACHINES A SCIER OU A TRONCONNER")</f>
        <v xml:space="preserve">   MACHINES A SCIER OU A TRONCONNER</v>
      </c>
      <c r="C2665" s="4">
        <v>1683</v>
      </c>
      <c r="D2665" s="4">
        <v>1790771</v>
      </c>
    </row>
    <row r="2666" spans="1:4" x14ac:dyDescent="0.25">
      <c r="A2666" t="str">
        <f>T("   846210")</f>
        <v xml:space="preserve">   846210</v>
      </c>
      <c r="B2666" t="str">
        <f>T("   MACHINES (Y COMPRIS LES PRESSES) A FORGER OU A ESTAMPER, MOUTONS, MARTEAUXPILONS ET")</f>
        <v xml:space="preserve">   MACHINES (Y COMPRIS LES PRESSES) A FORGER OU A ESTAMPER, MOUTONS, MARTEAUXPILONS ET</v>
      </c>
      <c r="C2666" s="4">
        <v>12600</v>
      </c>
      <c r="D2666" s="4">
        <v>12434903</v>
      </c>
    </row>
    <row r="2667" spans="1:4" x14ac:dyDescent="0.25">
      <c r="A2667" t="str">
        <f>T("   846410")</f>
        <v xml:space="preserve">   846410</v>
      </c>
      <c r="B2667" t="str">
        <f>T("   MACHINES A SCIER")</f>
        <v xml:space="preserve">   MACHINES A SCIER</v>
      </c>
      <c r="C2667" s="4">
        <v>8000</v>
      </c>
      <c r="D2667" s="4">
        <v>8394527</v>
      </c>
    </row>
    <row r="2668" spans="1:4" x14ac:dyDescent="0.25">
      <c r="A2668" t="str">
        <f>T("   846490")</f>
        <v xml:space="preserve">   846490</v>
      </c>
      <c r="B2668" t="str">
        <f>T("   AUTRES")</f>
        <v xml:space="preserve">   AUTRES</v>
      </c>
      <c r="C2668" s="4">
        <v>5419</v>
      </c>
      <c r="D2668" s="4">
        <v>2155890</v>
      </c>
    </row>
    <row r="2669" spans="1:4" x14ac:dyDescent="0.25">
      <c r="A2669" t="str">
        <f>T("   846591")</f>
        <v xml:space="preserve">   846591</v>
      </c>
      <c r="B2669" t="str">
        <f>T("   MACHINES A SCIER")</f>
        <v xml:space="preserve">   MACHINES A SCIER</v>
      </c>
      <c r="C2669" s="4">
        <v>41567</v>
      </c>
      <c r="D2669" s="4">
        <v>32418413</v>
      </c>
    </row>
    <row r="2670" spans="1:4" x14ac:dyDescent="0.25">
      <c r="A2670" t="str">
        <f>T("   846599")</f>
        <v xml:space="preserve">   846599</v>
      </c>
      <c r="B2670" t="str">
        <f>T("   AUTRES")</f>
        <v xml:space="preserve">   AUTRES</v>
      </c>
      <c r="C2670" s="4">
        <v>40290</v>
      </c>
      <c r="D2670" s="4">
        <v>31791656</v>
      </c>
    </row>
    <row r="2671" spans="1:4" x14ac:dyDescent="0.25">
      <c r="A2671" t="str">
        <f>T("   846691")</f>
        <v xml:space="preserve">   846691</v>
      </c>
      <c r="B2671" t="str">
        <f>T("   POUR MACHINES DU N° 84.64")</f>
        <v xml:space="preserve">   POUR MACHINES DU N° 84.64</v>
      </c>
      <c r="C2671" s="4">
        <v>149353</v>
      </c>
      <c r="D2671" s="4">
        <v>91143846</v>
      </c>
    </row>
    <row r="2672" spans="1:4" x14ac:dyDescent="0.25">
      <c r="A2672" t="str">
        <f>T("   846692")</f>
        <v xml:space="preserve">   846692</v>
      </c>
      <c r="B2672" t="str">
        <f>T("   POUR MACHINES DU N° 84.65")</f>
        <v xml:space="preserve">   POUR MACHINES DU N° 84.65</v>
      </c>
      <c r="C2672" s="4">
        <v>10000</v>
      </c>
      <c r="D2672" s="4">
        <v>6507501</v>
      </c>
    </row>
    <row r="2673" spans="1:4" x14ac:dyDescent="0.25">
      <c r="A2673" t="str">
        <f>T("   846693")</f>
        <v xml:space="preserve">   846693</v>
      </c>
      <c r="B2673" t="str">
        <f>T("   POUR MACHINES DES N°S 84.56 A 84.61")</f>
        <v xml:space="preserve">   POUR MACHINES DES N°S 84.56 A 84.61</v>
      </c>
      <c r="C2673" s="4">
        <v>20095</v>
      </c>
      <c r="D2673" s="4">
        <v>15035115</v>
      </c>
    </row>
    <row r="2674" spans="1:4" x14ac:dyDescent="0.25">
      <c r="A2674" t="str">
        <f>T("   846719")</f>
        <v xml:space="preserve">   846719</v>
      </c>
      <c r="B2674" t="str">
        <f>T("   AUTRES")</f>
        <v xml:space="preserve">   AUTRES</v>
      </c>
      <c r="C2674" s="4">
        <v>38.9</v>
      </c>
      <c r="D2674" s="4">
        <v>74684</v>
      </c>
    </row>
    <row r="2675" spans="1:4" x14ac:dyDescent="0.25">
      <c r="A2675" t="str">
        <f>T("   846722")</f>
        <v xml:space="preserve">   846722</v>
      </c>
      <c r="B2675" t="str">
        <f>T("   SCIES ET TRONCONNEUSES")</f>
        <v xml:space="preserve">   SCIES ET TRONCONNEUSES</v>
      </c>
      <c r="C2675" s="4">
        <v>58</v>
      </c>
      <c r="D2675" s="4">
        <v>83373</v>
      </c>
    </row>
    <row r="2676" spans="1:4" x14ac:dyDescent="0.25">
      <c r="A2676" t="str">
        <f>T("   846729")</f>
        <v xml:space="preserve">   846729</v>
      </c>
      <c r="B2676" t="str">
        <f>T("   AUTRES")</f>
        <v xml:space="preserve">   AUTRES</v>
      </c>
      <c r="C2676" s="4">
        <v>100</v>
      </c>
      <c r="D2676" s="4">
        <v>41824</v>
      </c>
    </row>
    <row r="2677" spans="1:4" x14ac:dyDescent="0.25">
      <c r="A2677" t="str">
        <f>T("   846781")</f>
        <v xml:space="preserve">   846781</v>
      </c>
      <c r="B2677" t="str">
        <f>T("   TRONCONNEUSES A CHAINE")</f>
        <v xml:space="preserve">   TRONCONNEUSES A CHAINE</v>
      </c>
      <c r="C2677" s="4">
        <v>180</v>
      </c>
      <c r="D2677" s="4">
        <v>300486</v>
      </c>
    </row>
    <row r="2678" spans="1:4" x14ac:dyDescent="0.25">
      <c r="A2678" t="str">
        <f>T("   846789")</f>
        <v xml:space="preserve">   846789</v>
      </c>
      <c r="B2678" t="str">
        <f>T("   AUTRES")</f>
        <v xml:space="preserve">   AUTRES</v>
      </c>
      <c r="C2678" s="4">
        <v>562</v>
      </c>
      <c r="D2678" s="4">
        <v>712488</v>
      </c>
    </row>
    <row r="2679" spans="1:4" x14ac:dyDescent="0.25">
      <c r="A2679" t="str">
        <f>T("   846799")</f>
        <v xml:space="preserve">   846799</v>
      </c>
      <c r="B2679" t="str">
        <f>T("   AUTRES")</f>
        <v xml:space="preserve">   AUTRES</v>
      </c>
      <c r="C2679" s="4">
        <v>80</v>
      </c>
      <c r="D2679" s="4">
        <v>896000</v>
      </c>
    </row>
    <row r="2680" spans="1:4" x14ac:dyDescent="0.25">
      <c r="A2680" t="str">
        <f>T("   846810")</f>
        <v xml:space="preserve">   846810</v>
      </c>
      <c r="B2680" t="str">
        <f>T("   CHALUMEAUX GUIDES A LA MAIN")</f>
        <v xml:space="preserve">   CHALUMEAUX GUIDES A LA MAIN</v>
      </c>
      <c r="C2680" s="4">
        <v>1500</v>
      </c>
      <c r="D2680" s="4">
        <v>940028</v>
      </c>
    </row>
    <row r="2681" spans="1:4" x14ac:dyDescent="0.25">
      <c r="A2681" t="str">
        <f>T("   846880")</f>
        <v xml:space="preserve">   846880</v>
      </c>
      <c r="B2681" t="str">
        <f>T("   AUTRES MACHINES ET APPAREILS")</f>
        <v xml:space="preserve">   AUTRES MACHINES ET APPAREILS</v>
      </c>
      <c r="C2681" s="4">
        <v>14235</v>
      </c>
      <c r="D2681" s="4">
        <v>8082629</v>
      </c>
    </row>
    <row r="2682" spans="1:4" x14ac:dyDescent="0.25">
      <c r="A2682" t="str">
        <f>T("   846890")</f>
        <v xml:space="preserve">   846890</v>
      </c>
      <c r="B2682" t="str">
        <f>T("   PARTIES")</f>
        <v xml:space="preserve">   PARTIES</v>
      </c>
      <c r="C2682" s="4">
        <v>29800</v>
      </c>
      <c r="D2682" s="4">
        <v>189200480</v>
      </c>
    </row>
    <row r="2683" spans="1:4" x14ac:dyDescent="0.25">
      <c r="A2683" t="str">
        <f>T("   847029")</f>
        <v xml:space="preserve">   847029</v>
      </c>
      <c r="B2683" t="str">
        <f>T("   AUTRES")</f>
        <v xml:space="preserve">   AUTRES</v>
      </c>
      <c r="C2683" s="4">
        <v>6800</v>
      </c>
      <c r="D2683" s="4">
        <v>3849814</v>
      </c>
    </row>
    <row r="2684" spans="1:4" x14ac:dyDescent="0.25">
      <c r="A2684" t="str">
        <f>T("   847050")</f>
        <v xml:space="preserve">   847050</v>
      </c>
      <c r="B2684" t="str">
        <f>T("   Caisses enregistreuses")</f>
        <v xml:space="preserve">   Caisses enregistreuses</v>
      </c>
      <c r="C2684" s="4">
        <v>836</v>
      </c>
      <c r="D2684" s="4">
        <v>549538</v>
      </c>
    </row>
    <row r="2685" spans="1:4" x14ac:dyDescent="0.25">
      <c r="A2685" t="str">
        <f>T("   847130")</f>
        <v xml:space="preserve">   847130</v>
      </c>
      <c r="B2685" t="str">
        <f>T("   MACHINES AUTOMATIQUES DE TRAITEMENT DE L'INFORMATION PORTATIVES, D'UN POIDS N'EXCEDAN")</f>
        <v xml:space="preserve">   MACHINES AUTOMATIQUES DE TRAITEMENT DE L'INFORMATION PORTATIVES, D'UN POIDS N'EXCEDAN</v>
      </c>
      <c r="C2685" s="4">
        <v>147</v>
      </c>
      <c r="D2685" s="4">
        <v>3765080</v>
      </c>
    </row>
    <row r="2686" spans="1:4" x14ac:dyDescent="0.25">
      <c r="A2686" t="str">
        <f>T("   847149")</f>
        <v xml:space="preserve">   847149</v>
      </c>
      <c r="B2686" t="str">
        <f>T("   AUTRES, SE PRESENTANT SOUS FORME DE SYSTEMES")</f>
        <v xml:space="preserve">   AUTRES, SE PRESENTANT SOUS FORME DE SYSTEMES</v>
      </c>
      <c r="C2686" s="4">
        <v>5617</v>
      </c>
      <c r="D2686" s="4">
        <v>75033567</v>
      </c>
    </row>
    <row r="2687" spans="1:4" x14ac:dyDescent="0.25">
      <c r="A2687" t="str">
        <f>T("   847180")</f>
        <v xml:space="preserve">   847180</v>
      </c>
      <c r="B2687" t="str">
        <f>T("   AUTRES UNITES DE MACHINES AUTOMATIQUES DE TRAITEMENT DE L'INFORMATION")</f>
        <v xml:space="preserve">   AUTRES UNITES DE MACHINES AUTOMATIQUES DE TRAITEMENT DE L'INFORMATION</v>
      </c>
      <c r="C2687" s="4">
        <v>17955</v>
      </c>
      <c r="D2687" s="4">
        <v>30200230</v>
      </c>
    </row>
    <row r="2688" spans="1:4" x14ac:dyDescent="0.25">
      <c r="A2688" t="str">
        <f>T("   847190")</f>
        <v xml:space="preserve">   847190</v>
      </c>
      <c r="B2688" t="str">
        <f>T("   AUTRES")</f>
        <v xml:space="preserve">   AUTRES</v>
      </c>
      <c r="C2688" s="4">
        <v>1121</v>
      </c>
      <c r="D2688" s="4">
        <v>24042308</v>
      </c>
    </row>
    <row r="2689" spans="1:4" x14ac:dyDescent="0.25">
      <c r="A2689" t="str">
        <f>T("   847290")</f>
        <v xml:space="preserve">   847290</v>
      </c>
      <c r="B2689" t="str">
        <f>T("   AUTRES")</f>
        <v xml:space="preserve">   AUTRES</v>
      </c>
      <c r="C2689" s="4">
        <v>17423</v>
      </c>
      <c r="D2689" s="4">
        <v>12911343</v>
      </c>
    </row>
    <row r="2690" spans="1:4" x14ac:dyDescent="0.25">
      <c r="A2690" t="str">
        <f>T("   847330")</f>
        <v xml:space="preserve">   847330</v>
      </c>
      <c r="B2690" t="str">
        <f>T("   PARTIES ET ACCESSOIRES DES MACHINES DU N° 84.71")</f>
        <v xml:space="preserve">   PARTIES ET ACCESSOIRES DES MACHINES DU N° 84.71</v>
      </c>
      <c r="C2690" s="4">
        <v>103809.54</v>
      </c>
      <c r="D2690" s="4">
        <v>210893201</v>
      </c>
    </row>
    <row r="2691" spans="1:4" x14ac:dyDescent="0.25">
      <c r="A2691" t="str">
        <f>T("   847340")</f>
        <v xml:space="preserve">   847340</v>
      </c>
      <c r="B2691" t="str">
        <f>T("   PARTIES ET ACCESSOIRES DES MACHINES DU N° 84.72")</f>
        <v xml:space="preserve">   PARTIES ET ACCESSOIRES DES MACHINES DU N° 84.72</v>
      </c>
      <c r="C2691" s="4">
        <v>60</v>
      </c>
      <c r="D2691" s="4">
        <v>4807423</v>
      </c>
    </row>
    <row r="2692" spans="1:4" x14ac:dyDescent="0.25">
      <c r="A2692" t="str">
        <f>T("   847350")</f>
        <v xml:space="preserve">   847350</v>
      </c>
      <c r="B2692" t="str">
        <f>T("   PARTIES ET ACCESSOIRES QUI PEUVENT ETRE UTILISES INDIFFEREMMENT AVEC LES MACHINES OU")</f>
        <v xml:space="preserve">   PARTIES ET ACCESSOIRES QUI PEUVENT ETRE UTILISES INDIFFEREMMENT AVEC LES MACHINES OU</v>
      </c>
      <c r="C2692" s="4">
        <v>959</v>
      </c>
      <c r="D2692" s="4">
        <v>13542034</v>
      </c>
    </row>
    <row r="2693" spans="1:4" x14ac:dyDescent="0.25">
      <c r="A2693" t="str">
        <f>T("   847420")</f>
        <v xml:space="preserve">   847420</v>
      </c>
      <c r="B2693" t="str">
        <f>T("   MACHINES ET APPAREILS A CONCASSER, BROYER OU PULVERISER")</f>
        <v xml:space="preserve">   MACHINES ET APPAREILS A CONCASSER, BROYER OU PULVERISER</v>
      </c>
      <c r="C2693" s="4">
        <v>52026</v>
      </c>
      <c r="D2693" s="4">
        <v>63187590</v>
      </c>
    </row>
    <row r="2694" spans="1:4" x14ac:dyDescent="0.25">
      <c r="A2694" t="str">
        <f>T("   847431")</f>
        <v xml:space="preserve">   847431</v>
      </c>
      <c r="B2694" t="str">
        <f>T("   BETONNIERES ET APPAREILS A GACHER LE CIMENT")</f>
        <v xml:space="preserve">   BETONNIERES ET APPAREILS A GACHER LE CIMENT</v>
      </c>
      <c r="C2694" s="4">
        <v>129954</v>
      </c>
      <c r="D2694" s="4">
        <v>185695687</v>
      </c>
    </row>
    <row r="2695" spans="1:4" x14ac:dyDescent="0.25">
      <c r="A2695" t="str">
        <f>T("   847439")</f>
        <v xml:space="preserve">   847439</v>
      </c>
      <c r="B2695" t="str">
        <f>T("   AUTRES")</f>
        <v xml:space="preserve">   AUTRES</v>
      </c>
      <c r="C2695" s="4">
        <v>56162</v>
      </c>
      <c r="D2695" s="4">
        <v>29869096</v>
      </c>
    </row>
    <row r="2696" spans="1:4" x14ac:dyDescent="0.25">
      <c r="A2696" t="str">
        <f>T("   847480")</f>
        <v xml:space="preserve">   847480</v>
      </c>
      <c r="B2696" t="str">
        <f>T("   AUTRES MACHINES ET APPAREILS")</f>
        <v xml:space="preserve">   AUTRES MACHINES ET APPAREILS</v>
      </c>
      <c r="C2696" s="4">
        <v>98423</v>
      </c>
      <c r="D2696" s="4">
        <v>106286194</v>
      </c>
    </row>
    <row r="2697" spans="1:4" x14ac:dyDescent="0.25">
      <c r="A2697" t="str">
        <f>T("   847490")</f>
        <v xml:space="preserve">   847490</v>
      </c>
      <c r="B2697" t="str">
        <f>T("   PARTIES")</f>
        <v xml:space="preserve">   PARTIES</v>
      </c>
      <c r="C2697" s="4">
        <v>60599</v>
      </c>
      <c r="D2697" s="4">
        <v>10917071</v>
      </c>
    </row>
    <row r="2698" spans="1:4" x14ac:dyDescent="0.25">
      <c r="A2698" t="str">
        <f>T("   847689")</f>
        <v xml:space="preserve">   847689</v>
      </c>
      <c r="B2698" t="str">
        <f>T("   AUTRES")</f>
        <v xml:space="preserve">   AUTRES</v>
      </c>
      <c r="C2698" s="4">
        <v>1258</v>
      </c>
      <c r="D2698" s="4">
        <v>95000</v>
      </c>
    </row>
    <row r="2699" spans="1:4" x14ac:dyDescent="0.25">
      <c r="A2699" t="str">
        <f>T("   847730")</f>
        <v xml:space="preserve">   847730</v>
      </c>
      <c r="B2699" t="str">
        <f>T("   MACHINES A MOULER PAR SOUFFLAGE")</f>
        <v xml:space="preserve">   MACHINES A MOULER PAR SOUFFLAGE</v>
      </c>
      <c r="C2699" s="4">
        <v>14423</v>
      </c>
      <c r="D2699" s="4">
        <v>27370603</v>
      </c>
    </row>
    <row r="2700" spans="1:4" x14ac:dyDescent="0.25">
      <c r="A2700" t="str">
        <f>T("   847780")</f>
        <v xml:space="preserve">   847780</v>
      </c>
      <c r="B2700" t="str">
        <f>T("   AUTRES MACHINES ET APPAREILS")</f>
        <v xml:space="preserve">   AUTRES MACHINES ET APPAREILS</v>
      </c>
      <c r="C2700" s="4">
        <v>23068</v>
      </c>
      <c r="D2700" s="4">
        <v>12968000</v>
      </c>
    </row>
    <row r="2701" spans="1:4" x14ac:dyDescent="0.25">
      <c r="A2701" t="str">
        <f>T("   847790")</f>
        <v xml:space="preserve">   847790</v>
      </c>
      <c r="B2701" t="str">
        <f>T("   PARTIES")</f>
        <v xml:space="preserve">   PARTIES</v>
      </c>
      <c r="C2701" s="4">
        <v>16196</v>
      </c>
      <c r="D2701" s="4">
        <v>14310303</v>
      </c>
    </row>
    <row r="2702" spans="1:4" x14ac:dyDescent="0.25">
      <c r="A2702" t="str">
        <f>T("   847910")</f>
        <v xml:space="preserve">   847910</v>
      </c>
      <c r="B2702" t="str">
        <f>T("   MACHINES ET APPAREILS POUR LES TRAVAUX PUBLICS, LE BATIMENT OU LES TRAVAUX ANALOGUES")</f>
        <v xml:space="preserve">   MACHINES ET APPAREILS POUR LES TRAVAUX PUBLICS, LE BATIMENT OU LES TRAVAUX ANALOGUES</v>
      </c>
      <c r="C2702" s="4">
        <v>25046</v>
      </c>
      <c r="D2702" s="4">
        <v>41996378</v>
      </c>
    </row>
    <row r="2703" spans="1:4" x14ac:dyDescent="0.25">
      <c r="A2703" t="str">
        <f>T("   847982")</f>
        <v xml:space="preserve">   847982</v>
      </c>
      <c r="B2703" t="str">
        <f>T("   A MELANGER, MALAXER, CONCASSER, BROYER, CRIBLER, TAMISER, HOMOGENEISER, EMULSIONNER")</f>
        <v xml:space="preserve">   A MELANGER, MALAXER, CONCASSER, BROYER, CRIBLER, TAMISER, HOMOGENEISER, EMULSIONNER</v>
      </c>
      <c r="C2703" s="4">
        <v>145</v>
      </c>
      <c r="D2703" s="4">
        <v>275337</v>
      </c>
    </row>
    <row r="2704" spans="1:4" x14ac:dyDescent="0.25">
      <c r="A2704" t="str">
        <f>T("   847989")</f>
        <v xml:space="preserve">   847989</v>
      </c>
      <c r="B2704" t="str">
        <f>T("   AUTRES")</f>
        <v xml:space="preserve">   AUTRES</v>
      </c>
      <c r="C2704" s="4">
        <v>7840</v>
      </c>
      <c r="D2704" s="4">
        <v>37817839</v>
      </c>
    </row>
    <row r="2705" spans="1:4" x14ac:dyDescent="0.25">
      <c r="A2705" t="str">
        <f>T("   848041")</f>
        <v xml:space="preserve">   848041</v>
      </c>
      <c r="B2705" t="str">
        <f>T("   POUR LE MOULAGE PAR INJECTION OU PAR COMPRESSION")</f>
        <v xml:space="preserve">   POUR LE MOULAGE PAR INJECTION OU PAR COMPRESSION</v>
      </c>
      <c r="C2705" s="4">
        <v>146</v>
      </c>
      <c r="D2705" s="4">
        <v>146381</v>
      </c>
    </row>
    <row r="2706" spans="1:4" x14ac:dyDescent="0.25">
      <c r="A2706" t="str">
        <f>T("   848071")</f>
        <v xml:space="preserve">   848071</v>
      </c>
      <c r="B2706" t="str">
        <f>T("   POUR LE MOULAGE PAR INJECTION OU PAR COMPRESSION")</f>
        <v xml:space="preserve">   POUR LE MOULAGE PAR INJECTION OU PAR COMPRESSION</v>
      </c>
      <c r="C2706" s="4">
        <v>660</v>
      </c>
      <c r="D2706" s="4">
        <v>2243021</v>
      </c>
    </row>
    <row r="2707" spans="1:4" x14ac:dyDescent="0.25">
      <c r="A2707" t="str">
        <f>T("   848079")</f>
        <v xml:space="preserve">   848079</v>
      </c>
      <c r="B2707" t="str">
        <f>T("   AUTRES")</f>
        <v xml:space="preserve">   AUTRES</v>
      </c>
      <c r="C2707" s="4">
        <v>2323</v>
      </c>
      <c r="D2707" s="4">
        <v>958948</v>
      </c>
    </row>
    <row r="2708" spans="1:4" x14ac:dyDescent="0.25">
      <c r="A2708" t="str">
        <f>T("   848110")</f>
        <v xml:space="preserve">   848110</v>
      </c>
      <c r="B2708" t="str">
        <f>T("   DETENDEURS")</f>
        <v xml:space="preserve">   DETENDEURS</v>
      </c>
      <c r="C2708" s="4">
        <v>5600</v>
      </c>
      <c r="D2708" s="4">
        <v>8962128</v>
      </c>
    </row>
    <row r="2709" spans="1:4" x14ac:dyDescent="0.25">
      <c r="A2709" t="str">
        <f>T("   848120")</f>
        <v xml:space="preserve">   848120</v>
      </c>
      <c r="B2709" t="str">
        <f>T("   VALVES POUR TRANSMISSIONS OLEOHYDRAULIQUES OU PNEUMATIQUES")</f>
        <v xml:space="preserve">   VALVES POUR TRANSMISSIONS OLEOHYDRAULIQUES OU PNEUMATIQUES</v>
      </c>
      <c r="C2709" s="4">
        <v>96</v>
      </c>
      <c r="D2709" s="4">
        <v>361010</v>
      </c>
    </row>
    <row r="2710" spans="1:4" x14ac:dyDescent="0.25">
      <c r="A2710" t="str">
        <f>T("   848180")</f>
        <v xml:space="preserve">   848180</v>
      </c>
      <c r="B2710" t="str">
        <f>T("   Autres articles de robinetterie et organes similaires")</f>
        <v xml:space="preserve">   Autres articles de robinetterie et organes similaires</v>
      </c>
      <c r="C2710" s="4">
        <v>209771</v>
      </c>
      <c r="D2710" s="4">
        <v>81767066</v>
      </c>
    </row>
    <row r="2711" spans="1:4" x14ac:dyDescent="0.25">
      <c r="A2711" t="str">
        <f>T("   848190")</f>
        <v xml:space="preserve">   848190</v>
      </c>
      <c r="B2711" t="str">
        <f>T("   PARTIES")</f>
        <v xml:space="preserve">   PARTIES</v>
      </c>
      <c r="C2711" s="4">
        <v>111</v>
      </c>
      <c r="D2711" s="4">
        <v>171374</v>
      </c>
    </row>
    <row r="2712" spans="1:4" x14ac:dyDescent="0.25">
      <c r="A2712" t="str">
        <f>T("   848210")</f>
        <v xml:space="preserve">   848210</v>
      </c>
      <c r="B2712" t="str">
        <f>T("   ROULEMENTS A BILLES")</f>
        <v xml:space="preserve">   ROULEMENTS A BILLES</v>
      </c>
      <c r="C2712" s="4">
        <v>90</v>
      </c>
      <c r="D2712" s="4">
        <v>249343</v>
      </c>
    </row>
    <row r="2713" spans="1:4" x14ac:dyDescent="0.25">
      <c r="A2713" t="str">
        <f>T("   848280")</f>
        <v xml:space="preserve">   848280</v>
      </c>
      <c r="B2713" t="str">
        <f>T("   AUTRES, Y COMPRIS LES ROULEMENTS COMBINES")</f>
        <v xml:space="preserve">   AUTRES, Y COMPRIS LES ROULEMENTS COMBINES</v>
      </c>
      <c r="C2713" s="4">
        <v>130</v>
      </c>
      <c r="D2713" s="4">
        <v>1054382</v>
      </c>
    </row>
    <row r="2714" spans="1:4" x14ac:dyDescent="0.25">
      <c r="A2714" t="str">
        <f>T("   848299")</f>
        <v xml:space="preserve">   848299</v>
      </c>
      <c r="B2714" t="str">
        <f>T("   AUTRES")</f>
        <v xml:space="preserve">   AUTRES</v>
      </c>
      <c r="C2714" s="4">
        <v>12878</v>
      </c>
      <c r="D2714" s="4">
        <v>10225290</v>
      </c>
    </row>
    <row r="2715" spans="1:4" x14ac:dyDescent="0.25">
      <c r="A2715" t="str">
        <f>T("   848340")</f>
        <v xml:space="preserve">   848340</v>
      </c>
      <c r="B2715" t="str">
        <f>T("   ENGRENAGES ET ROUES DE FRICTION, AUTRES QUE LES ROUES DENTEES ET AUTRES ORGANES ELEME")</f>
        <v xml:space="preserve">   ENGRENAGES ET ROUES DE FRICTION, AUTRES QUE LES ROUES DENTEES ET AUTRES ORGANES ELEME</v>
      </c>
      <c r="C2715" s="4">
        <v>2250</v>
      </c>
      <c r="D2715" s="4">
        <v>5320517</v>
      </c>
    </row>
    <row r="2716" spans="1:4" x14ac:dyDescent="0.25">
      <c r="A2716" t="str">
        <f>T("   848350")</f>
        <v xml:space="preserve">   848350</v>
      </c>
      <c r="B2716" t="str">
        <f>T("   VOLANTS ET POULIES, Y COMPRIS LES POULIES A MOUFLES")</f>
        <v xml:space="preserve">   VOLANTS ET POULIES, Y COMPRIS LES POULIES A MOUFLES</v>
      </c>
      <c r="C2716" s="4">
        <v>68</v>
      </c>
      <c r="D2716" s="4">
        <v>96094</v>
      </c>
    </row>
    <row r="2717" spans="1:4" x14ac:dyDescent="0.25">
      <c r="A2717" t="str">
        <f>T("   848620")</f>
        <v xml:space="preserve">   848620</v>
      </c>
      <c r="B2717" t="str">
        <f>T("   MACHINES ET APPAREILS POUR LA FABRICATION DE DISPOSITIFS A SEMICONDUCTEUR OU DES CIR")</f>
        <v xml:space="preserve">   MACHINES ET APPAREILS POUR LA FABRICATION DE DISPOSITIFS A SEMICONDUCTEUR OU DES CIR</v>
      </c>
      <c r="C2717" s="4">
        <v>300</v>
      </c>
      <c r="D2717" s="4">
        <v>220000</v>
      </c>
    </row>
    <row r="2718" spans="1:4" x14ac:dyDescent="0.25">
      <c r="A2718" t="str">
        <f>T("   850153")</f>
        <v xml:space="preserve">   850153</v>
      </c>
      <c r="B2718" t="str">
        <f>T("   D'UNE PUISSANCE EXCEDANT 75 KW")</f>
        <v xml:space="preserve">   D'UNE PUISSANCE EXCEDANT 75 KW</v>
      </c>
      <c r="C2718" s="4">
        <v>8338</v>
      </c>
      <c r="D2718" s="4">
        <v>12699386</v>
      </c>
    </row>
    <row r="2719" spans="1:4" x14ac:dyDescent="0.25">
      <c r="A2719" t="str">
        <f>T("   850161")</f>
        <v xml:space="preserve">   850161</v>
      </c>
      <c r="B2719" t="str">
        <f>T("   D'UNE PUISSANCE N'EXCEDANT PAS 75 KVA")</f>
        <v xml:space="preserve">   D'UNE PUISSANCE N'EXCEDANT PAS 75 KVA</v>
      </c>
      <c r="C2719" s="4">
        <v>1500</v>
      </c>
      <c r="D2719" s="4">
        <v>600000</v>
      </c>
    </row>
    <row r="2720" spans="1:4" x14ac:dyDescent="0.25">
      <c r="A2720" t="str">
        <f>T("   850211")</f>
        <v xml:space="preserve">   850211</v>
      </c>
      <c r="B2720" t="str">
        <f>T("   D'UNE PUISSANCE N'EXCEDANT PAS 75 KVA")</f>
        <v xml:space="preserve">   D'UNE PUISSANCE N'EXCEDANT PAS 75 KVA</v>
      </c>
      <c r="C2720" s="4">
        <v>109365.33</v>
      </c>
      <c r="D2720" s="4">
        <v>294575086</v>
      </c>
    </row>
    <row r="2721" spans="1:4" x14ac:dyDescent="0.25">
      <c r="A2721" t="str">
        <f>T("   850212")</f>
        <v xml:space="preserve">   850212</v>
      </c>
      <c r="B2721" t="str">
        <f>T("   D'UNE PUISSANCE EXCEDANT 75 KVA MAIS N'EXCEDANT PAS 375 KVA")</f>
        <v xml:space="preserve">   D'UNE PUISSANCE EXCEDANT 75 KVA MAIS N'EXCEDANT PAS 375 KVA</v>
      </c>
      <c r="C2721" s="4">
        <v>13140</v>
      </c>
      <c r="D2721" s="4">
        <v>53795444</v>
      </c>
    </row>
    <row r="2722" spans="1:4" x14ac:dyDescent="0.25">
      <c r="A2722" t="str">
        <f>T("   850213")</f>
        <v xml:space="preserve">   850213</v>
      </c>
      <c r="B2722" t="str">
        <f>T("   D'UNE PUISSANCE EXCEDANT 375 KVA")</f>
        <v xml:space="preserve">   D'UNE PUISSANCE EXCEDANT 375 KVA</v>
      </c>
      <c r="C2722" s="4">
        <v>57615</v>
      </c>
      <c r="D2722" s="4">
        <v>120919607</v>
      </c>
    </row>
    <row r="2723" spans="1:4" x14ac:dyDescent="0.25">
      <c r="A2723" t="str">
        <f>T("   850239")</f>
        <v xml:space="preserve">   850239</v>
      </c>
      <c r="B2723" t="str">
        <f>T("   AUTRES")</f>
        <v xml:space="preserve">   AUTRES</v>
      </c>
      <c r="C2723" s="4">
        <v>99304</v>
      </c>
      <c r="D2723" s="4">
        <v>156281666</v>
      </c>
    </row>
    <row r="2724" spans="1:4" x14ac:dyDescent="0.25">
      <c r="A2724" t="str">
        <f>T("   850300")</f>
        <v xml:space="preserve">   850300</v>
      </c>
      <c r="B2724" t="str">
        <f>T("   PARTIES RECONNAISSABLES COMME ETANT EXCLUSIVEMENT OU PRINCIPALEMENT DESTINEES AUX MACHI")</f>
        <v xml:space="preserve">   PARTIES RECONNAISSABLES COMME ETANT EXCLUSIVEMENT OU PRINCIPALEMENT DESTINEES AUX MACHI</v>
      </c>
      <c r="C2724" s="4">
        <v>2847.84</v>
      </c>
      <c r="D2724" s="4">
        <v>3375717</v>
      </c>
    </row>
    <row r="2725" spans="1:4" x14ac:dyDescent="0.25">
      <c r="A2725" t="str">
        <f>T("   850431")</f>
        <v xml:space="preserve">   850431</v>
      </c>
      <c r="B2725" t="str">
        <f>T("   D'UNE PUISSANCE N'EXCEDANT PAS 1 KVA")</f>
        <v xml:space="preserve">   D'UNE PUISSANCE N'EXCEDANT PAS 1 KVA</v>
      </c>
      <c r="C2725" s="4">
        <v>10</v>
      </c>
      <c r="D2725" s="4">
        <v>209490</v>
      </c>
    </row>
    <row r="2726" spans="1:4" x14ac:dyDescent="0.25">
      <c r="A2726" t="str">
        <f>T("   850432")</f>
        <v xml:space="preserve">   850432</v>
      </c>
      <c r="B2726" t="str">
        <f>T("   D'UNE PUISSANCE EXCEDANT 1 KVA MAIS N'EXCEDANT PAS 16 KVA")</f>
        <v xml:space="preserve">   D'UNE PUISSANCE EXCEDANT 1 KVA MAIS N'EXCEDANT PAS 16 KVA</v>
      </c>
      <c r="C2726" s="4">
        <v>34913</v>
      </c>
      <c r="D2726" s="4">
        <v>24865023</v>
      </c>
    </row>
    <row r="2727" spans="1:4" x14ac:dyDescent="0.25">
      <c r="A2727" t="str">
        <f>T("   850433")</f>
        <v xml:space="preserve">   850433</v>
      </c>
      <c r="B2727" t="str">
        <f>T("   D'UNE PUISSANCE EXCEDANT 16 KVA MAIS N'EXCEDANT PAS 500 KVA")</f>
        <v xml:space="preserve">   D'UNE PUISSANCE EXCEDANT 16 KVA MAIS N'EXCEDANT PAS 500 KVA</v>
      </c>
      <c r="C2727" s="4">
        <v>28100</v>
      </c>
      <c r="D2727" s="4">
        <v>25566960</v>
      </c>
    </row>
    <row r="2728" spans="1:4" x14ac:dyDescent="0.25">
      <c r="A2728" t="str">
        <f>T("   850440")</f>
        <v xml:space="preserve">   850440</v>
      </c>
      <c r="B2728" t="str">
        <f>T("   CONVERTISSEURS STATIQUES")</f>
        <v xml:space="preserve">   CONVERTISSEURS STATIQUES</v>
      </c>
      <c r="C2728" s="4">
        <v>114067.5</v>
      </c>
      <c r="D2728" s="4">
        <v>409943357</v>
      </c>
    </row>
    <row r="2729" spans="1:4" x14ac:dyDescent="0.25">
      <c r="A2729" t="str">
        <f>T("   850450")</f>
        <v xml:space="preserve">   850450</v>
      </c>
      <c r="B2729" t="str">
        <f>T("   AUTRES BOBINES DE REACTANCE ET AUTRES SELFS")</f>
        <v xml:space="preserve">   AUTRES BOBINES DE REACTANCE ET AUTRES SELFS</v>
      </c>
      <c r="C2729" s="4">
        <v>87</v>
      </c>
      <c r="D2729" s="4">
        <v>3338393</v>
      </c>
    </row>
    <row r="2730" spans="1:4" x14ac:dyDescent="0.25">
      <c r="A2730" t="str">
        <f>T("   850490")</f>
        <v xml:space="preserve">   850490</v>
      </c>
      <c r="B2730" t="str">
        <f>T("   PARTIES")</f>
        <v xml:space="preserve">   PARTIES</v>
      </c>
      <c r="C2730" s="4">
        <v>315</v>
      </c>
      <c r="D2730" s="4">
        <v>2297790</v>
      </c>
    </row>
    <row r="2731" spans="1:4" x14ac:dyDescent="0.25">
      <c r="A2731" t="str">
        <f>T("   850519")</f>
        <v xml:space="preserve">   850519</v>
      </c>
      <c r="B2731" t="str">
        <f>T("   AUTRES")</f>
        <v xml:space="preserve">   AUTRES</v>
      </c>
      <c r="C2731" s="4">
        <v>8990</v>
      </c>
      <c r="D2731" s="4">
        <v>10723000</v>
      </c>
    </row>
    <row r="2732" spans="1:4" x14ac:dyDescent="0.25">
      <c r="A2732" t="str">
        <f>T("   850610")</f>
        <v xml:space="preserve">   850610</v>
      </c>
      <c r="B2732" t="str">
        <f>T("   AU BIOXYDE DE MANGANESE")</f>
        <v xml:space="preserve">   AU BIOXYDE DE MANGANESE</v>
      </c>
      <c r="C2732" s="4">
        <v>6073436</v>
      </c>
      <c r="D2732" s="4">
        <v>1053996182</v>
      </c>
    </row>
    <row r="2733" spans="1:4" x14ac:dyDescent="0.25">
      <c r="A2733" t="str">
        <f>T("   850680")</f>
        <v xml:space="preserve">   850680</v>
      </c>
      <c r="B2733" t="str">
        <f>T("   AUTRES PILES ET BATTERIES DE PILES")</f>
        <v xml:space="preserve">   AUTRES PILES ET BATTERIES DE PILES</v>
      </c>
      <c r="C2733" s="4">
        <v>3257362</v>
      </c>
      <c r="D2733" s="4">
        <v>494239660</v>
      </c>
    </row>
    <row r="2734" spans="1:4" x14ac:dyDescent="0.25">
      <c r="A2734" t="str">
        <f>T("   850690")</f>
        <v xml:space="preserve">   850690</v>
      </c>
      <c r="B2734" t="str">
        <f>T("   PARTIES")</f>
        <v xml:space="preserve">   PARTIES</v>
      </c>
      <c r="C2734" s="4">
        <v>21000</v>
      </c>
      <c r="D2734" s="4">
        <v>15099692</v>
      </c>
    </row>
    <row r="2735" spans="1:4" x14ac:dyDescent="0.25">
      <c r="A2735" t="str">
        <f>T("   850710")</f>
        <v xml:space="preserve">   850710</v>
      </c>
      <c r="B2735" t="str">
        <f>T("   AU PLOMB, DES TYPES UTILISES POUR LE DEMARRAGE DES MOTEURS A PISTON")</f>
        <v xml:space="preserve">   AU PLOMB, DES TYPES UTILISES POUR LE DEMARRAGE DES MOTEURS A PISTON</v>
      </c>
      <c r="C2735" s="4">
        <v>156071</v>
      </c>
      <c r="D2735" s="4">
        <v>31751304</v>
      </c>
    </row>
    <row r="2736" spans="1:4" x14ac:dyDescent="0.25">
      <c r="A2736" t="str">
        <f>T("   850720")</f>
        <v xml:space="preserve">   850720</v>
      </c>
      <c r="B2736" t="str">
        <f>T("   AUTRES ACCUMULATEURS AU PLOMB")</f>
        <v xml:space="preserve">   AUTRES ACCUMULATEURS AU PLOMB</v>
      </c>
      <c r="C2736" s="4">
        <v>43604</v>
      </c>
      <c r="D2736" s="4">
        <v>30315864</v>
      </c>
    </row>
    <row r="2737" spans="1:4" x14ac:dyDescent="0.25">
      <c r="A2737" t="str">
        <f>T("   850780")</f>
        <v xml:space="preserve">   850780</v>
      </c>
      <c r="B2737" t="str">
        <f>T("   AUTRES ACCUMULATEURS")</f>
        <v xml:space="preserve">   AUTRES ACCUMULATEURS</v>
      </c>
      <c r="C2737" s="4">
        <v>230920</v>
      </c>
      <c r="D2737" s="4">
        <v>84878129</v>
      </c>
    </row>
    <row r="2738" spans="1:4" x14ac:dyDescent="0.25">
      <c r="A2738" t="str">
        <f>T("   850860")</f>
        <v xml:space="preserve">   850860</v>
      </c>
      <c r="B2738" t="str">
        <f>T("   AUTRES ASPIRATEURS")</f>
        <v xml:space="preserve">   AUTRES ASPIRATEURS</v>
      </c>
      <c r="C2738" s="4">
        <v>2267</v>
      </c>
      <c r="D2738" s="4">
        <v>2621518</v>
      </c>
    </row>
    <row r="2739" spans="1:4" x14ac:dyDescent="0.25">
      <c r="A2739" t="str">
        <f>T("   850940")</f>
        <v xml:space="preserve">   850940</v>
      </c>
      <c r="B2739" t="str">
        <f>T("   BROYEURS ET MELANGEURS POUR ALIMENTS; PRESSEFRUITS ET PRESSELEGUMES")</f>
        <v xml:space="preserve">   BROYEURS ET MELANGEURS POUR ALIMENTS; PRESSEFRUITS ET PRESSELEGUMES</v>
      </c>
      <c r="C2739" s="4">
        <v>255</v>
      </c>
      <c r="D2739" s="4">
        <v>509846</v>
      </c>
    </row>
    <row r="2740" spans="1:4" x14ac:dyDescent="0.25">
      <c r="A2740" t="str">
        <f>T("   850980")</f>
        <v xml:space="preserve">   850980</v>
      </c>
      <c r="B2740" t="str">
        <f>T("   AUTRES APPAREILS")</f>
        <v xml:space="preserve">   AUTRES APPAREILS</v>
      </c>
      <c r="C2740" s="4">
        <v>32111</v>
      </c>
      <c r="D2740" s="4">
        <v>12821684</v>
      </c>
    </row>
    <row r="2741" spans="1:4" x14ac:dyDescent="0.25">
      <c r="A2741" t="str">
        <f>T("   850990")</f>
        <v xml:space="preserve">   850990</v>
      </c>
      <c r="B2741" t="str">
        <f>T("   PARTIES")</f>
        <v xml:space="preserve">   PARTIES</v>
      </c>
      <c r="C2741" s="4">
        <v>50</v>
      </c>
      <c r="D2741" s="4">
        <v>49800</v>
      </c>
    </row>
    <row r="2742" spans="1:4" x14ac:dyDescent="0.25">
      <c r="A2742" t="str">
        <f>T("   851010")</f>
        <v xml:space="preserve">   851010</v>
      </c>
      <c r="B2742" t="str">
        <f>T("   RASOIRS")</f>
        <v xml:space="preserve">   RASOIRS</v>
      </c>
      <c r="C2742" s="4">
        <v>1102</v>
      </c>
      <c r="D2742" s="4">
        <v>3270000</v>
      </c>
    </row>
    <row r="2743" spans="1:4" x14ac:dyDescent="0.25">
      <c r="A2743" t="str">
        <f>T("   851020")</f>
        <v xml:space="preserve">   851020</v>
      </c>
      <c r="B2743" t="str">
        <f>T("   TONDEUSES")</f>
        <v xml:space="preserve">   TONDEUSES</v>
      </c>
      <c r="C2743" s="4">
        <v>98</v>
      </c>
      <c r="D2743" s="4">
        <v>140200</v>
      </c>
    </row>
    <row r="2744" spans="1:4" x14ac:dyDescent="0.25">
      <c r="A2744" t="str">
        <f>T("   851180")</f>
        <v xml:space="preserve">   851180</v>
      </c>
      <c r="B2744" t="str">
        <f>T("   AUTRES APPAREILS ET DISPOSITIFS")</f>
        <v xml:space="preserve">   AUTRES APPAREILS ET DISPOSITIFS</v>
      </c>
      <c r="C2744" s="4">
        <v>13750</v>
      </c>
      <c r="D2744" s="4">
        <v>2935000</v>
      </c>
    </row>
    <row r="2745" spans="1:4" x14ac:dyDescent="0.25">
      <c r="A2745" t="str">
        <f>T("   851220")</f>
        <v xml:space="preserve">   851220</v>
      </c>
      <c r="B2745" t="str">
        <f>T("   AUTRES APPAREILS D'ECLAIRAGE OU DE SIGNALISATION VISUELLE")</f>
        <v xml:space="preserve">   AUTRES APPAREILS D'ECLAIRAGE OU DE SIGNALISATION VISUELLE</v>
      </c>
      <c r="C2745" s="4">
        <v>120040</v>
      </c>
      <c r="D2745" s="4">
        <v>41961681</v>
      </c>
    </row>
    <row r="2746" spans="1:4" x14ac:dyDescent="0.25">
      <c r="A2746" t="str">
        <f>T("   851230")</f>
        <v xml:space="preserve">   851230</v>
      </c>
      <c r="B2746" t="str">
        <f>T("   APPAREILS DE SIGNALISATION ACOUSTIQUE")</f>
        <v xml:space="preserve">   APPAREILS DE SIGNALISATION ACOUSTIQUE</v>
      </c>
      <c r="C2746" s="4">
        <v>10</v>
      </c>
      <c r="D2746" s="4">
        <v>69775</v>
      </c>
    </row>
    <row r="2747" spans="1:4" x14ac:dyDescent="0.25">
      <c r="A2747" t="str">
        <f>T("   851310")</f>
        <v xml:space="preserve">   851310</v>
      </c>
      <c r="B2747" t="str">
        <f>T("   LAMPES")</f>
        <v xml:space="preserve">   LAMPES</v>
      </c>
      <c r="C2747" s="4">
        <v>1047906</v>
      </c>
      <c r="D2747" s="4">
        <v>289258750</v>
      </c>
    </row>
    <row r="2748" spans="1:4" x14ac:dyDescent="0.25">
      <c r="A2748" t="str">
        <f>T("   851529")</f>
        <v xml:space="preserve">   851529</v>
      </c>
      <c r="B2748" t="str">
        <f>T("   AUTRES")</f>
        <v xml:space="preserve">   AUTRES</v>
      </c>
      <c r="C2748" s="4">
        <v>3250</v>
      </c>
      <c r="D2748" s="4">
        <v>1000000</v>
      </c>
    </row>
    <row r="2749" spans="1:4" x14ac:dyDescent="0.25">
      <c r="A2749" t="str">
        <f>T("   851580")</f>
        <v xml:space="preserve">   851580</v>
      </c>
      <c r="B2749" t="str">
        <f>T("   AUTRES MACHINES ET APPAREILS")</f>
        <v xml:space="preserve">   AUTRES MACHINES ET APPAREILS</v>
      </c>
      <c r="C2749" s="4">
        <v>1250</v>
      </c>
      <c r="D2749" s="4">
        <v>750000</v>
      </c>
    </row>
    <row r="2750" spans="1:4" x14ac:dyDescent="0.25">
      <c r="A2750" t="str">
        <f>T("   851610")</f>
        <v xml:space="preserve">   851610</v>
      </c>
      <c r="B2750" t="str">
        <f>T("   CHAUFFEEAU ET THERMOPLONGEURS ELECTRIQUES")</f>
        <v xml:space="preserve">   CHAUFFEEAU ET THERMOPLONGEURS ELECTRIQUES</v>
      </c>
      <c r="C2750" s="4">
        <v>17304</v>
      </c>
      <c r="D2750" s="4">
        <v>17935708</v>
      </c>
    </row>
    <row r="2751" spans="1:4" x14ac:dyDescent="0.25">
      <c r="A2751" t="str">
        <f>T("   851629")</f>
        <v xml:space="preserve">   851629</v>
      </c>
      <c r="B2751" t="str">
        <f>T("   AUTRES")</f>
        <v xml:space="preserve">   AUTRES</v>
      </c>
      <c r="C2751" s="4">
        <v>663</v>
      </c>
      <c r="D2751" s="4">
        <v>154846</v>
      </c>
    </row>
    <row r="2752" spans="1:4" x14ac:dyDescent="0.25">
      <c r="A2752" t="str">
        <f>T("   851631")</f>
        <v xml:space="preserve">   851631</v>
      </c>
      <c r="B2752" t="str">
        <f>T("   SECHECHEVEUX")</f>
        <v xml:space="preserve">   SECHECHEVEUX</v>
      </c>
      <c r="C2752" s="4">
        <v>11170</v>
      </c>
      <c r="D2752" s="4">
        <v>2790208</v>
      </c>
    </row>
    <row r="2753" spans="1:4" x14ac:dyDescent="0.25">
      <c r="A2753" t="str">
        <f>T("   851640")</f>
        <v xml:space="preserve">   851640</v>
      </c>
      <c r="B2753" t="str">
        <f>T("   Fers a repasser electriques")</f>
        <v xml:space="preserve">   Fers a repasser electriques</v>
      </c>
      <c r="C2753" s="4">
        <v>12796</v>
      </c>
      <c r="D2753" s="4">
        <v>5252802</v>
      </c>
    </row>
    <row r="2754" spans="1:4" x14ac:dyDescent="0.25">
      <c r="A2754" t="str">
        <f>T("   851650")</f>
        <v xml:space="preserve">   851650</v>
      </c>
      <c r="B2754" t="str">
        <f>T("   FOURS A MICROONDES")</f>
        <v xml:space="preserve">   FOURS A MICROONDES</v>
      </c>
      <c r="C2754" s="4">
        <v>378</v>
      </c>
      <c r="D2754" s="4">
        <v>131444</v>
      </c>
    </row>
    <row r="2755" spans="1:4" x14ac:dyDescent="0.25">
      <c r="A2755" t="str">
        <f>T("   851660")</f>
        <v xml:space="preserve">   851660</v>
      </c>
      <c r="B2755" t="str">
        <f>T("   AUTRES FOURS; CUISINIERES, RECHAUDS (Y COMPRIS LES TABLES DE CUISSON), GRILS ET ROTIS")</f>
        <v xml:space="preserve">   AUTRES FOURS; CUISINIERES, RECHAUDS (Y COMPRIS LES TABLES DE CUISSON), GRILS ET ROTIS</v>
      </c>
      <c r="C2755" s="4">
        <v>12229</v>
      </c>
      <c r="D2755" s="4">
        <v>2850505</v>
      </c>
    </row>
    <row r="2756" spans="1:4" x14ac:dyDescent="0.25">
      <c r="A2756" t="str">
        <f>T("   851672")</f>
        <v xml:space="preserve">   851672</v>
      </c>
      <c r="B2756" t="str">
        <f>T("   GRILLEPAIN")</f>
        <v xml:space="preserve">   GRILLEPAIN</v>
      </c>
      <c r="C2756" s="4">
        <v>106</v>
      </c>
      <c r="D2756" s="4">
        <v>37342</v>
      </c>
    </row>
    <row r="2757" spans="1:4" x14ac:dyDescent="0.25">
      <c r="A2757" t="str">
        <f>T("   851679")</f>
        <v xml:space="preserve">   851679</v>
      </c>
      <c r="B2757" t="str">
        <f>T("   AUTRES")</f>
        <v xml:space="preserve">   AUTRES</v>
      </c>
      <c r="C2757" s="4">
        <v>2682</v>
      </c>
      <c r="D2757" s="4">
        <v>6221522</v>
      </c>
    </row>
    <row r="2758" spans="1:4" x14ac:dyDescent="0.25">
      <c r="A2758" t="str">
        <f>T("   851712")</f>
        <v xml:space="preserve">   851712</v>
      </c>
      <c r="B2758" t="str">
        <f>T("   TELEPHONES POUR RESEAUX CELLULAIRES ET POUR AUTRES RESEAUX SANS FIL")</f>
        <v xml:space="preserve">   TELEPHONES POUR RESEAUX CELLULAIRES ET POUR AUTRES RESEAUX SANS FIL</v>
      </c>
      <c r="C2758" s="4">
        <v>14379</v>
      </c>
      <c r="D2758" s="4">
        <v>259330694</v>
      </c>
    </row>
    <row r="2759" spans="1:4" x14ac:dyDescent="0.25">
      <c r="A2759" t="str">
        <f>T("   851718")</f>
        <v xml:space="preserve">   851718</v>
      </c>
      <c r="B2759" t="str">
        <f>T("   AUTRES")</f>
        <v xml:space="preserve">   AUTRES</v>
      </c>
      <c r="C2759" s="4">
        <v>881</v>
      </c>
      <c r="D2759" s="4">
        <v>46542245</v>
      </c>
    </row>
    <row r="2760" spans="1:4" x14ac:dyDescent="0.25">
      <c r="A2760" t="str">
        <f>T("   851740")</f>
        <v xml:space="preserve">   851740</v>
      </c>
      <c r="B2760" t="str">
        <f>T("   AUTRES APPAREILS POUR LE TELECOMMUNICATION PAR COURANT PORTEUR")</f>
        <v xml:space="preserve">   AUTRES APPAREILS POUR LE TELECOMMUNICATION PAR COURANT PORTEUR</v>
      </c>
      <c r="C2760" s="4">
        <v>102</v>
      </c>
      <c r="D2760" s="4">
        <v>20000</v>
      </c>
    </row>
    <row r="2761" spans="1:4" x14ac:dyDescent="0.25">
      <c r="A2761" t="str">
        <f>T("   851762")</f>
        <v xml:space="preserve">   851762</v>
      </c>
      <c r="B2761" t="str">
        <f>T("   APPAREILS POUR LA RECEPTION, LA CONVERSION ET L'EMISSION, LA TRANSMISSION OU LA REGE")</f>
        <v xml:space="preserve">   APPAREILS POUR LA RECEPTION, LA CONVERSION ET L'EMISSION, LA TRANSMISSION OU LA REGE</v>
      </c>
      <c r="C2761" s="4">
        <v>43</v>
      </c>
      <c r="D2761" s="4">
        <v>4256513</v>
      </c>
    </row>
    <row r="2762" spans="1:4" x14ac:dyDescent="0.25">
      <c r="A2762" t="str">
        <f>T("   851769")</f>
        <v xml:space="preserve">   851769</v>
      </c>
      <c r="B2762" t="str">
        <f>T("   AUTRES")</f>
        <v xml:space="preserve">   AUTRES</v>
      </c>
      <c r="C2762" s="4">
        <v>1653</v>
      </c>
      <c r="D2762" s="4">
        <v>178859809</v>
      </c>
    </row>
    <row r="2763" spans="1:4" x14ac:dyDescent="0.25">
      <c r="A2763" t="str">
        <f>T("   851770")</f>
        <v xml:space="preserve">   851770</v>
      </c>
      <c r="B2763" t="str">
        <f>T("   PARTIES")</f>
        <v xml:space="preserve">   PARTIES</v>
      </c>
      <c r="C2763" s="4">
        <v>21172.5</v>
      </c>
      <c r="D2763" s="4">
        <v>529422464</v>
      </c>
    </row>
    <row r="2764" spans="1:4" x14ac:dyDescent="0.25">
      <c r="A2764" t="str">
        <f>T("   851821")</f>
        <v xml:space="preserve">   851821</v>
      </c>
      <c r="B2764" t="str">
        <f>T("   HAUTPARLEUR UNIQUE MONTE DANS SON ENCEINTE")</f>
        <v xml:space="preserve">   HAUTPARLEUR UNIQUE MONTE DANS SON ENCEINTE</v>
      </c>
      <c r="C2764" s="4">
        <v>256</v>
      </c>
      <c r="D2764" s="4">
        <v>499500</v>
      </c>
    </row>
    <row r="2765" spans="1:4" x14ac:dyDescent="0.25">
      <c r="A2765" t="str">
        <f>T("   851829")</f>
        <v xml:space="preserve">   851829</v>
      </c>
      <c r="B2765" t="str">
        <f>T("   AUTRES")</f>
        <v xml:space="preserve">   AUTRES</v>
      </c>
      <c r="C2765" s="4">
        <v>398134</v>
      </c>
      <c r="D2765" s="4">
        <v>192298877</v>
      </c>
    </row>
    <row r="2766" spans="1:4" x14ac:dyDescent="0.25">
      <c r="A2766" t="str">
        <f>T("   851850")</f>
        <v xml:space="preserve">   851850</v>
      </c>
      <c r="B2766" t="str">
        <f>T("   APPAREILS ELECTRIQUES D'AMPLIFICATION DU SON")</f>
        <v xml:space="preserve">   APPAREILS ELECTRIQUES D'AMPLIFICATION DU SON</v>
      </c>
      <c r="C2766" s="4">
        <v>18700</v>
      </c>
      <c r="D2766" s="4">
        <v>39868883</v>
      </c>
    </row>
    <row r="2767" spans="1:4" x14ac:dyDescent="0.25">
      <c r="A2767" t="str">
        <f>T("   852032")</f>
        <v xml:space="preserve">   852032</v>
      </c>
      <c r="B2767" t="str">
        <f>T("   APPAREILS D'ENREGISTREMENT ET DE REPRODUCTION DU SON A BANDES NUMERIQUES")</f>
        <v xml:space="preserve">   APPAREILS D'ENREGISTREMENT ET DE REPRODUCTION DU SON A BANDES NUMERIQUES</v>
      </c>
      <c r="C2767" s="4">
        <v>10</v>
      </c>
      <c r="D2767" s="4">
        <v>35000</v>
      </c>
    </row>
    <row r="2768" spans="1:4" x14ac:dyDescent="0.25">
      <c r="A2768" t="str">
        <f>T("   852090")</f>
        <v xml:space="preserve">   852090</v>
      </c>
      <c r="B2768" t="str">
        <f>T("   AUTRES APPAREILS DU N 85.20")</f>
        <v xml:space="preserve">   AUTRES APPAREILS DU N 85.20</v>
      </c>
      <c r="C2768" s="4">
        <v>6356</v>
      </c>
      <c r="D2768" s="4">
        <v>4923793</v>
      </c>
    </row>
    <row r="2769" spans="1:4" x14ac:dyDescent="0.25">
      <c r="A2769" t="str">
        <f>T("   852190")</f>
        <v xml:space="preserve">   852190</v>
      </c>
      <c r="B2769" t="str">
        <f>T("   AUTRES")</f>
        <v xml:space="preserve">   AUTRES</v>
      </c>
      <c r="C2769" s="4">
        <v>154534</v>
      </c>
      <c r="D2769" s="4">
        <v>120200879</v>
      </c>
    </row>
    <row r="2770" spans="1:4" x14ac:dyDescent="0.25">
      <c r="A2770" t="str">
        <f>T("   852329")</f>
        <v xml:space="preserve">   852329</v>
      </c>
      <c r="B2770" t="str">
        <f>T("   AUTRES")</f>
        <v xml:space="preserve">   AUTRES</v>
      </c>
      <c r="C2770" s="4">
        <v>35</v>
      </c>
      <c r="D2770" s="4">
        <v>207623</v>
      </c>
    </row>
    <row r="2771" spans="1:4" x14ac:dyDescent="0.25">
      <c r="A2771" t="str">
        <f>T("   852340")</f>
        <v xml:space="preserve">   852340</v>
      </c>
      <c r="B2771" t="str">
        <f>T("   -AUTRES SUPPORTS OPTIQUES")</f>
        <v xml:space="preserve">   -AUTRES SUPPORTS OPTIQUES</v>
      </c>
      <c r="C2771" s="4">
        <v>7</v>
      </c>
      <c r="D2771" s="4">
        <v>406695</v>
      </c>
    </row>
    <row r="2772" spans="1:4" x14ac:dyDescent="0.25">
      <c r="A2772" t="str">
        <f>T("   852351")</f>
        <v xml:space="preserve">   852351</v>
      </c>
      <c r="B2772" t="str">
        <f>T("   DISPOSITIFS DE STOCKAGE REMANENT DES DONNEES A BASE DE SEMICONDUCTEURS")</f>
        <v xml:space="preserve">   DISPOSITIFS DE STOCKAGE REMANENT DES DONNEES A BASE DE SEMICONDUCTEURS</v>
      </c>
      <c r="C2772" s="4">
        <v>1315</v>
      </c>
      <c r="D2772" s="4">
        <v>6072225</v>
      </c>
    </row>
    <row r="2773" spans="1:4" x14ac:dyDescent="0.25">
      <c r="A2773" t="str">
        <f>T("   852380")</f>
        <v xml:space="preserve">   852380</v>
      </c>
      <c r="B2773" t="str">
        <f>T("   AUTRES")</f>
        <v xml:space="preserve">   AUTRES</v>
      </c>
      <c r="C2773" s="4">
        <v>3</v>
      </c>
      <c r="D2773" s="4">
        <v>13500</v>
      </c>
    </row>
    <row r="2774" spans="1:4" x14ac:dyDescent="0.25">
      <c r="A2774" t="str">
        <f>T("   852550")</f>
        <v xml:space="preserve">   852550</v>
      </c>
      <c r="B2774" t="str">
        <f>T("   APPAREILS D'EMISSION")</f>
        <v xml:space="preserve">   APPAREILS D'EMISSION</v>
      </c>
      <c r="C2774" s="4">
        <v>2741.3</v>
      </c>
      <c r="D2774" s="4">
        <v>4213929</v>
      </c>
    </row>
    <row r="2775" spans="1:4" x14ac:dyDescent="0.25">
      <c r="A2775" t="str">
        <f>T("   852580")</f>
        <v xml:space="preserve">   852580</v>
      </c>
      <c r="B2775" t="str">
        <f>T("   CAMERAS DE TELEVISION, APPAREILS PHOTOGRAPHIQUES NUMERIQUES ET CAMESCOPES")</f>
        <v xml:space="preserve">   CAMERAS DE TELEVISION, APPAREILS PHOTOGRAPHIQUES NUMERIQUES ET CAMESCOPES</v>
      </c>
      <c r="C2775" s="4">
        <v>827</v>
      </c>
      <c r="D2775" s="4">
        <v>1117877</v>
      </c>
    </row>
    <row r="2776" spans="1:4" x14ac:dyDescent="0.25">
      <c r="A2776" t="str">
        <f>T("   852610")</f>
        <v xml:space="preserve">   852610</v>
      </c>
      <c r="B2776" t="str">
        <f>T("   Appareils de radiodetection et de radiosondage (radar)")</f>
        <v xml:space="preserve">   Appareils de radiodetection et de radiosondage (radar)</v>
      </c>
      <c r="C2776" s="4">
        <v>6400</v>
      </c>
      <c r="D2776" s="4">
        <v>14936880</v>
      </c>
    </row>
    <row r="2777" spans="1:4" x14ac:dyDescent="0.25">
      <c r="A2777" t="str">
        <f>T("   852691")</f>
        <v xml:space="preserve">   852691</v>
      </c>
      <c r="B2777" t="str">
        <f>T("   Appareils de radionavigation")</f>
        <v xml:space="preserve">   Appareils de radionavigation</v>
      </c>
      <c r="C2777" s="4">
        <v>12</v>
      </c>
      <c r="D2777" s="4">
        <v>865802</v>
      </c>
    </row>
    <row r="2778" spans="1:4" x14ac:dyDescent="0.25">
      <c r="A2778" t="str">
        <f>T("   852713")</f>
        <v xml:space="preserve">   852713</v>
      </c>
      <c r="B2778" t="str">
        <f>T("   AUTRES APPAREILS COMBINES A UN APPAREIL D'ENREGISTREMENT OU DE REPRODUCTION DU SON")</f>
        <v xml:space="preserve">   AUTRES APPAREILS COMBINES A UN APPAREIL D'ENREGISTREMENT OU DE REPRODUCTION DU SON</v>
      </c>
      <c r="C2778" s="4">
        <v>47950</v>
      </c>
      <c r="D2778" s="4">
        <v>18843007</v>
      </c>
    </row>
    <row r="2779" spans="1:4" x14ac:dyDescent="0.25">
      <c r="A2779" t="str">
        <f>T("   852719")</f>
        <v xml:space="preserve">   852719</v>
      </c>
      <c r="B2779" t="str">
        <f>T("   AUTRES")</f>
        <v xml:space="preserve">   AUTRES</v>
      </c>
      <c r="C2779" s="4">
        <v>29890</v>
      </c>
      <c r="D2779" s="4">
        <v>23856822</v>
      </c>
    </row>
    <row r="2780" spans="1:4" x14ac:dyDescent="0.25">
      <c r="A2780" t="str">
        <f>T("   852721")</f>
        <v xml:space="preserve">   852721</v>
      </c>
      <c r="B2780" t="str">
        <f>T("   COMBINES A UN APPAREIL D'ENREGISTREMENT OU DE REPRODUCTION DU SON")</f>
        <v xml:space="preserve">   COMBINES A UN APPAREIL D'ENREGISTREMENT OU DE REPRODUCTION DU SON</v>
      </c>
      <c r="C2780" s="4">
        <v>17</v>
      </c>
      <c r="D2780" s="4">
        <v>995294</v>
      </c>
    </row>
    <row r="2781" spans="1:4" x14ac:dyDescent="0.25">
      <c r="A2781" t="str">
        <f>T("   852729")</f>
        <v xml:space="preserve">   852729</v>
      </c>
      <c r="B2781" t="str">
        <f>T("   AUTRES")</f>
        <v xml:space="preserve">   AUTRES</v>
      </c>
      <c r="C2781" s="4">
        <v>58</v>
      </c>
      <c r="D2781" s="4">
        <v>96500</v>
      </c>
    </row>
    <row r="2782" spans="1:4" x14ac:dyDescent="0.25">
      <c r="A2782" t="str">
        <f>T("   852799")</f>
        <v xml:space="preserve">   852799</v>
      </c>
      <c r="B2782" t="str">
        <f>T("   AUTRES")</f>
        <v xml:space="preserve">   AUTRES</v>
      </c>
      <c r="C2782" s="4">
        <v>44600</v>
      </c>
      <c r="D2782" s="4">
        <v>34608169</v>
      </c>
    </row>
    <row r="2783" spans="1:4" x14ac:dyDescent="0.25">
      <c r="A2783" t="str">
        <f>T("   852849")</f>
        <v xml:space="preserve">   852849</v>
      </c>
      <c r="B2783" t="str">
        <f>T("   AUTRES")</f>
        <v xml:space="preserve">   AUTRES</v>
      </c>
      <c r="C2783" s="4">
        <v>63653</v>
      </c>
      <c r="D2783" s="4">
        <v>38914793</v>
      </c>
    </row>
    <row r="2784" spans="1:4" x14ac:dyDescent="0.25">
      <c r="A2784" t="str">
        <f>T("   852851")</f>
        <v xml:space="preserve">   852851</v>
      </c>
      <c r="B2784" t="str">
        <f>T("   DES TYPES UTILISES EXCLUSIVEMENT OU PRINCIPALEMENT DANS UN SYSTEME AUTOMATIQUE DE TR")</f>
        <v xml:space="preserve">   DES TYPES UTILISES EXCLUSIVEMENT OU PRINCIPALEMENT DANS UN SYSTEME AUTOMATIQUE DE TR</v>
      </c>
      <c r="C2784" s="4">
        <v>2136</v>
      </c>
      <c r="D2784" s="4">
        <v>19392313</v>
      </c>
    </row>
    <row r="2785" spans="1:4" x14ac:dyDescent="0.25">
      <c r="A2785" t="str">
        <f>T("   852859")</f>
        <v xml:space="preserve">   852859</v>
      </c>
      <c r="B2785" t="str">
        <f>T("   AUTRES")</f>
        <v xml:space="preserve">   AUTRES</v>
      </c>
      <c r="C2785" s="4">
        <v>3055</v>
      </c>
      <c r="D2785" s="4">
        <v>2069715</v>
      </c>
    </row>
    <row r="2786" spans="1:4" x14ac:dyDescent="0.25">
      <c r="A2786" t="str">
        <f>T("   852871")</f>
        <v xml:space="preserve">   852871</v>
      </c>
      <c r="B2786" t="str">
        <f>T("   NON CONCUS POUR INCORPORER UN DISPOSITIF D'AFFICHAGE OU UN ECRAN VIDEO")</f>
        <v xml:space="preserve">   NON CONCUS POUR INCORPORER UN DISPOSITIF D'AFFICHAGE OU UN ECRAN VIDEO</v>
      </c>
      <c r="C2786" s="4">
        <v>10826</v>
      </c>
      <c r="D2786" s="4">
        <v>94122388</v>
      </c>
    </row>
    <row r="2787" spans="1:4" x14ac:dyDescent="0.25">
      <c r="A2787" t="str">
        <f>T("   852872")</f>
        <v xml:space="preserve">   852872</v>
      </c>
      <c r="B2787" t="str">
        <f>T("   AUTRES, EN COULEURS")</f>
        <v xml:space="preserve">   AUTRES, EN COULEURS</v>
      </c>
      <c r="C2787" s="4">
        <v>99295</v>
      </c>
      <c r="D2787" s="4">
        <v>45960782</v>
      </c>
    </row>
    <row r="2788" spans="1:4" x14ac:dyDescent="0.25">
      <c r="A2788" t="str">
        <f>T("   852873")</f>
        <v xml:space="preserve">   852873</v>
      </c>
      <c r="B2788" t="str">
        <f>T("   AUTRES, EN MONOCHROMES")</f>
        <v xml:space="preserve">   AUTRES, EN MONOCHROMES</v>
      </c>
      <c r="C2788" s="4">
        <v>153500</v>
      </c>
      <c r="D2788" s="4">
        <v>72805289</v>
      </c>
    </row>
    <row r="2789" spans="1:4" x14ac:dyDescent="0.25">
      <c r="A2789" t="str">
        <f>T("   852910")</f>
        <v xml:space="preserve">   852910</v>
      </c>
      <c r="B2789" t="str">
        <f>T("   ANTENNES ET REFLECTEURS D’ANTENNES DE TOUS TYPES; PARTIES RECONNAISSABLES COMME ETANT")</f>
        <v xml:space="preserve">   ANTENNES ET REFLECTEURS D’ANTENNES DE TOUS TYPES; PARTIES RECONNAISSABLES COMME ETANT</v>
      </c>
      <c r="C2789" s="4">
        <v>55656</v>
      </c>
      <c r="D2789" s="4">
        <v>119187539</v>
      </c>
    </row>
    <row r="2790" spans="1:4" x14ac:dyDescent="0.25">
      <c r="A2790" t="str">
        <f>T("   852990")</f>
        <v xml:space="preserve">   852990</v>
      </c>
      <c r="B2790" t="str">
        <f>T("   AUTRES")</f>
        <v xml:space="preserve">   AUTRES</v>
      </c>
      <c r="C2790" s="4">
        <v>5920.74</v>
      </c>
      <c r="D2790" s="4">
        <v>59552303</v>
      </c>
    </row>
    <row r="2791" spans="1:4" x14ac:dyDescent="0.25">
      <c r="A2791" t="str">
        <f>T("   853080")</f>
        <v xml:space="preserve">   853080</v>
      </c>
      <c r="B2791" t="str">
        <f>T("   AUTRES APPAREILS")</f>
        <v xml:space="preserve">   AUTRES APPAREILS</v>
      </c>
      <c r="C2791" s="4">
        <v>20562</v>
      </c>
      <c r="D2791" s="4">
        <v>14091696</v>
      </c>
    </row>
    <row r="2792" spans="1:4" x14ac:dyDescent="0.25">
      <c r="A2792" t="str">
        <f>T("   853090")</f>
        <v xml:space="preserve">   853090</v>
      </c>
      <c r="B2792" t="str">
        <f>T("   PARTIES")</f>
        <v xml:space="preserve">   PARTIES</v>
      </c>
      <c r="C2792" s="4">
        <v>1050</v>
      </c>
      <c r="D2792" s="4">
        <v>6329753</v>
      </c>
    </row>
    <row r="2793" spans="1:4" x14ac:dyDescent="0.25">
      <c r="A2793" t="str">
        <f>T("   853290")</f>
        <v xml:space="preserve">   853290</v>
      </c>
      <c r="B2793" t="str">
        <f>T("   PARTIES")</f>
        <v xml:space="preserve">   PARTIES</v>
      </c>
      <c r="C2793" s="4">
        <v>36</v>
      </c>
      <c r="D2793" s="4">
        <v>105000</v>
      </c>
    </row>
    <row r="2794" spans="1:4" x14ac:dyDescent="0.25">
      <c r="A2794" t="str">
        <f>T("   853530")</f>
        <v xml:space="preserve">   853530</v>
      </c>
      <c r="B2794" t="str">
        <f>T("   SECTIONNEURS ET INTERRUPTEURS")</f>
        <v xml:space="preserve">   SECTIONNEURS ET INTERRUPTEURS</v>
      </c>
      <c r="C2794" s="4">
        <v>857</v>
      </c>
      <c r="D2794" s="4">
        <v>511837</v>
      </c>
    </row>
    <row r="2795" spans="1:4" x14ac:dyDescent="0.25">
      <c r="A2795" t="str">
        <f>T("   853540")</f>
        <v xml:space="preserve">   853540</v>
      </c>
      <c r="B2795" t="str">
        <f>T("   PARAFOUDRES, LIMITEURS DE TENSION ET PARASURTENSEURS")</f>
        <v xml:space="preserve">   PARAFOUDRES, LIMITEURS DE TENSION ET PARASURTENSEURS</v>
      </c>
      <c r="C2795" s="4">
        <v>453</v>
      </c>
      <c r="D2795" s="4">
        <v>11768500</v>
      </c>
    </row>
    <row r="2796" spans="1:4" x14ac:dyDescent="0.25">
      <c r="A2796" t="str">
        <f>T("   853590")</f>
        <v xml:space="preserve">   853590</v>
      </c>
      <c r="B2796" t="str">
        <f>T("   AUTRES")</f>
        <v xml:space="preserve">   AUTRES</v>
      </c>
      <c r="C2796" s="4">
        <v>55306</v>
      </c>
      <c r="D2796" s="4">
        <v>33470637</v>
      </c>
    </row>
    <row r="2797" spans="1:4" x14ac:dyDescent="0.25">
      <c r="A2797" t="str">
        <f>T("   853620")</f>
        <v xml:space="preserve">   853620</v>
      </c>
      <c r="B2797" t="str">
        <f>T("   DISJONCTEURS")</f>
        <v xml:space="preserve">   DISJONCTEURS</v>
      </c>
      <c r="C2797" s="4">
        <v>11835</v>
      </c>
      <c r="D2797" s="4">
        <v>7655788</v>
      </c>
    </row>
    <row r="2798" spans="1:4" x14ac:dyDescent="0.25">
      <c r="A2798" t="str">
        <f>T("   853630")</f>
        <v xml:space="preserve">   853630</v>
      </c>
      <c r="B2798" t="str">
        <f>T("   AUTRES APPAREILS POUR LA PROTECTION DES CIRCUITS ELECTRIQUES")</f>
        <v xml:space="preserve">   AUTRES APPAREILS POUR LA PROTECTION DES CIRCUITS ELECTRIQUES</v>
      </c>
      <c r="C2798" s="4">
        <v>417</v>
      </c>
      <c r="D2798" s="4">
        <v>611690</v>
      </c>
    </row>
    <row r="2799" spans="1:4" x14ac:dyDescent="0.25">
      <c r="A2799" t="str">
        <f>T("   853649")</f>
        <v xml:space="preserve">   853649</v>
      </c>
      <c r="B2799" t="str">
        <f>T("   AUTRES")</f>
        <v xml:space="preserve">   AUTRES</v>
      </c>
      <c r="C2799" s="4">
        <v>16350</v>
      </c>
      <c r="D2799" s="4">
        <v>5400000</v>
      </c>
    </row>
    <row r="2800" spans="1:4" x14ac:dyDescent="0.25">
      <c r="A2800" t="str">
        <f>T("   853650")</f>
        <v xml:space="preserve">   853650</v>
      </c>
      <c r="B2800" t="str">
        <f>T("   AUTRES INTERRUPTEURS, SECTIONNEURS ET COMMUTATEURS")</f>
        <v xml:space="preserve">   AUTRES INTERRUPTEURS, SECTIONNEURS ET COMMUTATEURS</v>
      </c>
      <c r="C2800" s="4">
        <v>90881</v>
      </c>
      <c r="D2800" s="4">
        <v>27918108</v>
      </c>
    </row>
    <row r="2801" spans="1:4" x14ac:dyDescent="0.25">
      <c r="A2801" t="str">
        <f>T("   853661")</f>
        <v xml:space="preserve">   853661</v>
      </c>
      <c r="B2801" t="str">
        <f>T("   DOUILLES POUR LAMPES")</f>
        <v xml:space="preserve">   DOUILLES POUR LAMPES</v>
      </c>
      <c r="C2801" s="4">
        <v>3742</v>
      </c>
      <c r="D2801" s="4">
        <v>2834542</v>
      </c>
    </row>
    <row r="2802" spans="1:4" x14ac:dyDescent="0.25">
      <c r="A2802" t="str">
        <f>T("   853669")</f>
        <v xml:space="preserve">   853669</v>
      </c>
      <c r="B2802" t="str">
        <f>T("   AUTRES")</f>
        <v xml:space="preserve">   AUTRES</v>
      </c>
      <c r="C2802" s="4">
        <v>168406</v>
      </c>
      <c r="D2802" s="4">
        <v>62075936</v>
      </c>
    </row>
    <row r="2803" spans="1:4" x14ac:dyDescent="0.25">
      <c r="A2803" t="str">
        <f>T("   853690")</f>
        <v xml:space="preserve">   853690</v>
      </c>
      <c r="B2803" t="str">
        <f>T("   AUTRES APPAREILS")</f>
        <v xml:space="preserve">   AUTRES APPAREILS</v>
      </c>
      <c r="C2803" s="4">
        <v>67183</v>
      </c>
      <c r="D2803" s="4">
        <v>20458293</v>
      </c>
    </row>
    <row r="2804" spans="1:4" x14ac:dyDescent="0.25">
      <c r="A2804" t="str">
        <f>T("   853710")</f>
        <v xml:space="preserve">   853710</v>
      </c>
      <c r="B2804" t="str">
        <f>T("   POUR UNE TENSION N'EXCEDANT PAS 1.000 V")</f>
        <v xml:space="preserve">   POUR UNE TENSION N'EXCEDANT PAS 1.000 V</v>
      </c>
      <c r="C2804" s="4">
        <v>7223</v>
      </c>
      <c r="D2804" s="4">
        <v>10568756</v>
      </c>
    </row>
    <row r="2805" spans="1:4" x14ac:dyDescent="0.25">
      <c r="A2805" t="str">
        <f>T("   853890")</f>
        <v xml:space="preserve">   853890</v>
      </c>
      <c r="B2805" t="str">
        <f>T("   AUTRES")</f>
        <v xml:space="preserve">   AUTRES</v>
      </c>
      <c r="C2805" s="4">
        <v>4610</v>
      </c>
      <c r="D2805" s="4">
        <v>6250004</v>
      </c>
    </row>
    <row r="2806" spans="1:4" x14ac:dyDescent="0.25">
      <c r="A2806" t="str">
        <f>T("   853929")</f>
        <v xml:space="preserve">   853929</v>
      </c>
      <c r="B2806" t="str">
        <f>T("   AUTRES")</f>
        <v xml:space="preserve">   AUTRES</v>
      </c>
      <c r="C2806" s="4">
        <v>222699.7</v>
      </c>
      <c r="D2806" s="4">
        <v>96072634</v>
      </c>
    </row>
    <row r="2807" spans="1:4" x14ac:dyDescent="0.25">
      <c r="A2807" t="str">
        <f>T("   853931")</f>
        <v xml:space="preserve">   853931</v>
      </c>
      <c r="B2807" t="str">
        <f>T("   FLUORESCENTS, A CATHODE CHAUDE")</f>
        <v xml:space="preserve">   FLUORESCENTS, A CATHODE CHAUDE</v>
      </c>
      <c r="C2807" s="4">
        <v>12175</v>
      </c>
      <c r="D2807" s="4">
        <v>19369932</v>
      </c>
    </row>
    <row r="2808" spans="1:4" x14ac:dyDescent="0.25">
      <c r="A2808" t="str">
        <f>T("   853939")</f>
        <v xml:space="preserve">   853939</v>
      </c>
      <c r="B2808" t="str">
        <f>T("   AUTRES")</f>
        <v xml:space="preserve">   AUTRES</v>
      </c>
      <c r="C2808" s="4">
        <v>1833</v>
      </c>
      <c r="D2808" s="4">
        <v>1452363</v>
      </c>
    </row>
    <row r="2809" spans="1:4" x14ac:dyDescent="0.25">
      <c r="A2809" t="str">
        <f>T("   853949")</f>
        <v xml:space="preserve">   853949</v>
      </c>
      <c r="B2809" t="str">
        <f>T("   AUTRES")</f>
        <v xml:space="preserve">   AUTRES</v>
      </c>
      <c r="C2809" s="4">
        <v>13520</v>
      </c>
      <c r="D2809" s="4">
        <v>3533981</v>
      </c>
    </row>
    <row r="2810" spans="1:4" x14ac:dyDescent="0.25">
      <c r="A2810" t="str">
        <f>T("   854099")</f>
        <v xml:space="preserve">   854099</v>
      </c>
      <c r="B2810" t="str">
        <f>T("   AUTRES")</f>
        <v xml:space="preserve">   AUTRES</v>
      </c>
      <c r="C2810" s="4">
        <v>19000</v>
      </c>
      <c r="D2810" s="4">
        <v>4431274</v>
      </c>
    </row>
    <row r="2811" spans="1:4" x14ac:dyDescent="0.25">
      <c r="A2811" t="str">
        <f>T("   854140")</f>
        <v xml:space="preserve">   854140</v>
      </c>
      <c r="B2811" t="str">
        <f>T("   DISPOSITIFS PHOTOSENSIBLES A SEMICONDUCTEUR, Y COMPRIS LES CELLULES PHOTOVOLTAIQUES")</f>
        <v xml:space="preserve">   DISPOSITIFS PHOTOSENSIBLES A SEMICONDUCTEUR, Y COMPRIS LES CELLULES PHOTOVOLTAIQUES</v>
      </c>
      <c r="C2811" s="4">
        <v>13682</v>
      </c>
      <c r="D2811" s="4">
        <v>76788744</v>
      </c>
    </row>
    <row r="2812" spans="1:4" x14ac:dyDescent="0.25">
      <c r="A2812" t="str">
        <f>T("   854320")</f>
        <v xml:space="preserve">   854320</v>
      </c>
      <c r="B2812" t="str">
        <f>T("   GENERATEURS DE SIGNAUX")</f>
        <v xml:space="preserve">   GENERATEURS DE SIGNAUX</v>
      </c>
      <c r="C2812" s="4">
        <v>1500</v>
      </c>
      <c r="D2812" s="4">
        <v>796634</v>
      </c>
    </row>
    <row r="2813" spans="1:4" x14ac:dyDescent="0.25">
      <c r="A2813" t="str">
        <f>T("   854370")</f>
        <v xml:space="preserve">   854370</v>
      </c>
      <c r="B2813" t="str">
        <f>T("   AUTRES MACHINES ET APPAREILS")</f>
        <v xml:space="preserve">   AUTRES MACHINES ET APPAREILS</v>
      </c>
      <c r="C2813" s="4">
        <v>100</v>
      </c>
      <c r="D2813" s="4">
        <v>2238117</v>
      </c>
    </row>
    <row r="2814" spans="1:4" x14ac:dyDescent="0.25">
      <c r="A2814" t="str">
        <f>T("   854390")</f>
        <v xml:space="preserve">   854390</v>
      </c>
      <c r="B2814" t="str">
        <f>T("   PARTIES")</f>
        <v xml:space="preserve">   PARTIES</v>
      </c>
      <c r="C2814" s="4">
        <v>29</v>
      </c>
      <c r="D2814" s="4">
        <v>50785</v>
      </c>
    </row>
    <row r="2815" spans="1:4" x14ac:dyDescent="0.25">
      <c r="A2815" t="str">
        <f>T("   854411")</f>
        <v xml:space="preserve">   854411</v>
      </c>
      <c r="B2815" t="str">
        <f>T("   EN CUIVRE")</f>
        <v xml:space="preserve">   EN CUIVRE</v>
      </c>
      <c r="C2815" s="4">
        <v>1284</v>
      </c>
      <c r="D2815" s="4">
        <v>7891154</v>
      </c>
    </row>
    <row r="2816" spans="1:4" x14ac:dyDescent="0.25">
      <c r="A2816" t="str">
        <f>T("   854419")</f>
        <v xml:space="preserve">   854419</v>
      </c>
      <c r="B2816" t="str">
        <f>T("   AUTRES")</f>
        <v xml:space="preserve">   AUTRES</v>
      </c>
      <c r="C2816" s="4">
        <v>6300</v>
      </c>
      <c r="D2816" s="4">
        <v>5897057</v>
      </c>
    </row>
    <row r="2817" spans="1:4" x14ac:dyDescent="0.25">
      <c r="A2817" t="str">
        <f>T("   854420")</f>
        <v xml:space="preserve">   854420</v>
      </c>
      <c r="B2817" t="str">
        <f>T("   Cables coaxiaux et autres conducteurs electriques coaxiaux")</f>
        <v xml:space="preserve">   Cables coaxiaux et autres conducteurs electriques coaxiaux</v>
      </c>
      <c r="C2817" s="4">
        <v>23711</v>
      </c>
      <c r="D2817" s="4">
        <v>18759084</v>
      </c>
    </row>
    <row r="2818" spans="1:4" x14ac:dyDescent="0.25">
      <c r="A2818" t="str">
        <f>T("   854442")</f>
        <v xml:space="preserve">   854442</v>
      </c>
      <c r="B2818" t="str">
        <f>T("   MUNIS DE PIECES DE CONNEXION")</f>
        <v xml:space="preserve">   MUNIS DE PIECES DE CONNEXION</v>
      </c>
      <c r="C2818" s="4">
        <v>104</v>
      </c>
      <c r="D2818" s="4">
        <v>869717</v>
      </c>
    </row>
    <row r="2819" spans="1:4" x14ac:dyDescent="0.25">
      <c r="A2819" t="str">
        <f>T("   854449")</f>
        <v xml:space="preserve">   854449</v>
      </c>
      <c r="B2819" t="str">
        <f>T("   AUTRES")</f>
        <v xml:space="preserve">   AUTRES</v>
      </c>
      <c r="C2819" s="4">
        <v>299420</v>
      </c>
      <c r="D2819" s="4">
        <v>85002808</v>
      </c>
    </row>
    <row r="2820" spans="1:4" x14ac:dyDescent="0.25">
      <c r="A2820" t="str">
        <f>T("   854460")</f>
        <v xml:space="preserve">   854460</v>
      </c>
      <c r="B2820" t="str">
        <f>T("   AUTRES CONDUCTEURS ELECTRIQUES, POUR TENSIONS EXCEDANT 1.000 V")</f>
        <v xml:space="preserve">   AUTRES CONDUCTEURS ELECTRIQUES, POUR TENSIONS EXCEDANT 1.000 V</v>
      </c>
      <c r="C2820" s="4">
        <v>17850</v>
      </c>
      <c r="D2820" s="4">
        <v>6704000</v>
      </c>
    </row>
    <row r="2821" spans="1:4" x14ac:dyDescent="0.25">
      <c r="A2821" t="str">
        <f>T("   854519")</f>
        <v xml:space="preserve">   854519</v>
      </c>
      <c r="B2821" t="str">
        <f>T("   AUTRES")</f>
        <v xml:space="preserve">   AUTRES</v>
      </c>
      <c r="C2821" s="4">
        <v>900</v>
      </c>
      <c r="D2821" s="4">
        <v>1800000</v>
      </c>
    </row>
    <row r="2822" spans="1:4" x14ac:dyDescent="0.25">
      <c r="A2822" t="str">
        <f>T("   854520")</f>
        <v xml:space="preserve">   854520</v>
      </c>
      <c r="B2822" t="str">
        <f>T("   BALAIS")</f>
        <v xml:space="preserve">   BALAIS</v>
      </c>
      <c r="C2822" s="4">
        <v>2000</v>
      </c>
      <c r="D2822" s="4">
        <v>800000</v>
      </c>
    </row>
    <row r="2823" spans="1:4" x14ac:dyDescent="0.25">
      <c r="A2823" t="str">
        <f>T("   854790")</f>
        <v xml:space="preserve">   854790</v>
      </c>
      <c r="B2823" t="str">
        <f>T("   AUTRES")</f>
        <v xml:space="preserve">   AUTRES</v>
      </c>
      <c r="C2823" s="4">
        <v>423.5</v>
      </c>
      <c r="D2823" s="4">
        <v>789200</v>
      </c>
    </row>
    <row r="2824" spans="1:4" x14ac:dyDescent="0.25">
      <c r="A2824" t="str">
        <f>T("   870110")</f>
        <v xml:space="preserve">   870110</v>
      </c>
      <c r="B2824" t="str">
        <f>T("   Motoculteurs")</f>
        <v xml:space="preserve">   Motoculteurs</v>
      </c>
      <c r="C2824" s="4">
        <v>105774</v>
      </c>
      <c r="D2824" s="4">
        <v>297654582</v>
      </c>
    </row>
    <row r="2825" spans="1:4" x14ac:dyDescent="0.25">
      <c r="A2825" t="str">
        <f>T("   870120")</f>
        <v xml:space="preserve">   870120</v>
      </c>
      <c r="B2825" t="str">
        <f>T("   TRACTEURS ROUTIERS POUR SEMIREMORQUES")</f>
        <v xml:space="preserve">   TRACTEURS ROUTIERS POUR SEMIREMORQUES</v>
      </c>
      <c r="C2825" s="4">
        <v>755690</v>
      </c>
      <c r="D2825" s="4">
        <v>1747509776</v>
      </c>
    </row>
    <row r="2826" spans="1:4" x14ac:dyDescent="0.25">
      <c r="A2826" t="str">
        <f>T("   870190")</f>
        <v xml:space="preserve">   870190</v>
      </c>
      <c r="B2826" t="str">
        <f>T("   AUTRES")</f>
        <v xml:space="preserve">   AUTRES</v>
      </c>
      <c r="C2826" s="4">
        <v>24600</v>
      </c>
      <c r="D2826" s="4">
        <v>56219329</v>
      </c>
    </row>
    <row r="2827" spans="1:4" x14ac:dyDescent="0.25">
      <c r="A2827" t="str">
        <f>T("   870210")</f>
        <v xml:space="preserve">   870210</v>
      </c>
      <c r="B2827" t="str">
        <f>T("   A MOTEUR A PISTON A ALLUMAGE PAR COMPRESSION (DIESEL OU SEMIDIESEL)")</f>
        <v xml:space="preserve">   A MOTEUR A PISTON A ALLUMAGE PAR COMPRESSION (DIESEL OU SEMIDIESEL)</v>
      </c>
      <c r="C2827" s="4">
        <v>242939</v>
      </c>
      <c r="D2827" s="4">
        <v>536260320</v>
      </c>
    </row>
    <row r="2828" spans="1:4" x14ac:dyDescent="0.25">
      <c r="A2828" t="str">
        <f>T("   870290")</f>
        <v xml:space="preserve">   870290</v>
      </c>
      <c r="B2828" t="str">
        <f>T("   AUTRES")</f>
        <v xml:space="preserve">   AUTRES</v>
      </c>
      <c r="C2828" s="4">
        <v>27678</v>
      </c>
      <c r="D2828" s="4">
        <v>86031749</v>
      </c>
    </row>
    <row r="2829" spans="1:4" x14ac:dyDescent="0.25">
      <c r="A2829" t="str">
        <f>T("   870322")</f>
        <v xml:space="preserve">   870322</v>
      </c>
      <c r="B2829" t="str">
        <f>T("   D’UNE CYLINDREE EXCEDANT 1.000 CM³ MAIS N’EXCEDANT PAS 1.500 CM³")</f>
        <v xml:space="preserve">   D’UNE CYLINDREE EXCEDANT 1.000 CM³ MAIS N’EXCEDANT PAS 1.500 CM³</v>
      </c>
      <c r="C2829" s="4">
        <v>31355</v>
      </c>
      <c r="D2829" s="4">
        <v>122286547</v>
      </c>
    </row>
    <row r="2830" spans="1:4" x14ac:dyDescent="0.25">
      <c r="A2830" t="str">
        <f>T("   870323")</f>
        <v xml:space="preserve">   870323</v>
      </c>
      <c r="B2830" t="str">
        <f>T("   D’UNE CYLINDREE EXCEDANT 1.500 CM³ MAIS N’EXCEDANT PAS 3.000 CM³")</f>
        <v xml:space="preserve">   D’UNE CYLINDREE EXCEDANT 1.500 CM³ MAIS N’EXCEDANT PAS 3.000 CM³</v>
      </c>
      <c r="C2830" s="4">
        <v>31804</v>
      </c>
      <c r="D2830" s="4">
        <v>89507079</v>
      </c>
    </row>
    <row r="2831" spans="1:4" x14ac:dyDescent="0.25">
      <c r="A2831" t="str">
        <f>T("   870324")</f>
        <v xml:space="preserve">   870324</v>
      </c>
      <c r="B2831" t="str">
        <f>T("   D’UNE CYLINDREE EXCEDANT 3.000 CM³")</f>
        <v xml:space="preserve">   D’UNE CYLINDREE EXCEDANT 3.000 CM³</v>
      </c>
      <c r="C2831" s="4">
        <v>1333</v>
      </c>
      <c r="D2831" s="4">
        <v>8600000</v>
      </c>
    </row>
    <row r="2832" spans="1:4" x14ac:dyDescent="0.25">
      <c r="A2832" t="str">
        <f>T("   870332")</f>
        <v xml:space="preserve">   870332</v>
      </c>
      <c r="B2832" t="str">
        <f>T("   D'UNE CYLINDREE EXCEDANT 1.500 CM³ MAIS N'EXCEDANT PAS 2.500 CM³")</f>
        <v xml:space="preserve">   D'UNE CYLINDREE EXCEDANT 1.500 CM³ MAIS N'EXCEDANT PAS 2.500 CM³</v>
      </c>
      <c r="C2832" s="4">
        <v>6702</v>
      </c>
      <c r="D2832" s="4">
        <v>18825580</v>
      </c>
    </row>
    <row r="2833" spans="1:4" x14ac:dyDescent="0.25">
      <c r="A2833" t="str">
        <f>T("   870333")</f>
        <v xml:space="preserve">   870333</v>
      </c>
      <c r="B2833" t="str">
        <f>T("   D'UNE CYLINDREE EXCEDANT 2.500 CM³")</f>
        <v xml:space="preserve">   D'UNE CYLINDREE EXCEDANT 2.500 CM³</v>
      </c>
      <c r="C2833" s="4">
        <v>9297</v>
      </c>
      <c r="D2833" s="4">
        <v>79921777</v>
      </c>
    </row>
    <row r="2834" spans="1:4" x14ac:dyDescent="0.25">
      <c r="A2834" t="str">
        <f>T("   870421")</f>
        <v xml:space="preserve">   870421</v>
      </c>
      <c r="B2834" t="str">
        <f>T("   D'UN POIDS EN CHARGE MAXIMAL N'EXCEDANT PAS 5 TONNES")</f>
        <v xml:space="preserve">   D'UN POIDS EN CHARGE MAXIMAL N'EXCEDANT PAS 5 TONNES</v>
      </c>
      <c r="C2834" s="4">
        <v>380104</v>
      </c>
      <c r="D2834" s="4">
        <v>788464607</v>
      </c>
    </row>
    <row r="2835" spans="1:4" x14ac:dyDescent="0.25">
      <c r="A2835" t="str">
        <f>T("   870422")</f>
        <v xml:space="preserve">   870422</v>
      </c>
      <c r="B2835" t="str">
        <f>T("   D'UN POIDS EN CHARGE MAXIMAL EXCEDANT 5 TONNES MAIS N'EXCEDANT PAS 20 TONNES")</f>
        <v xml:space="preserve">   D'UN POIDS EN CHARGE MAXIMAL EXCEDANT 5 TONNES MAIS N'EXCEDANT PAS 20 TONNES</v>
      </c>
      <c r="C2835" s="4">
        <v>178700</v>
      </c>
      <c r="D2835" s="4">
        <v>285758425</v>
      </c>
    </row>
    <row r="2836" spans="1:4" x14ac:dyDescent="0.25">
      <c r="A2836" t="str">
        <f>T("   870423")</f>
        <v xml:space="preserve">   870423</v>
      </c>
      <c r="B2836" t="str">
        <f>T("   D'UN POIDS EN CHARGE MAXIMAL EXCEDANT 20 TONNES")</f>
        <v xml:space="preserve">   D'UN POIDS EN CHARGE MAXIMAL EXCEDANT 20 TONNES</v>
      </c>
      <c r="C2836" s="4">
        <v>651890</v>
      </c>
      <c r="D2836" s="4">
        <v>1119311904</v>
      </c>
    </row>
    <row r="2837" spans="1:4" x14ac:dyDescent="0.25">
      <c r="A2837" t="str">
        <f>T("   870431")</f>
        <v xml:space="preserve">   870431</v>
      </c>
      <c r="B2837" t="str">
        <f>T("   D'UN POIDS EN CHARGE MAXIMAL N'EXCEDANT PAS 5 TONNES")</f>
        <v xml:space="preserve">   D'UN POIDS EN CHARGE MAXIMAL N'EXCEDANT PAS 5 TONNES</v>
      </c>
      <c r="C2837" s="4">
        <v>5140</v>
      </c>
      <c r="D2837" s="4">
        <v>11813005</v>
      </c>
    </row>
    <row r="2838" spans="1:4" x14ac:dyDescent="0.25">
      <c r="A2838" t="str">
        <f>T("   870432")</f>
        <v xml:space="preserve">   870432</v>
      </c>
      <c r="B2838" t="str">
        <f>T("   D'UN POIDS EN CHARGE MAXIMAL EXCEDANT 5 TONNES")</f>
        <v xml:space="preserve">   D'UN POIDS EN CHARGE MAXIMAL EXCEDANT 5 TONNES</v>
      </c>
      <c r="C2838" s="4">
        <v>9292</v>
      </c>
      <c r="D2838" s="4">
        <v>23869842</v>
      </c>
    </row>
    <row r="2839" spans="1:4" x14ac:dyDescent="0.25">
      <c r="A2839" t="str">
        <f>T("   870510")</f>
        <v xml:space="preserve">   870510</v>
      </c>
      <c r="B2839" t="str">
        <f>T("   CAMIONSGRUES")</f>
        <v xml:space="preserve">   CAMIONSGRUES</v>
      </c>
      <c r="C2839" s="4">
        <v>16810</v>
      </c>
      <c r="D2839" s="4">
        <v>37321721</v>
      </c>
    </row>
    <row r="2840" spans="1:4" x14ac:dyDescent="0.25">
      <c r="A2840" t="str">
        <f>T("   870590")</f>
        <v xml:space="preserve">   870590</v>
      </c>
      <c r="B2840" t="str">
        <f>T("   AUTRES")</f>
        <v xml:space="preserve">   AUTRES</v>
      </c>
      <c r="C2840" s="4">
        <v>141330</v>
      </c>
      <c r="D2840" s="4">
        <v>187028781</v>
      </c>
    </row>
    <row r="2841" spans="1:4" x14ac:dyDescent="0.25">
      <c r="A2841" t="str">
        <f>T("   870790")</f>
        <v xml:space="preserve">   870790</v>
      </c>
      <c r="B2841" t="str">
        <f>T("   AUTRES")</f>
        <v xml:space="preserve">   AUTRES</v>
      </c>
      <c r="C2841" s="4">
        <v>560</v>
      </c>
      <c r="D2841" s="4">
        <v>358485</v>
      </c>
    </row>
    <row r="2842" spans="1:4" x14ac:dyDescent="0.25">
      <c r="A2842" t="str">
        <f>T("   870810")</f>
        <v xml:space="preserve">   870810</v>
      </c>
      <c r="B2842" t="str">
        <f>T("   PARECHOCS ET LEURS PARTIES")</f>
        <v xml:space="preserve">   PARECHOCS ET LEURS PARTIES</v>
      </c>
      <c r="C2842" s="4">
        <v>57440</v>
      </c>
      <c r="D2842" s="4">
        <v>43694936</v>
      </c>
    </row>
    <row r="2843" spans="1:4" x14ac:dyDescent="0.25">
      <c r="A2843" t="str">
        <f>T("   870829")</f>
        <v xml:space="preserve">   870829</v>
      </c>
      <c r="B2843" t="str">
        <f>T("   AUTRES")</f>
        <v xml:space="preserve">   AUTRES</v>
      </c>
      <c r="C2843" s="4">
        <v>14912</v>
      </c>
      <c r="D2843" s="4">
        <v>19620090</v>
      </c>
    </row>
    <row r="2844" spans="1:4" x14ac:dyDescent="0.25">
      <c r="A2844" t="str">
        <f>T("   870840")</f>
        <v xml:space="preserve">   870840</v>
      </c>
      <c r="B2844" t="str">
        <f>T("   BOITES DE VITESSES ET LEURS PARTIES")</f>
        <v xml:space="preserve">   BOITES DE VITESSES ET LEURS PARTIES</v>
      </c>
      <c r="C2844" s="4">
        <v>11</v>
      </c>
      <c r="D2844" s="4">
        <v>104060</v>
      </c>
    </row>
    <row r="2845" spans="1:4" x14ac:dyDescent="0.25">
      <c r="A2845" t="str">
        <f>T("   870870")</f>
        <v xml:space="preserve">   870870</v>
      </c>
      <c r="B2845" t="str">
        <f>T("   Roues, leurs parties et accessoires")</f>
        <v xml:space="preserve">   Roues, leurs parties et accessoires</v>
      </c>
      <c r="C2845" s="4">
        <v>49956</v>
      </c>
      <c r="D2845" s="4">
        <v>24077752</v>
      </c>
    </row>
    <row r="2846" spans="1:4" x14ac:dyDescent="0.25">
      <c r="A2846" t="str">
        <f>T("   870899")</f>
        <v xml:space="preserve">   870899</v>
      </c>
      <c r="B2846" t="str">
        <f>T("   AUTRES")</f>
        <v xml:space="preserve">   AUTRES</v>
      </c>
      <c r="C2846" s="4">
        <v>126017.2</v>
      </c>
      <c r="D2846" s="4">
        <v>289598992</v>
      </c>
    </row>
    <row r="2847" spans="1:4" x14ac:dyDescent="0.25">
      <c r="A2847" t="str">
        <f>T("   870911")</f>
        <v xml:space="preserve">   870911</v>
      </c>
      <c r="B2847" t="str">
        <f>T("   ELECTRIQUES")</f>
        <v xml:space="preserve">   ELECTRIQUES</v>
      </c>
      <c r="C2847" s="4">
        <v>3500</v>
      </c>
      <c r="D2847" s="4">
        <v>2924641</v>
      </c>
    </row>
    <row r="2848" spans="1:4" x14ac:dyDescent="0.25">
      <c r="A2848" t="str">
        <f>T("   870919")</f>
        <v xml:space="preserve">   870919</v>
      </c>
      <c r="B2848" t="str">
        <f>T("   AUTRES")</f>
        <v xml:space="preserve">   AUTRES</v>
      </c>
      <c r="C2848" s="4">
        <v>19840</v>
      </c>
      <c r="D2848" s="4">
        <v>53352064</v>
      </c>
    </row>
    <row r="2849" spans="1:4" x14ac:dyDescent="0.25">
      <c r="A2849" t="str">
        <f>T("   870990")</f>
        <v xml:space="preserve">   870990</v>
      </c>
      <c r="B2849" t="str">
        <f>T("   PARTIES")</f>
        <v xml:space="preserve">   PARTIES</v>
      </c>
      <c r="C2849" s="4">
        <v>825</v>
      </c>
      <c r="D2849" s="4">
        <v>1052682</v>
      </c>
    </row>
    <row r="2850" spans="1:4" x14ac:dyDescent="0.25">
      <c r="A2850" t="str">
        <f>T("   871110")</f>
        <v xml:space="preserve">   871110</v>
      </c>
      <c r="B2850" t="str">
        <f>T("   A MOTEUR A PISTON ALTERNATIF, D'UNE CYLINDREE N'EXCEDANT PAS 50 CM³")</f>
        <v xml:space="preserve">   A MOTEUR A PISTON ALTERNATIF, D'UNE CYLINDREE N'EXCEDANT PAS 50 CM³</v>
      </c>
      <c r="C2850" s="4">
        <v>29750</v>
      </c>
      <c r="D2850" s="4">
        <v>32660000</v>
      </c>
    </row>
    <row r="2851" spans="1:4" x14ac:dyDescent="0.25">
      <c r="A2851" t="str">
        <f>T("   871120")</f>
        <v xml:space="preserve">   871120</v>
      </c>
      <c r="B2851" t="str">
        <f>T("   A MOTEUR A PISTON ALTERNATIF, D'UNE CYLINDREE EXCEDANT 50 CM³ MAIS N'EXCEDANT PAS 250")</f>
        <v xml:space="preserve">   A MOTEUR A PISTON ALTERNATIF, D'UNE CYLINDREE EXCEDANT 50 CM³ MAIS N'EXCEDANT PAS 250</v>
      </c>
      <c r="C2851" s="4">
        <v>14978128</v>
      </c>
      <c r="D2851" s="4">
        <v>25845910802</v>
      </c>
    </row>
    <row r="2852" spans="1:4" x14ac:dyDescent="0.25">
      <c r="A2852" t="str">
        <f>T("   871130")</f>
        <v xml:space="preserve">   871130</v>
      </c>
      <c r="B2852" t="str">
        <f>T("   A MOTEUR A PISTON ALTERNATIF, D'UNE CYLINDREE EXCEDANT 250 CM³ MAIS N'EXCEDANT PAS 50")</f>
        <v xml:space="preserve">   A MOTEUR A PISTON ALTERNATIF, D'UNE CYLINDREE EXCEDANT 250 CM³ MAIS N'EXCEDANT PAS 50</v>
      </c>
      <c r="C2852" s="4">
        <v>30119</v>
      </c>
      <c r="D2852" s="4">
        <v>79293259</v>
      </c>
    </row>
    <row r="2853" spans="1:4" x14ac:dyDescent="0.25">
      <c r="A2853" t="str">
        <f>T("   871150")</f>
        <v xml:space="preserve">   871150</v>
      </c>
      <c r="B2853" t="str">
        <f>T("   A MOTEUR A PISTON ALTERNATIF, D'UNE CYLINDREE EXCEDANT 800 CM³")</f>
        <v xml:space="preserve">   A MOTEUR A PISTON ALTERNATIF, D'UNE CYLINDREE EXCEDANT 800 CM³</v>
      </c>
      <c r="C2853" s="4">
        <v>1000</v>
      </c>
      <c r="D2853" s="4">
        <v>500000</v>
      </c>
    </row>
    <row r="2854" spans="1:4" x14ac:dyDescent="0.25">
      <c r="A2854" t="str">
        <f>T("   871190")</f>
        <v xml:space="preserve">   871190</v>
      </c>
      <c r="B2854" t="str">
        <f>T("   AUTRES")</f>
        <v xml:space="preserve">   AUTRES</v>
      </c>
      <c r="C2854" s="4">
        <v>52736</v>
      </c>
      <c r="D2854" s="4">
        <v>60222000</v>
      </c>
    </row>
    <row r="2855" spans="1:4" x14ac:dyDescent="0.25">
      <c r="A2855" t="str">
        <f>T("   871200")</f>
        <v xml:space="preserve">   871200</v>
      </c>
      <c r="B2855" t="str">
        <f>T("   BICYCLETTES ET AUTRES CYCLES (Y COMPRIS LES TRIPORTEURS), SANS MOTEUR.")</f>
        <v xml:space="preserve">   BICYCLETTES ET AUTRES CYCLES (Y COMPRIS LES TRIPORTEURS), SANS MOTEUR.</v>
      </c>
      <c r="C2855" s="4">
        <v>95911</v>
      </c>
      <c r="D2855" s="4">
        <v>130305449</v>
      </c>
    </row>
    <row r="2856" spans="1:4" x14ac:dyDescent="0.25">
      <c r="A2856" t="str">
        <f>T("   871390")</f>
        <v xml:space="preserve">   871390</v>
      </c>
      <c r="B2856" t="str">
        <f>T("   AUTRES")</f>
        <v xml:space="preserve">   AUTRES</v>
      </c>
      <c r="C2856" s="4">
        <v>17017</v>
      </c>
      <c r="D2856" s="4">
        <v>33434243</v>
      </c>
    </row>
    <row r="2857" spans="1:4" x14ac:dyDescent="0.25">
      <c r="A2857" t="str">
        <f>T("   871411")</f>
        <v xml:space="preserve">   871411</v>
      </c>
      <c r="B2857" t="str">
        <f>T("   SELLES")</f>
        <v xml:space="preserve">   SELLES</v>
      </c>
      <c r="C2857" s="4">
        <v>665859</v>
      </c>
      <c r="D2857" s="4">
        <v>168234925</v>
      </c>
    </row>
    <row r="2858" spans="1:4" x14ac:dyDescent="0.25">
      <c r="A2858" t="str">
        <f>T("   871419")</f>
        <v xml:space="preserve">   871419</v>
      </c>
      <c r="B2858" t="str">
        <f>T("   AUTRES PARTIES ET ACCESSOIRES DE MOTOCYCLES")</f>
        <v xml:space="preserve">   AUTRES PARTIES ET ACCESSOIRES DE MOTOCYCLES</v>
      </c>
      <c r="C2858" s="4">
        <v>1472744</v>
      </c>
      <c r="D2858" s="4">
        <v>1433383947</v>
      </c>
    </row>
    <row r="2859" spans="1:4" x14ac:dyDescent="0.25">
      <c r="A2859" t="str">
        <f>T("   871491")</f>
        <v xml:space="preserve">   871491</v>
      </c>
      <c r="B2859" t="str">
        <f>T("   CADRES ET FOURCHES, ET LEURS PARTIES")</f>
        <v xml:space="preserve">   CADRES ET FOURCHES, ET LEURS PARTIES</v>
      </c>
      <c r="C2859" s="4">
        <v>10000</v>
      </c>
      <c r="D2859" s="4">
        <v>3241802</v>
      </c>
    </row>
    <row r="2860" spans="1:4" x14ac:dyDescent="0.25">
      <c r="A2860" t="str">
        <f>T("   871493")</f>
        <v xml:space="preserve">   871493</v>
      </c>
      <c r="B2860" t="str">
        <f>T("   MOYEUX (AUTRES QUE LES MOYEUX A FREINS) ET PIGNONS DE ROUES LIBRES")</f>
        <v xml:space="preserve">   MOYEUX (AUTRES QUE LES MOYEUX A FREINS) ET PIGNONS DE ROUES LIBRES</v>
      </c>
      <c r="C2860" s="4">
        <v>49618</v>
      </c>
      <c r="D2860" s="4">
        <v>14740000</v>
      </c>
    </row>
    <row r="2861" spans="1:4" x14ac:dyDescent="0.25">
      <c r="A2861" t="str">
        <f>T("   871499")</f>
        <v xml:space="preserve">   871499</v>
      </c>
      <c r="B2861" t="str">
        <f>T("   AUTRES")</f>
        <v xml:space="preserve">   AUTRES</v>
      </c>
      <c r="C2861" s="4">
        <v>359739</v>
      </c>
      <c r="D2861" s="4">
        <v>314297873</v>
      </c>
    </row>
    <row r="2862" spans="1:4" x14ac:dyDescent="0.25">
      <c r="A2862" t="str">
        <f>T("   871500")</f>
        <v xml:space="preserve">   871500</v>
      </c>
      <c r="B2862" t="str">
        <f>T("   LANDAUS, POUSSETTES ET VOITURES SIMILAIRES POUR LE TRANSPORT DES ENFANTS, ET LEURS PART")</f>
        <v xml:space="preserve">   LANDAUS, POUSSETTES ET VOITURES SIMILAIRES POUR LE TRANSPORT DES ENFANTS, ET LEURS PART</v>
      </c>
      <c r="C2862" s="4">
        <v>19981</v>
      </c>
      <c r="D2862" s="4">
        <v>9720122</v>
      </c>
    </row>
    <row r="2863" spans="1:4" x14ac:dyDescent="0.25">
      <c r="A2863" t="str">
        <f>T("   871631")</f>
        <v xml:space="preserve">   871631</v>
      </c>
      <c r="B2863" t="str">
        <f>T("   CITERNES")</f>
        <v xml:space="preserve">   CITERNES</v>
      </c>
      <c r="C2863" s="4">
        <v>164820</v>
      </c>
      <c r="D2863" s="4">
        <v>331280810</v>
      </c>
    </row>
    <row r="2864" spans="1:4" x14ac:dyDescent="0.25">
      <c r="A2864" t="str">
        <f>T("   871639")</f>
        <v xml:space="preserve">   871639</v>
      </c>
      <c r="B2864" t="str">
        <f>T("   AUTRES")</f>
        <v xml:space="preserve">   AUTRES</v>
      </c>
      <c r="C2864" s="4">
        <v>167060</v>
      </c>
      <c r="D2864" s="4">
        <v>316453129</v>
      </c>
    </row>
    <row r="2865" spans="1:4" x14ac:dyDescent="0.25">
      <c r="A2865" t="str">
        <f>T("   871640")</f>
        <v xml:space="preserve">   871640</v>
      </c>
      <c r="B2865" t="str">
        <f>T("   AUTRES REMORQUES ET SEMIREMORQUES")</f>
        <v xml:space="preserve">   AUTRES REMORQUES ET SEMIREMORQUES</v>
      </c>
      <c r="C2865" s="4">
        <v>344701</v>
      </c>
      <c r="D2865" s="4">
        <v>393690847</v>
      </c>
    </row>
    <row r="2866" spans="1:4" x14ac:dyDescent="0.25">
      <c r="A2866" t="str">
        <f>T("   871680")</f>
        <v xml:space="preserve">   871680</v>
      </c>
      <c r="B2866" t="str">
        <f>T("   AUTRES VEHICULES")</f>
        <v xml:space="preserve">   AUTRES VEHICULES</v>
      </c>
      <c r="C2866" s="4">
        <v>57780</v>
      </c>
      <c r="D2866" s="4">
        <v>54869440</v>
      </c>
    </row>
    <row r="2867" spans="1:4" x14ac:dyDescent="0.25">
      <c r="A2867" t="str">
        <f>T("   871690")</f>
        <v xml:space="preserve">   871690</v>
      </c>
      <c r="B2867" t="str">
        <f>T("   PARTIES")</f>
        <v xml:space="preserve">   PARTIES</v>
      </c>
      <c r="C2867" s="4">
        <v>37</v>
      </c>
      <c r="D2867" s="4">
        <v>329095</v>
      </c>
    </row>
    <row r="2868" spans="1:4" x14ac:dyDescent="0.25">
      <c r="A2868" t="str">
        <f>T("   890110")</f>
        <v xml:space="preserve">   890110</v>
      </c>
      <c r="B2868" t="str">
        <f>T("   PAQUEBOTS, BATEAUX DE CROISIERES ET BATEAUX SIMILAIRES PRINCIPALEMENT CONCUS POUR LE")</f>
        <v xml:space="preserve">   PAQUEBOTS, BATEAUX DE CROISIERES ET BATEAUX SIMILAIRES PRINCIPALEMENT CONCUS POUR LE</v>
      </c>
      <c r="C2868" s="4">
        <v>4894</v>
      </c>
      <c r="D2868" s="4">
        <v>8797678</v>
      </c>
    </row>
    <row r="2869" spans="1:4" x14ac:dyDescent="0.25">
      <c r="A2869" t="str">
        <f>T("   890510")</f>
        <v xml:space="preserve">   890510</v>
      </c>
      <c r="B2869" t="str">
        <f>T("   BATEAUXDRAGUEURS")</f>
        <v xml:space="preserve">   BATEAUXDRAGUEURS</v>
      </c>
      <c r="C2869" s="4">
        <v>10108</v>
      </c>
      <c r="D2869" s="4">
        <v>7671084</v>
      </c>
    </row>
    <row r="2870" spans="1:4" x14ac:dyDescent="0.25">
      <c r="A2870" t="str">
        <f>T("   890710")</f>
        <v xml:space="preserve">   890710</v>
      </c>
      <c r="B2870" t="str">
        <f>T("   RADEAUX GONFLABLES")</f>
        <v xml:space="preserve">   RADEAUX GONFLABLES</v>
      </c>
      <c r="C2870" s="4">
        <v>4861</v>
      </c>
      <c r="D2870" s="4">
        <v>9529231</v>
      </c>
    </row>
    <row r="2871" spans="1:4" x14ac:dyDescent="0.25">
      <c r="A2871" t="str">
        <f>T("   890790")</f>
        <v xml:space="preserve">   890790</v>
      </c>
      <c r="B2871" t="str">
        <f>T("   AUTRES")</f>
        <v xml:space="preserve">   AUTRES</v>
      </c>
      <c r="C2871" s="4">
        <v>698</v>
      </c>
      <c r="D2871" s="4">
        <v>412756</v>
      </c>
    </row>
    <row r="2872" spans="1:4" x14ac:dyDescent="0.25">
      <c r="A2872" t="str">
        <f>T("   900190")</f>
        <v xml:space="preserve">   900190</v>
      </c>
      <c r="B2872" t="str">
        <f>T("   AUTRES")</f>
        <v xml:space="preserve">   AUTRES</v>
      </c>
      <c r="C2872" s="4">
        <v>8600</v>
      </c>
      <c r="D2872" s="4">
        <v>1500000</v>
      </c>
    </row>
    <row r="2873" spans="1:4" x14ac:dyDescent="0.25">
      <c r="A2873" t="str">
        <f>T("   900311")</f>
        <v xml:space="preserve">   900311</v>
      </c>
      <c r="B2873" t="str">
        <f>T("   EN MATIERES PLASTIQUES")</f>
        <v xml:space="preserve">   EN MATIERES PLASTIQUES</v>
      </c>
      <c r="C2873" s="4">
        <v>1200</v>
      </c>
      <c r="D2873" s="4">
        <v>2952523</v>
      </c>
    </row>
    <row r="2874" spans="1:4" x14ac:dyDescent="0.25">
      <c r="A2874" t="str">
        <f>T("   900490")</f>
        <v xml:space="preserve">   900490</v>
      </c>
      <c r="B2874" t="str">
        <f>T("   AUTRES")</f>
        <v xml:space="preserve">   AUTRES</v>
      </c>
      <c r="C2874" s="4">
        <v>156</v>
      </c>
      <c r="D2874" s="4">
        <v>296249</v>
      </c>
    </row>
    <row r="2875" spans="1:4" x14ac:dyDescent="0.25">
      <c r="A2875" t="str">
        <f>T("   900719")</f>
        <v xml:space="preserve">   900719</v>
      </c>
      <c r="B2875" t="str">
        <f>T("   AUTRES CAMERAS MEME AVEC PRISE ET REPRODUCTION DU SON")</f>
        <v xml:space="preserve">   AUTRES CAMERAS MEME AVEC PRISE ET REPRODUCTION DU SON</v>
      </c>
      <c r="C2875" s="4">
        <v>80</v>
      </c>
      <c r="D2875" s="4">
        <v>85723</v>
      </c>
    </row>
    <row r="2876" spans="1:4" x14ac:dyDescent="0.25">
      <c r="A2876" t="str">
        <f>T("   901530")</f>
        <v xml:space="preserve">   901530</v>
      </c>
      <c r="B2876" t="str">
        <f>T("   Niveaux")</f>
        <v xml:space="preserve">   Niveaux</v>
      </c>
      <c r="C2876" s="4">
        <v>3250</v>
      </c>
      <c r="D2876" s="4">
        <v>1000000</v>
      </c>
    </row>
    <row r="2877" spans="1:4" x14ac:dyDescent="0.25">
      <c r="A2877" t="str">
        <f>T("   901580")</f>
        <v xml:space="preserve">   901580</v>
      </c>
      <c r="B2877" t="str">
        <f>T("   AUTRES INSTRUMENTS ET APPAREILS")</f>
        <v xml:space="preserve">   AUTRES INSTRUMENTS ET APPAREILS</v>
      </c>
      <c r="C2877" s="4">
        <v>5590</v>
      </c>
      <c r="D2877" s="4">
        <v>11949504</v>
      </c>
    </row>
    <row r="2878" spans="1:4" x14ac:dyDescent="0.25">
      <c r="A2878" t="str">
        <f>T("   901590")</f>
        <v xml:space="preserve">   901590</v>
      </c>
      <c r="B2878" t="str">
        <f>T("   PARTIES ET ACCESSOIRES")</f>
        <v xml:space="preserve">   PARTIES ET ACCESSOIRES</v>
      </c>
      <c r="C2878" s="4">
        <v>59</v>
      </c>
      <c r="D2878" s="4">
        <v>329558</v>
      </c>
    </row>
    <row r="2879" spans="1:4" x14ac:dyDescent="0.25">
      <c r="A2879" t="str">
        <f>T("   901600")</f>
        <v xml:space="preserve">   901600</v>
      </c>
      <c r="B2879" t="str">
        <f>T("   BALANCES SENSIBLES A UN POIDS DE 5 CG OU MOINS, AVEC OU SANS POIDS.")</f>
        <v xml:space="preserve">   BALANCES SENSIBLES A UN POIDS DE 5 CG OU MOINS, AVEC OU SANS POIDS.</v>
      </c>
      <c r="C2879" s="4">
        <v>15600</v>
      </c>
      <c r="D2879" s="4">
        <v>14046300</v>
      </c>
    </row>
    <row r="2880" spans="1:4" x14ac:dyDescent="0.25">
      <c r="A2880" t="str">
        <f>T("   901720")</f>
        <v xml:space="preserve">   901720</v>
      </c>
      <c r="B2880" t="str">
        <f>T("   AUTRES INSTRUMENTS DE DESSIN, DE TRACAGE OU DE CALCUL")</f>
        <v xml:space="preserve">   AUTRES INSTRUMENTS DE DESSIN, DE TRACAGE OU DE CALCUL</v>
      </c>
      <c r="C2880" s="4">
        <v>44000</v>
      </c>
      <c r="D2880" s="4">
        <v>30842212</v>
      </c>
    </row>
    <row r="2881" spans="1:4" x14ac:dyDescent="0.25">
      <c r="A2881" t="str">
        <f>T("   901780")</f>
        <v xml:space="preserve">   901780</v>
      </c>
      <c r="B2881" t="str">
        <f>T("   AUTRES INSTRUMENTS")</f>
        <v xml:space="preserve">   AUTRES INSTRUMENTS</v>
      </c>
      <c r="C2881" s="4">
        <v>10778</v>
      </c>
      <c r="D2881" s="4">
        <v>5079704</v>
      </c>
    </row>
    <row r="2882" spans="1:4" x14ac:dyDescent="0.25">
      <c r="A2882" t="str">
        <f>T("   901811")</f>
        <v xml:space="preserve">   901811</v>
      </c>
      <c r="B2882" t="str">
        <f>T("   ELECTROCARDIOGRAPHES")</f>
        <v xml:space="preserve">   ELECTROCARDIOGRAPHES</v>
      </c>
      <c r="C2882" s="4">
        <v>6.4</v>
      </c>
      <c r="D2882" s="4">
        <v>501809</v>
      </c>
    </row>
    <row r="2883" spans="1:4" x14ac:dyDescent="0.25">
      <c r="A2883" t="str">
        <f>T("   901812")</f>
        <v xml:space="preserve">   901812</v>
      </c>
      <c r="B2883" t="str">
        <f>T("   APPAREILS DE DIAGNOSTIC PAR BALAYAGE ULTRASONIQUE (SCANNERS)")</f>
        <v xml:space="preserve">   APPAREILS DE DIAGNOSTIC PAR BALAYAGE ULTRASONIQUE (SCANNERS)</v>
      </c>
      <c r="C2883" s="4">
        <v>161</v>
      </c>
      <c r="D2883" s="4">
        <v>1893130</v>
      </c>
    </row>
    <row r="2884" spans="1:4" x14ac:dyDescent="0.25">
      <c r="A2884" t="str">
        <f>T("   901819")</f>
        <v xml:space="preserve">   901819</v>
      </c>
      <c r="B2884" t="str">
        <f>T("   AUTRES")</f>
        <v xml:space="preserve">   AUTRES</v>
      </c>
      <c r="C2884" s="4">
        <v>11881</v>
      </c>
      <c r="D2884" s="4">
        <v>25480293</v>
      </c>
    </row>
    <row r="2885" spans="1:4" x14ac:dyDescent="0.25">
      <c r="A2885" t="str">
        <f>T("   901831")</f>
        <v xml:space="preserve">   901831</v>
      </c>
      <c r="B2885" t="str">
        <f>T("   SERINGUES, AVEC OU SANS AIGUILLES")</f>
        <v xml:space="preserve">   SERINGUES, AVEC OU SANS AIGUILLES</v>
      </c>
      <c r="C2885" s="4">
        <v>67447</v>
      </c>
      <c r="D2885" s="4">
        <v>69439788</v>
      </c>
    </row>
    <row r="2886" spans="1:4" x14ac:dyDescent="0.25">
      <c r="A2886" t="str">
        <f>T("   901832")</f>
        <v xml:space="preserve">   901832</v>
      </c>
      <c r="B2886" t="str">
        <f>T("   AIGUILLES TUBULAIRES EN METAL ET AIGUILLES A SUTURES")</f>
        <v xml:space="preserve">   AIGUILLES TUBULAIRES EN METAL ET AIGUILLES A SUTURES</v>
      </c>
      <c r="C2886" s="4">
        <v>671</v>
      </c>
      <c r="D2886" s="4">
        <v>1405913</v>
      </c>
    </row>
    <row r="2887" spans="1:4" x14ac:dyDescent="0.25">
      <c r="A2887" t="str">
        <f>T("   901839")</f>
        <v xml:space="preserve">   901839</v>
      </c>
      <c r="B2887" t="str">
        <f>T("   AUTRES")</f>
        <v xml:space="preserve">   AUTRES</v>
      </c>
      <c r="C2887" s="4">
        <v>6170</v>
      </c>
      <c r="D2887" s="4">
        <v>14846224</v>
      </c>
    </row>
    <row r="2888" spans="1:4" x14ac:dyDescent="0.25">
      <c r="A2888" t="str">
        <f>T("   901890")</f>
        <v xml:space="preserve">   901890</v>
      </c>
      <c r="B2888" t="str">
        <f>T("   AUTRES INSTRUMENTS ET APPAREILS")</f>
        <v xml:space="preserve">   AUTRES INSTRUMENTS ET APPAREILS</v>
      </c>
      <c r="C2888" s="4">
        <v>43622.2</v>
      </c>
      <c r="D2888" s="4">
        <v>73478911</v>
      </c>
    </row>
    <row r="2889" spans="1:4" x14ac:dyDescent="0.25">
      <c r="A2889" t="str">
        <f>T("   901910")</f>
        <v xml:space="preserve">   901910</v>
      </c>
      <c r="B2889" t="str">
        <f>T("   APPAREILS DE MECANOTHERAPIE; APPAREILS DE MASSAGE; APPAREILS DE PSYCHOTECHNIE")</f>
        <v xml:space="preserve">   APPAREILS DE MECANOTHERAPIE; APPAREILS DE MASSAGE; APPAREILS DE PSYCHOTECHNIE</v>
      </c>
      <c r="C2889" s="4">
        <v>1485</v>
      </c>
      <c r="D2889" s="4">
        <v>24152004</v>
      </c>
    </row>
    <row r="2890" spans="1:4" x14ac:dyDescent="0.25">
      <c r="A2890" t="str">
        <f>T("   901920")</f>
        <v xml:space="preserve">   901920</v>
      </c>
      <c r="B2890" t="str">
        <f>T("   APPAREILS D'OZONOTHERAPIE, D'OXYGENOTHERAPIE, D'AEROSOLTHERAPIE, APPAREILS RESPIRATOI")</f>
        <v xml:space="preserve">   APPAREILS D'OZONOTHERAPIE, D'OXYGENOTHERAPIE, D'AEROSOLTHERAPIE, APPAREILS RESPIRATOI</v>
      </c>
      <c r="C2890" s="4">
        <v>100</v>
      </c>
      <c r="D2890" s="4">
        <v>1921879</v>
      </c>
    </row>
    <row r="2891" spans="1:4" x14ac:dyDescent="0.25">
      <c r="A2891" t="str">
        <f>T("   902129")</f>
        <v xml:space="preserve">   902129</v>
      </c>
      <c r="B2891" t="str">
        <f>T("   AUTRES")</f>
        <v xml:space="preserve">   AUTRES</v>
      </c>
      <c r="C2891" s="4">
        <v>2</v>
      </c>
      <c r="D2891" s="4">
        <v>1700</v>
      </c>
    </row>
    <row r="2892" spans="1:4" x14ac:dyDescent="0.25">
      <c r="A2892" t="str">
        <f>T("   902150")</f>
        <v xml:space="preserve">   902150</v>
      </c>
      <c r="B2892" t="str">
        <f>T("   STIMULATEURS CARDIAQUES, A L'EXCLUSION DES PARTIES ET ACCESSOIRES")</f>
        <v xml:space="preserve">   STIMULATEURS CARDIAQUES, A L'EXCLUSION DES PARTIES ET ACCESSOIRES</v>
      </c>
      <c r="C2892" s="4">
        <v>2</v>
      </c>
      <c r="D2892" s="4">
        <v>59748</v>
      </c>
    </row>
    <row r="2893" spans="1:4" x14ac:dyDescent="0.25">
      <c r="A2893" t="str">
        <f>T("   902190")</f>
        <v xml:space="preserve">   902190</v>
      </c>
      <c r="B2893" t="str">
        <f>T("   AUTRES")</f>
        <v xml:space="preserve">   AUTRES</v>
      </c>
      <c r="C2893" s="4">
        <v>3734</v>
      </c>
      <c r="D2893" s="4">
        <v>2818162</v>
      </c>
    </row>
    <row r="2894" spans="1:4" x14ac:dyDescent="0.25">
      <c r="A2894" t="str">
        <f>T("   902214")</f>
        <v xml:space="preserve">   902214</v>
      </c>
      <c r="B2894" t="str">
        <f>T("   AUTRES, POUR USAGES MEDICAUX, CHIRURGICAUX OU VETERINAIRES")</f>
        <v xml:space="preserve">   AUTRES, POUR USAGES MEDICAUX, CHIRURGICAUX OU VETERINAIRES</v>
      </c>
      <c r="C2894" s="4">
        <v>13800</v>
      </c>
      <c r="D2894" s="4">
        <v>11663214</v>
      </c>
    </row>
    <row r="2895" spans="1:4" x14ac:dyDescent="0.25">
      <c r="A2895" t="str">
        <f>T("   902221")</f>
        <v xml:space="preserve">   902221</v>
      </c>
      <c r="B2895" t="str">
        <f>T("   A USAGE MEDICAL, CHIRURGICAL, DENTAIRE OU VETERINAIRE")</f>
        <v xml:space="preserve">   A USAGE MEDICAL, CHIRURGICAL, DENTAIRE OU VETERINAIRE</v>
      </c>
      <c r="C2895" s="4">
        <v>209</v>
      </c>
      <c r="D2895" s="4">
        <v>1373322</v>
      </c>
    </row>
    <row r="2896" spans="1:4" x14ac:dyDescent="0.25">
      <c r="A2896" t="str">
        <f>T("   902290")</f>
        <v xml:space="preserve">   902290</v>
      </c>
      <c r="B2896" t="str">
        <f>T("   AUTRES, Y COMPRIS LES PARTIES ET ACCESSOIRES")</f>
        <v xml:space="preserve">   AUTRES, Y COMPRIS LES PARTIES ET ACCESSOIRES</v>
      </c>
      <c r="C2896" s="4">
        <v>31</v>
      </c>
      <c r="D2896" s="4">
        <v>497896</v>
      </c>
    </row>
    <row r="2897" spans="1:4" x14ac:dyDescent="0.25">
      <c r="A2897" t="str">
        <f>T("   902300")</f>
        <v xml:space="preserve">   902300</v>
      </c>
      <c r="B2897" t="str">
        <f>T("   INSTRUMENTS, APPAREILS ET MODELES CONCUS POUR LA DEMONSTRATION (DANS L'ENSEIGNEMENT OU")</f>
        <v xml:space="preserve">   INSTRUMENTS, APPAREILS ET MODELES CONCUS POUR LA DEMONSTRATION (DANS L'ENSEIGNEMENT OU</v>
      </c>
      <c r="C2897" s="4">
        <v>13610</v>
      </c>
      <c r="D2897" s="4">
        <v>24356112</v>
      </c>
    </row>
    <row r="2898" spans="1:4" x14ac:dyDescent="0.25">
      <c r="A2898" t="str">
        <f>T("   902519")</f>
        <v xml:space="preserve">   902519</v>
      </c>
      <c r="B2898" t="str">
        <f>T("   AUTRES")</f>
        <v xml:space="preserve">   AUTRES</v>
      </c>
      <c r="C2898" s="4">
        <v>1370</v>
      </c>
      <c r="D2898" s="4">
        <v>594513</v>
      </c>
    </row>
    <row r="2899" spans="1:4" x14ac:dyDescent="0.25">
      <c r="A2899" t="str">
        <f>T("   902580")</f>
        <v xml:space="preserve">   902580</v>
      </c>
      <c r="B2899" t="str">
        <f>T("   AUTRES INSTRUMENTS")</f>
        <v xml:space="preserve">   AUTRES INSTRUMENTS</v>
      </c>
      <c r="C2899" s="4">
        <v>18</v>
      </c>
      <c r="D2899" s="4">
        <v>149369</v>
      </c>
    </row>
    <row r="2900" spans="1:4" x14ac:dyDescent="0.25">
      <c r="A2900" t="str">
        <f>T("   902730")</f>
        <v xml:space="preserve">   902730</v>
      </c>
      <c r="B2900" t="str">
        <f>T("   SPECTROMETRES, SPECTROPHOTOMETRES ET SPECTROGRAPHES UTILISANT LES RAYONNEMENTS OPTIQU")</f>
        <v xml:space="preserve">   SPECTROMETRES, SPECTROPHOTOMETRES ET SPECTROGRAPHES UTILISANT LES RAYONNEMENTS OPTIQU</v>
      </c>
      <c r="C2900" s="4">
        <v>30</v>
      </c>
      <c r="D2900" s="4">
        <v>746844</v>
      </c>
    </row>
    <row r="2901" spans="1:4" x14ac:dyDescent="0.25">
      <c r="A2901" t="str">
        <f>T("   902780")</f>
        <v xml:space="preserve">   902780</v>
      </c>
      <c r="B2901" t="str">
        <f>T("   AUTRES INSTRUMENTS ET APPAREILS")</f>
        <v xml:space="preserve">   AUTRES INSTRUMENTS ET APPAREILS</v>
      </c>
      <c r="C2901" s="4">
        <v>15843</v>
      </c>
      <c r="D2901" s="4">
        <v>10638987</v>
      </c>
    </row>
    <row r="2902" spans="1:4" x14ac:dyDescent="0.25">
      <c r="A2902" t="str">
        <f>T("   902830")</f>
        <v xml:space="preserve">   902830</v>
      </c>
      <c r="B2902" t="str">
        <f>T("   COMPTEURS D'ELECTRICITE")</f>
        <v xml:space="preserve">   COMPTEURS D'ELECTRICITE</v>
      </c>
      <c r="C2902" s="4">
        <v>28696</v>
      </c>
      <c r="D2902" s="4">
        <v>107273116</v>
      </c>
    </row>
    <row r="2903" spans="1:4" x14ac:dyDescent="0.25">
      <c r="A2903" t="str">
        <f>T("   903180")</f>
        <v xml:space="preserve">   903180</v>
      </c>
      <c r="B2903" t="str">
        <f>T("   AUTRES INSTRUMENTS, APPAREILS ET MACHINES")</f>
        <v xml:space="preserve">   AUTRES INSTRUMENTS, APPAREILS ET MACHINES</v>
      </c>
      <c r="C2903" s="4">
        <v>5410</v>
      </c>
      <c r="D2903" s="4">
        <v>105350386</v>
      </c>
    </row>
    <row r="2904" spans="1:4" x14ac:dyDescent="0.25">
      <c r="A2904" t="str">
        <f>T("   903210")</f>
        <v xml:space="preserve">   903210</v>
      </c>
      <c r="B2904" t="str">
        <f>T("   THERMOSTATS")</f>
        <v xml:space="preserve">   THERMOSTATS</v>
      </c>
      <c r="C2904" s="4">
        <v>57</v>
      </c>
      <c r="D2904" s="4">
        <v>328113</v>
      </c>
    </row>
    <row r="2905" spans="1:4" x14ac:dyDescent="0.25">
      <c r="A2905" t="str">
        <f>T("   903289")</f>
        <v xml:space="preserve">   903289</v>
      </c>
      <c r="B2905" t="str">
        <f>T("   AUTRES")</f>
        <v xml:space="preserve">   AUTRES</v>
      </c>
      <c r="C2905" s="4">
        <v>75932</v>
      </c>
      <c r="D2905" s="4">
        <v>29267984</v>
      </c>
    </row>
    <row r="2906" spans="1:4" x14ac:dyDescent="0.25">
      <c r="A2906" t="str">
        <f>T("   903290")</f>
        <v xml:space="preserve">   903290</v>
      </c>
      <c r="B2906" t="str">
        <f>T("   PARTIES ET ACCESSOIRES")</f>
        <v xml:space="preserve">   PARTIES ET ACCESSOIRES</v>
      </c>
      <c r="C2906" s="4">
        <v>1701</v>
      </c>
      <c r="D2906" s="4">
        <v>477981</v>
      </c>
    </row>
    <row r="2907" spans="1:4" x14ac:dyDescent="0.25">
      <c r="A2907" t="str">
        <f>T("   910199")</f>
        <v xml:space="preserve">   910199</v>
      </c>
      <c r="B2907" t="str">
        <f t="shared" ref="B2907:B2912" si="1">T("   AUTRES")</f>
        <v xml:space="preserve">   AUTRES</v>
      </c>
      <c r="C2907" s="4">
        <v>2700</v>
      </c>
      <c r="D2907" s="4">
        <v>890000</v>
      </c>
    </row>
    <row r="2908" spans="1:4" x14ac:dyDescent="0.25">
      <c r="A2908" t="str">
        <f>T("   910529")</f>
        <v xml:space="preserve">   910529</v>
      </c>
      <c r="B2908" t="str">
        <f t="shared" si="1"/>
        <v xml:space="preserve">   AUTRES</v>
      </c>
      <c r="C2908" s="4">
        <v>3276</v>
      </c>
      <c r="D2908" s="4">
        <v>4322776</v>
      </c>
    </row>
    <row r="2909" spans="1:4" x14ac:dyDescent="0.25">
      <c r="A2909" t="str">
        <f>T("   910599")</f>
        <v xml:space="preserve">   910599</v>
      </c>
      <c r="B2909" t="str">
        <f t="shared" si="1"/>
        <v xml:space="preserve">   AUTRES</v>
      </c>
      <c r="C2909" s="4">
        <v>173</v>
      </c>
      <c r="D2909" s="4">
        <v>139864</v>
      </c>
    </row>
    <row r="2910" spans="1:4" x14ac:dyDescent="0.25">
      <c r="A2910" t="str">
        <f>T("   920590")</f>
        <v xml:space="preserve">   920590</v>
      </c>
      <c r="B2910" t="str">
        <f t="shared" si="1"/>
        <v xml:space="preserve">   AUTRES</v>
      </c>
      <c r="C2910" s="4">
        <v>962</v>
      </c>
      <c r="D2910" s="4">
        <v>2659262</v>
      </c>
    </row>
    <row r="2911" spans="1:4" x14ac:dyDescent="0.25">
      <c r="A2911" t="str">
        <f>T("   920790")</f>
        <v xml:space="preserve">   920790</v>
      </c>
      <c r="B2911" t="str">
        <f t="shared" si="1"/>
        <v xml:space="preserve">   AUTRES</v>
      </c>
      <c r="C2911" s="4">
        <v>10150</v>
      </c>
      <c r="D2911" s="4">
        <v>6852292</v>
      </c>
    </row>
    <row r="2912" spans="1:4" x14ac:dyDescent="0.25">
      <c r="A2912" t="str">
        <f>T("   920890")</f>
        <v xml:space="preserve">   920890</v>
      </c>
      <c r="B2912" t="str">
        <f t="shared" si="1"/>
        <v xml:space="preserve">   AUTRES</v>
      </c>
      <c r="C2912" s="4">
        <v>3000</v>
      </c>
      <c r="D2912" s="4">
        <v>400000</v>
      </c>
    </row>
    <row r="2913" spans="1:4" x14ac:dyDescent="0.25">
      <c r="A2913" t="str">
        <f>T("   940130")</f>
        <v xml:space="preserve">   940130</v>
      </c>
      <c r="B2913" t="str">
        <f>T("   SIEGES PIVOTANTS, AJUSTABLES EN HAUTEUR")</f>
        <v xml:space="preserve">   SIEGES PIVOTANTS, AJUSTABLES EN HAUTEUR</v>
      </c>
      <c r="C2913" s="4">
        <v>11269</v>
      </c>
      <c r="D2913" s="4">
        <v>8416434</v>
      </c>
    </row>
    <row r="2914" spans="1:4" x14ac:dyDescent="0.25">
      <c r="A2914" t="str">
        <f>T("   940140")</f>
        <v xml:space="preserve">   940140</v>
      </c>
      <c r="B2914" t="str">
        <f>T("   SIEGES AUTRES QUE LE MATERIEL DE CAMPING OU DE JARDIN, TRANSFORMABLES EN LITS")</f>
        <v xml:space="preserve">   SIEGES AUTRES QUE LE MATERIEL DE CAMPING OU DE JARDIN, TRANSFORMABLES EN LITS</v>
      </c>
      <c r="C2914" s="4">
        <v>5300</v>
      </c>
      <c r="D2914" s="4">
        <v>2512384</v>
      </c>
    </row>
    <row r="2915" spans="1:4" x14ac:dyDescent="0.25">
      <c r="A2915" t="str">
        <f>T("   940159")</f>
        <v xml:space="preserve">   940159</v>
      </c>
      <c r="B2915" t="str">
        <f>T("   AUTRES")</f>
        <v xml:space="preserve">   AUTRES</v>
      </c>
      <c r="C2915" s="4">
        <v>116391</v>
      </c>
      <c r="D2915" s="4">
        <v>83473324</v>
      </c>
    </row>
    <row r="2916" spans="1:4" x14ac:dyDescent="0.25">
      <c r="A2916" t="str">
        <f>T("   940161")</f>
        <v xml:space="preserve">   940161</v>
      </c>
      <c r="B2916" t="str">
        <f>T("   REMBOURRES")</f>
        <v xml:space="preserve">   REMBOURRES</v>
      </c>
      <c r="C2916" s="4">
        <v>100948</v>
      </c>
      <c r="D2916" s="4">
        <v>106003522</v>
      </c>
    </row>
    <row r="2917" spans="1:4" x14ac:dyDescent="0.25">
      <c r="A2917" t="str">
        <f>T("   940169")</f>
        <v xml:space="preserve">   940169</v>
      </c>
      <c r="B2917" t="str">
        <f>T("   AUTRES")</f>
        <v xml:space="preserve">   AUTRES</v>
      </c>
      <c r="C2917" s="4">
        <v>11737</v>
      </c>
      <c r="D2917" s="4">
        <v>11964336</v>
      </c>
    </row>
    <row r="2918" spans="1:4" x14ac:dyDescent="0.25">
      <c r="A2918" t="str">
        <f>T("   940171")</f>
        <v xml:space="preserve">   940171</v>
      </c>
      <c r="B2918" t="str">
        <f>T("   REMBOURRES")</f>
        <v xml:space="preserve">   REMBOURRES</v>
      </c>
      <c r="C2918" s="4">
        <v>420</v>
      </c>
      <c r="D2918" s="4">
        <v>756423</v>
      </c>
    </row>
    <row r="2919" spans="1:4" x14ac:dyDescent="0.25">
      <c r="A2919" t="str">
        <f>T("   940179")</f>
        <v xml:space="preserve">   940179</v>
      </c>
      <c r="B2919" t="str">
        <f>T("   AUTRES")</f>
        <v xml:space="preserve">   AUTRES</v>
      </c>
      <c r="C2919" s="4">
        <v>57838</v>
      </c>
      <c r="D2919" s="4">
        <v>46891979</v>
      </c>
    </row>
    <row r="2920" spans="1:4" x14ac:dyDescent="0.25">
      <c r="A2920" t="str">
        <f>T("   940180")</f>
        <v xml:space="preserve">   940180</v>
      </c>
      <c r="B2920" t="str">
        <f>T("   AUTRES SIEGES")</f>
        <v xml:space="preserve">   AUTRES SIEGES</v>
      </c>
      <c r="C2920" s="4">
        <v>63056.4</v>
      </c>
      <c r="D2920" s="4">
        <v>45406542</v>
      </c>
    </row>
    <row r="2921" spans="1:4" x14ac:dyDescent="0.25">
      <c r="A2921" t="str">
        <f>T("   940190")</f>
        <v xml:space="preserve">   940190</v>
      </c>
      <c r="B2921" t="str">
        <f>T("   PARTIES")</f>
        <v xml:space="preserve">   PARTIES</v>
      </c>
      <c r="C2921" s="4">
        <v>4000</v>
      </c>
      <c r="D2921" s="4">
        <v>1893996</v>
      </c>
    </row>
    <row r="2922" spans="1:4" x14ac:dyDescent="0.25">
      <c r="A2922" t="str">
        <f>T("   940210")</f>
        <v xml:space="preserve">   940210</v>
      </c>
      <c r="B2922" t="str">
        <f>T("   FAUTEUILS DE DENTISTES, FAUTEUILS POUR SALONS DE COIFFURE ET FAUTEUILS SIMILAIRES, ET")</f>
        <v xml:space="preserve">   FAUTEUILS DE DENTISTES, FAUTEUILS POUR SALONS DE COIFFURE ET FAUTEUILS SIMILAIRES, ET</v>
      </c>
      <c r="C2922" s="4">
        <v>86</v>
      </c>
      <c r="D2922" s="4">
        <v>217083</v>
      </c>
    </row>
    <row r="2923" spans="1:4" x14ac:dyDescent="0.25">
      <c r="A2923" t="str">
        <f>T("   940290")</f>
        <v xml:space="preserve">   940290</v>
      </c>
      <c r="B2923" t="str">
        <f>T("   AUTRES")</f>
        <v xml:space="preserve">   AUTRES</v>
      </c>
      <c r="C2923" s="4">
        <v>3812</v>
      </c>
      <c r="D2923" s="4">
        <v>2417859</v>
      </c>
    </row>
    <row r="2924" spans="1:4" x14ac:dyDescent="0.25">
      <c r="A2924" t="str">
        <f>T("   940310")</f>
        <v xml:space="preserve">   940310</v>
      </c>
      <c r="B2924" t="str">
        <f>T("   MEUBLES EN METAL DES TYPES UTILISES DANS LES BUREAUX")</f>
        <v xml:space="preserve">   MEUBLES EN METAL DES TYPES UTILISES DANS LES BUREAUX</v>
      </c>
      <c r="C2924" s="4">
        <v>58250</v>
      </c>
      <c r="D2924" s="4">
        <v>30322081</v>
      </c>
    </row>
    <row r="2925" spans="1:4" x14ac:dyDescent="0.25">
      <c r="A2925" t="str">
        <f>T("   940320")</f>
        <v xml:space="preserve">   940320</v>
      </c>
      <c r="B2925" t="str">
        <f>T("   AUTRES MEUBLES EN METAL")</f>
        <v xml:space="preserve">   AUTRES MEUBLES EN METAL</v>
      </c>
      <c r="C2925" s="4">
        <v>173736</v>
      </c>
      <c r="D2925" s="4">
        <v>40636818</v>
      </c>
    </row>
    <row r="2926" spans="1:4" x14ac:dyDescent="0.25">
      <c r="A2926" t="str">
        <f>T("   940330")</f>
        <v xml:space="preserve">   940330</v>
      </c>
      <c r="B2926" t="str">
        <f>T("   MEUBLES EN BOIS DES TYPES UTILISES DANS LES BUREAUX")</f>
        <v xml:space="preserve">   MEUBLES EN BOIS DES TYPES UTILISES DANS LES BUREAUX</v>
      </c>
      <c r="C2926" s="4">
        <v>234460</v>
      </c>
      <c r="D2926" s="4">
        <v>120901961</v>
      </c>
    </row>
    <row r="2927" spans="1:4" x14ac:dyDescent="0.25">
      <c r="A2927" t="str">
        <f>T("   940340")</f>
        <v xml:space="preserve">   940340</v>
      </c>
      <c r="B2927" t="str">
        <f>T("   MEUBLES EN BOIS DES TYPES UTILISES DANS LES CUISINES")</f>
        <v xml:space="preserve">   MEUBLES EN BOIS DES TYPES UTILISES DANS LES CUISINES</v>
      </c>
      <c r="C2927" s="4">
        <v>9608</v>
      </c>
      <c r="D2927" s="4">
        <v>3486800</v>
      </c>
    </row>
    <row r="2928" spans="1:4" x14ac:dyDescent="0.25">
      <c r="A2928" t="str">
        <f>T("   940350")</f>
        <v xml:space="preserve">   940350</v>
      </c>
      <c r="B2928" t="str">
        <f>T("   MEUBLES EN BOIS DES TYPES UTILISES DANS LES CHAMBRES A COUCHER")</f>
        <v xml:space="preserve">   MEUBLES EN BOIS DES TYPES UTILISES DANS LES CHAMBRES A COUCHER</v>
      </c>
      <c r="C2928" s="4">
        <v>68557</v>
      </c>
      <c r="D2928" s="4">
        <v>34272419</v>
      </c>
    </row>
    <row r="2929" spans="1:4" x14ac:dyDescent="0.25">
      <c r="A2929" t="str">
        <f>T("   940360")</f>
        <v xml:space="preserve">   940360</v>
      </c>
      <c r="B2929" t="str">
        <f>T("   Autres meubles en bois")</f>
        <v xml:space="preserve">   Autres meubles en bois</v>
      </c>
      <c r="C2929" s="4">
        <v>801254</v>
      </c>
      <c r="D2929" s="4">
        <v>364390997</v>
      </c>
    </row>
    <row r="2930" spans="1:4" x14ac:dyDescent="0.25">
      <c r="A2930" t="str">
        <f>T("   940370")</f>
        <v xml:space="preserve">   940370</v>
      </c>
      <c r="B2930" t="str">
        <f>T("   MEUBLES EN MATIERES PLASTIQUES")</f>
        <v xml:space="preserve">   MEUBLES EN MATIERES PLASTIQUES</v>
      </c>
      <c r="C2930" s="4">
        <v>127207</v>
      </c>
      <c r="D2930" s="4">
        <v>61243765</v>
      </c>
    </row>
    <row r="2931" spans="1:4" x14ac:dyDescent="0.25">
      <c r="A2931" t="str">
        <f>T("   940381")</f>
        <v xml:space="preserve">   940381</v>
      </c>
      <c r="B2931" t="str">
        <f>T("   EN BAMBOU OU EN ROTIN")</f>
        <v xml:space="preserve">   EN BAMBOU OU EN ROTIN</v>
      </c>
      <c r="C2931" s="4">
        <v>5722</v>
      </c>
      <c r="D2931" s="4">
        <v>1273875</v>
      </c>
    </row>
    <row r="2932" spans="1:4" x14ac:dyDescent="0.25">
      <c r="A2932" t="str">
        <f>T("   940389")</f>
        <v xml:space="preserve">   940389</v>
      </c>
      <c r="B2932" t="str">
        <f>T("   AUTRES")</f>
        <v xml:space="preserve">   AUTRES</v>
      </c>
      <c r="C2932" s="4">
        <v>1190592</v>
      </c>
      <c r="D2932" s="4">
        <v>431584839</v>
      </c>
    </row>
    <row r="2933" spans="1:4" x14ac:dyDescent="0.25">
      <c r="A2933" t="str">
        <f>T("   940390")</f>
        <v xml:space="preserve">   940390</v>
      </c>
      <c r="B2933" t="str">
        <f>T("   PARTIES")</f>
        <v xml:space="preserve">   PARTIES</v>
      </c>
      <c r="C2933" s="4">
        <v>9916</v>
      </c>
      <c r="D2933" s="4">
        <v>1571774</v>
      </c>
    </row>
    <row r="2934" spans="1:4" x14ac:dyDescent="0.25">
      <c r="A2934" t="str">
        <f>T("   940410")</f>
        <v xml:space="preserve">   940410</v>
      </c>
      <c r="B2934" t="str">
        <f>T("   Sommiers")</f>
        <v xml:space="preserve">   Sommiers</v>
      </c>
      <c r="C2934" s="4">
        <v>5730</v>
      </c>
      <c r="D2934" s="4">
        <v>2600000</v>
      </c>
    </row>
    <row r="2935" spans="1:4" x14ac:dyDescent="0.25">
      <c r="A2935" t="str">
        <f>T("   940429")</f>
        <v xml:space="preserve">   940429</v>
      </c>
      <c r="B2935" t="str">
        <f>T("   EN AUTRES MATIERES")</f>
        <v xml:space="preserve">   EN AUTRES MATIERES</v>
      </c>
      <c r="C2935" s="4">
        <v>35495</v>
      </c>
      <c r="D2935" s="4">
        <v>23861553</v>
      </c>
    </row>
    <row r="2936" spans="1:4" x14ac:dyDescent="0.25">
      <c r="A2936" t="str">
        <f>T("   940490")</f>
        <v xml:space="preserve">   940490</v>
      </c>
      <c r="B2936" t="str">
        <f>T("   AUTRES")</f>
        <v xml:space="preserve">   AUTRES</v>
      </c>
      <c r="C2936" s="4">
        <v>11495</v>
      </c>
      <c r="D2936" s="4">
        <v>11790126</v>
      </c>
    </row>
    <row r="2937" spans="1:4" x14ac:dyDescent="0.25">
      <c r="A2937" t="str">
        <f>T("   940510")</f>
        <v xml:space="preserve">   940510</v>
      </c>
      <c r="B2937" t="str">
        <f>T("   LUSTRES ET AUTRES APPAREILS D'ECLAIRAGE ELECTRIQUES A SUSPENDRE OU A FIXER AU PLAFOND")</f>
        <v xml:space="preserve">   LUSTRES ET AUTRES APPAREILS D'ECLAIRAGE ELECTRIQUES A SUSPENDRE OU A FIXER AU PLAFOND</v>
      </c>
      <c r="C2937" s="4">
        <v>31427</v>
      </c>
      <c r="D2937" s="4">
        <v>16998150</v>
      </c>
    </row>
    <row r="2938" spans="1:4" x14ac:dyDescent="0.25">
      <c r="A2938" t="str">
        <f>T("   940520")</f>
        <v xml:space="preserve">   940520</v>
      </c>
      <c r="B2938" t="str">
        <f>T("   LAMPES DE CHEVET, LAMPES DE BUREAU ET LAMPADAIRES D'INTERIEUR, ELECTRIQUES")</f>
        <v xml:space="preserve">   LAMPES DE CHEVET, LAMPES DE BUREAU ET LAMPADAIRES D'INTERIEUR, ELECTRIQUES</v>
      </c>
      <c r="C2938" s="4">
        <v>4250</v>
      </c>
      <c r="D2938" s="4">
        <v>1492520</v>
      </c>
    </row>
    <row r="2939" spans="1:4" x14ac:dyDescent="0.25">
      <c r="A2939" t="str">
        <f>T("   940530")</f>
        <v xml:space="preserve">   940530</v>
      </c>
      <c r="B2939" t="str">
        <f>T("   GUIRLANDES ELECTRIQUES DES TYPES UTILISES POUR LES ARBRES DE NOëL")</f>
        <v xml:space="preserve">   GUIRLANDES ELECTRIQUES DES TYPES UTILISES POUR LES ARBRES DE NOëL</v>
      </c>
      <c r="C2939" s="4">
        <v>35946</v>
      </c>
      <c r="D2939" s="4">
        <v>11189737</v>
      </c>
    </row>
    <row r="2940" spans="1:4" x14ac:dyDescent="0.25">
      <c r="A2940" t="str">
        <f>T("   940540")</f>
        <v xml:space="preserve">   940540</v>
      </c>
      <c r="B2940" t="str">
        <f>T("   AUTRES APPAREILS D'ECLAIRAGE ELECTRIQUES")</f>
        <v xml:space="preserve">   AUTRES APPAREILS D'ECLAIRAGE ELECTRIQUES</v>
      </c>
      <c r="C2940" s="4">
        <v>158029.6</v>
      </c>
      <c r="D2940" s="4">
        <v>75440572</v>
      </c>
    </row>
    <row r="2941" spans="1:4" x14ac:dyDescent="0.25">
      <c r="A2941" t="str">
        <f>T("   940550")</f>
        <v xml:space="preserve">   940550</v>
      </c>
      <c r="B2941" t="str">
        <f>T("   APPAREILS D'ECLAIRAGE NON ELECTRIQUES")</f>
        <v xml:space="preserve">   APPAREILS D'ECLAIRAGE NON ELECTRIQUES</v>
      </c>
      <c r="C2941" s="4">
        <v>9805</v>
      </c>
      <c r="D2941" s="4">
        <v>6200597</v>
      </c>
    </row>
    <row r="2942" spans="1:4" x14ac:dyDescent="0.25">
      <c r="A2942" t="str">
        <f>T("   940560")</f>
        <v xml:space="preserve">   940560</v>
      </c>
      <c r="B2942" t="str">
        <f>T("   LAMPESRECLAMES, ENSEIGNES LUMINEUSES, PLAQUES INDICATRICES LUMINEUSES ET ARTICLES SI")</f>
        <v xml:space="preserve">   LAMPESRECLAMES, ENSEIGNES LUMINEUSES, PLAQUES INDICATRICES LUMINEUSES ET ARTICLES SI</v>
      </c>
      <c r="C2942" s="4">
        <v>151</v>
      </c>
      <c r="D2942" s="4">
        <v>521297</v>
      </c>
    </row>
    <row r="2943" spans="1:4" x14ac:dyDescent="0.25">
      <c r="A2943" t="str">
        <f>T("   940591")</f>
        <v xml:space="preserve">   940591</v>
      </c>
      <c r="B2943" t="str">
        <f>T("   EN VERRE")</f>
        <v xml:space="preserve">   EN VERRE</v>
      </c>
      <c r="C2943" s="4">
        <v>694</v>
      </c>
      <c r="D2943" s="4">
        <v>3012515</v>
      </c>
    </row>
    <row r="2944" spans="1:4" x14ac:dyDescent="0.25">
      <c r="A2944" t="str">
        <f>T("   940592")</f>
        <v xml:space="preserve">   940592</v>
      </c>
      <c r="B2944" t="str">
        <f>T("   EN MATIERES PLASTIQUES")</f>
        <v xml:space="preserve">   EN MATIERES PLASTIQUES</v>
      </c>
      <c r="C2944" s="4">
        <v>616</v>
      </c>
      <c r="D2944" s="4">
        <v>236500</v>
      </c>
    </row>
    <row r="2945" spans="1:4" x14ac:dyDescent="0.25">
      <c r="A2945" t="str">
        <f>T("   940600")</f>
        <v xml:space="preserve">   940600</v>
      </c>
      <c r="B2945" t="str">
        <f>T("   CONSTRUCTIONS PREFABRIQUEES.")</f>
        <v xml:space="preserve">   CONSTRUCTIONS PREFABRIQUEES.</v>
      </c>
      <c r="C2945" s="4">
        <v>491232</v>
      </c>
      <c r="D2945" s="4">
        <v>313897704</v>
      </c>
    </row>
    <row r="2946" spans="1:4" x14ac:dyDescent="0.25">
      <c r="A2946" t="str">
        <f>T("   950300")</f>
        <v xml:space="preserve">   950300</v>
      </c>
      <c r="B2946" t="str">
        <f>T("   TRICYCLES, TROTTINETTES, AUTOS A PEDALES ET JOUETS A ROUES SIMILAIRES; LANDAUS ET POUSS")</f>
        <v xml:space="preserve">   TRICYCLES, TROTTINETTES, AUTOS A PEDALES ET JOUETS A ROUES SIMILAIRES; LANDAUS ET POUSS</v>
      </c>
      <c r="C2946" s="4">
        <v>119932</v>
      </c>
      <c r="D2946" s="4">
        <v>95586821</v>
      </c>
    </row>
    <row r="2947" spans="1:4" x14ac:dyDescent="0.25">
      <c r="A2947" t="str">
        <f>T("   950410")</f>
        <v xml:space="preserve">   950410</v>
      </c>
      <c r="B2947" t="str">
        <f>T("   JEUX VIDEO DES TYPES UTILISABLES AVEC UN RECEPTEUR DE TELEVISION")</f>
        <v xml:space="preserve">   JEUX VIDEO DES TYPES UTILISABLES AVEC UN RECEPTEUR DE TELEVISION</v>
      </c>
      <c r="C2947" s="4">
        <v>16000</v>
      </c>
      <c r="D2947" s="4">
        <v>2193000</v>
      </c>
    </row>
    <row r="2948" spans="1:4" x14ac:dyDescent="0.25">
      <c r="A2948" t="str">
        <f>T("   950440")</f>
        <v xml:space="preserve">   950440</v>
      </c>
      <c r="B2948" t="str">
        <f>T("   CARTES A JOUER")</f>
        <v xml:space="preserve">   CARTES A JOUER</v>
      </c>
      <c r="C2948" s="4">
        <v>39990</v>
      </c>
      <c r="D2948" s="4">
        <v>5043388</v>
      </c>
    </row>
    <row r="2949" spans="1:4" x14ac:dyDescent="0.25">
      <c r="A2949" t="str">
        <f>T("   950490")</f>
        <v xml:space="preserve">   950490</v>
      </c>
      <c r="B2949" t="str">
        <f>T("   AUTRES")</f>
        <v xml:space="preserve">   AUTRES</v>
      </c>
      <c r="C2949" s="4">
        <v>58353.42</v>
      </c>
      <c r="D2949" s="4">
        <v>54937676</v>
      </c>
    </row>
    <row r="2950" spans="1:4" x14ac:dyDescent="0.25">
      <c r="A2950" t="str">
        <f>T("   950510")</f>
        <v xml:space="preserve">   950510</v>
      </c>
      <c r="B2950" t="str">
        <f>T("   ARTICLES POUR FETES DE NOëL")</f>
        <v xml:space="preserve">   ARTICLES POUR FETES DE NOëL</v>
      </c>
      <c r="C2950" s="4">
        <v>70222</v>
      </c>
      <c r="D2950" s="4">
        <v>35560200</v>
      </c>
    </row>
    <row r="2951" spans="1:4" x14ac:dyDescent="0.25">
      <c r="A2951" t="str">
        <f>T("   950590")</f>
        <v xml:space="preserve">   950590</v>
      </c>
      <c r="B2951" t="str">
        <f>T("   AUTRES")</f>
        <v xml:space="preserve">   AUTRES</v>
      </c>
      <c r="C2951" s="4">
        <v>89568</v>
      </c>
      <c r="D2951" s="4">
        <v>45154032</v>
      </c>
    </row>
    <row r="2952" spans="1:4" x14ac:dyDescent="0.25">
      <c r="A2952" t="str">
        <f>T("   950619")</f>
        <v xml:space="preserve">   950619</v>
      </c>
      <c r="B2952" t="str">
        <f>T("   AUTRES")</f>
        <v xml:space="preserve">   AUTRES</v>
      </c>
      <c r="C2952" s="4">
        <v>739</v>
      </c>
      <c r="D2952" s="4">
        <v>2549227</v>
      </c>
    </row>
    <row r="2953" spans="1:4" x14ac:dyDescent="0.25">
      <c r="A2953" t="str">
        <f>T("   950629")</f>
        <v xml:space="preserve">   950629</v>
      </c>
      <c r="B2953" t="str">
        <f>T("   AUTRES")</f>
        <v xml:space="preserve">   AUTRES</v>
      </c>
      <c r="C2953" s="4">
        <v>1641</v>
      </c>
      <c r="D2953" s="4">
        <v>1300000</v>
      </c>
    </row>
    <row r="2954" spans="1:4" x14ac:dyDescent="0.25">
      <c r="A2954" t="str">
        <f>T("   950659")</f>
        <v xml:space="preserve">   950659</v>
      </c>
      <c r="B2954" t="str">
        <f>T("   AUTRES")</f>
        <v xml:space="preserve">   AUTRES</v>
      </c>
      <c r="C2954" s="4">
        <v>2100</v>
      </c>
      <c r="D2954" s="4">
        <v>1008000</v>
      </c>
    </row>
    <row r="2955" spans="1:4" x14ac:dyDescent="0.25">
      <c r="A2955" t="str">
        <f>T("   950662")</f>
        <v xml:space="preserve">   950662</v>
      </c>
      <c r="B2955" t="str">
        <f>T("   GONFLABLES")</f>
        <v xml:space="preserve">   GONFLABLES</v>
      </c>
      <c r="C2955" s="4">
        <v>3665</v>
      </c>
      <c r="D2955" s="4">
        <v>5896074</v>
      </c>
    </row>
    <row r="2956" spans="1:4" x14ac:dyDescent="0.25">
      <c r="A2956" t="str">
        <f>T("   950669")</f>
        <v xml:space="preserve">   950669</v>
      </c>
      <c r="B2956" t="str">
        <f>T("   AUTRES")</f>
        <v xml:space="preserve">   AUTRES</v>
      </c>
      <c r="C2956" s="4">
        <v>7359</v>
      </c>
      <c r="D2956" s="4">
        <v>6542121</v>
      </c>
    </row>
    <row r="2957" spans="1:4" x14ac:dyDescent="0.25">
      <c r="A2957" t="str">
        <f>T("   950691")</f>
        <v xml:space="preserve">   950691</v>
      </c>
      <c r="B2957" t="str">
        <f>T("   ARTICLES ET MATERIEL POUR LA CULTURE PHYSIQUE, LA GYMNASTIQUE OU L'ATHLETISME")</f>
        <v xml:space="preserve">   ARTICLES ET MATERIEL POUR LA CULTURE PHYSIQUE, LA GYMNASTIQUE OU L'ATHLETISME</v>
      </c>
      <c r="C2957" s="4">
        <v>32685</v>
      </c>
      <c r="D2957" s="4">
        <v>26451149</v>
      </c>
    </row>
    <row r="2958" spans="1:4" x14ac:dyDescent="0.25">
      <c r="A2958" t="str">
        <f>T("   950699")</f>
        <v xml:space="preserve">   950699</v>
      </c>
      <c r="B2958" t="str">
        <f>T("   AUTRES")</f>
        <v xml:space="preserve">   AUTRES</v>
      </c>
      <c r="C2958" s="4">
        <v>4430</v>
      </c>
      <c r="D2958" s="4">
        <v>1493036</v>
      </c>
    </row>
    <row r="2959" spans="1:4" x14ac:dyDescent="0.25">
      <c r="A2959" t="str">
        <f>T("   950890")</f>
        <v xml:space="preserve">   950890</v>
      </c>
      <c r="B2959" t="str">
        <f>T("   AUTRES")</f>
        <v xml:space="preserve">   AUTRES</v>
      </c>
      <c r="C2959" s="4">
        <v>3282</v>
      </c>
      <c r="D2959" s="4">
        <v>6630765</v>
      </c>
    </row>
    <row r="2960" spans="1:4" x14ac:dyDescent="0.25">
      <c r="A2960" t="str">
        <f>T("   960110")</f>
        <v xml:space="preserve">   960110</v>
      </c>
      <c r="B2960" t="str">
        <f>T("   IVOIRE TRAVAILLE ET OUVRAGES EN IVOIRE")</f>
        <v xml:space="preserve">   IVOIRE TRAVAILLE ET OUVRAGES EN IVOIRE</v>
      </c>
      <c r="C2960" s="4">
        <v>1000</v>
      </c>
      <c r="D2960" s="4">
        <v>350021</v>
      </c>
    </row>
    <row r="2961" spans="1:4" x14ac:dyDescent="0.25">
      <c r="A2961" t="str">
        <f>T("   960310")</f>
        <v xml:space="preserve">   960310</v>
      </c>
      <c r="B2961" t="str">
        <f>T("   BALAIS ET BALAYETTES CONSISTANT EN BRINDILLES OU AUTRES MATIERES VEGETALES EN BOTTES")</f>
        <v xml:space="preserve">   BALAIS ET BALAYETTES CONSISTANT EN BRINDILLES OU AUTRES MATIERES VEGETALES EN BOTTES</v>
      </c>
      <c r="C2961" s="4">
        <v>44623</v>
      </c>
      <c r="D2961" s="4">
        <v>14226674</v>
      </c>
    </row>
    <row r="2962" spans="1:4" x14ac:dyDescent="0.25">
      <c r="A2962" t="str">
        <f>T("   960321")</f>
        <v xml:space="preserve">   960321</v>
      </c>
      <c r="B2962" t="str">
        <f>T("   BROSSES A DENTS, Y COMPRIS LES BROSSES A DENTIERS")</f>
        <v xml:space="preserve">   BROSSES A DENTS, Y COMPRIS LES BROSSES A DENTIERS</v>
      </c>
      <c r="C2962" s="4">
        <v>8500</v>
      </c>
      <c r="D2962" s="4">
        <v>2529609</v>
      </c>
    </row>
    <row r="2963" spans="1:4" x14ac:dyDescent="0.25">
      <c r="A2963" t="str">
        <f>T("   960329")</f>
        <v xml:space="preserve">   960329</v>
      </c>
      <c r="B2963" t="str">
        <f>T("   AUTRES")</f>
        <v xml:space="preserve">   AUTRES</v>
      </c>
      <c r="C2963" s="4">
        <v>25281</v>
      </c>
      <c r="D2963" s="4">
        <v>9955020</v>
      </c>
    </row>
    <row r="2964" spans="1:4" x14ac:dyDescent="0.25">
      <c r="A2964" t="str">
        <f>T("   960330")</f>
        <v xml:space="preserve">   960330</v>
      </c>
      <c r="B2964" t="str">
        <f>T("   PINCEAUX ET BROSSES POUR ARTISTES, PINCEAUX A ECRIRE ET PINCEAUX SIMILAIRES POUR L'AP")</f>
        <v xml:space="preserve">   PINCEAUX ET BROSSES POUR ARTISTES, PINCEAUX A ECRIRE ET PINCEAUX SIMILAIRES POUR L'AP</v>
      </c>
      <c r="C2964" s="4">
        <v>216</v>
      </c>
      <c r="D2964" s="4">
        <v>107546</v>
      </c>
    </row>
    <row r="2965" spans="1:4" x14ac:dyDescent="0.25">
      <c r="A2965" t="str">
        <f>T("   960340")</f>
        <v xml:space="preserve">   960340</v>
      </c>
      <c r="B2965" t="str">
        <f>T("   BROSSES ET PINCEAUX A PEINDRE, A BADIGEONNER, A VERNIR OU SIMILAIRES (AUTRES QUE LES")</f>
        <v xml:space="preserve">   BROSSES ET PINCEAUX A PEINDRE, A BADIGEONNER, A VERNIR OU SIMILAIRES (AUTRES QUE LES</v>
      </c>
      <c r="C2965" s="4">
        <v>7766</v>
      </c>
      <c r="D2965" s="4">
        <v>2844395</v>
      </c>
    </row>
    <row r="2966" spans="1:4" x14ac:dyDescent="0.25">
      <c r="A2966" t="str">
        <f>T("   960390")</f>
        <v xml:space="preserve">   960390</v>
      </c>
      <c r="B2966" t="str">
        <f>T("   AUTRES")</f>
        <v xml:space="preserve">   AUTRES</v>
      </c>
      <c r="C2966" s="4">
        <v>22667</v>
      </c>
      <c r="D2966" s="4">
        <v>7176934</v>
      </c>
    </row>
    <row r="2967" spans="1:4" x14ac:dyDescent="0.25">
      <c r="A2967" t="str">
        <f>T("   960621")</f>
        <v xml:space="preserve">   960621</v>
      </c>
      <c r="B2967" t="str">
        <f>T("   EN MATIERES PLASTIQUES, NON RECOUVERTS DE MATIERES TEXTILES")</f>
        <v xml:space="preserve">   EN MATIERES PLASTIQUES, NON RECOUVERTS DE MATIERES TEXTILES</v>
      </c>
      <c r="C2967" s="4">
        <v>31419</v>
      </c>
      <c r="D2967" s="4">
        <v>8502637</v>
      </c>
    </row>
    <row r="2968" spans="1:4" x14ac:dyDescent="0.25">
      <c r="A2968" t="str">
        <f>T("   960629")</f>
        <v xml:space="preserve">   960629</v>
      </c>
      <c r="B2968" t="str">
        <f>T("   AUTRES")</f>
        <v xml:space="preserve">   AUTRES</v>
      </c>
      <c r="C2968" s="4">
        <v>45618</v>
      </c>
      <c r="D2968" s="4">
        <v>15576642</v>
      </c>
    </row>
    <row r="2969" spans="1:4" x14ac:dyDescent="0.25">
      <c r="A2969" t="str">
        <f>T("   960711")</f>
        <v xml:space="preserve">   960711</v>
      </c>
      <c r="B2969" t="str">
        <f>T("   AVEC AGRAFES EN METAUX COMMUNS")</f>
        <v xml:space="preserve">   AVEC AGRAFES EN METAUX COMMUNS</v>
      </c>
      <c r="C2969" s="4">
        <v>3066</v>
      </c>
      <c r="D2969" s="4">
        <v>2339613</v>
      </c>
    </row>
    <row r="2970" spans="1:4" x14ac:dyDescent="0.25">
      <c r="A2970" t="str">
        <f>T("   960719")</f>
        <v xml:space="preserve">   960719</v>
      </c>
      <c r="B2970" t="str">
        <f>T("   AUTRES")</f>
        <v xml:space="preserve">   AUTRES</v>
      </c>
      <c r="C2970" s="4">
        <v>71614</v>
      </c>
      <c r="D2970" s="4">
        <v>26786691</v>
      </c>
    </row>
    <row r="2971" spans="1:4" x14ac:dyDescent="0.25">
      <c r="A2971" t="str">
        <f>T("   960810")</f>
        <v xml:space="preserve">   960810</v>
      </c>
      <c r="B2971" t="str">
        <f>T("   STYLOS ET CRAYONS A BILLE")</f>
        <v xml:space="preserve">   STYLOS ET CRAYONS A BILLE</v>
      </c>
      <c r="C2971" s="4">
        <v>17761</v>
      </c>
      <c r="D2971" s="4">
        <v>11329710</v>
      </c>
    </row>
    <row r="2972" spans="1:4" x14ac:dyDescent="0.25">
      <c r="A2972" t="str">
        <f>T("   960820")</f>
        <v xml:space="preserve">   960820</v>
      </c>
      <c r="B2972" t="str">
        <f>T("   STYLOS ET MARQUEURS A MECHE FEUTRE OU A AUTRES POINTES POREUSES")</f>
        <v xml:space="preserve">   STYLOS ET MARQUEURS A MECHE FEUTRE OU A AUTRES POINTES POREUSES</v>
      </c>
      <c r="C2972" s="4">
        <v>809</v>
      </c>
      <c r="D2972" s="4">
        <v>4088044</v>
      </c>
    </row>
    <row r="2973" spans="1:4" x14ac:dyDescent="0.25">
      <c r="A2973" t="str">
        <f>T("   960839")</f>
        <v xml:space="preserve">   960839</v>
      </c>
      <c r="B2973" t="str">
        <f>T("   AUTRES STYLOS A PLUME ET AUTRES STYLOS")</f>
        <v xml:space="preserve">   AUTRES STYLOS A PLUME ET AUTRES STYLOS</v>
      </c>
      <c r="C2973" s="4">
        <v>18061</v>
      </c>
      <c r="D2973" s="4">
        <v>15201761</v>
      </c>
    </row>
    <row r="2974" spans="1:4" x14ac:dyDescent="0.25">
      <c r="A2974" t="str">
        <f>T("   960910")</f>
        <v xml:space="preserve">   960910</v>
      </c>
      <c r="B2974" t="str">
        <f>T("   CRAYONS A GAINE")</f>
        <v xml:space="preserve">   CRAYONS A GAINE</v>
      </c>
      <c r="C2974" s="4">
        <v>30360</v>
      </c>
      <c r="D2974" s="4">
        <v>16543042</v>
      </c>
    </row>
    <row r="2975" spans="1:4" x14ac:dyDescent="0.25">
      <c r="A2975" t="str">
        <f>T("   960990")</f>
        <v xml:space="preserve">   960990</v>
      </c>
      <c r="B2975" t="str">
        <f>T("   AUTRES")</f>
        <v xml:space="preserve">   AUTRES</v>
      </c>
      <c r="C2975" s="4">
        <v>33640</v>
      </c>
      <c r="D2975" s="4">
        <v>7767178</v>
      </c>
    </row>
    <row r="2976" spans="1:4" x14ac:dyDescent="0.25">
      <c r="A2976" t="str">
        <f>T("   961000")</f>
        <v xml:space="preserve">   961000</v>
      </c>
      <c r="B2976" t="str">
        <f>T("   ARDOISES ET TABLEAUX POUR L'ECRITURE OU LE DESSIN, MEME ENCADRES.")</f>
        <v xml:space="preserve">   ARDOISES ET TABLEAUX POUR L'ECRITURE OU LE DESSIN, MEME ENCADRES.</v>
      </c>
      <c r="C2976" s="4">
        <v>5831</v>
      </c>
      <c r="D2976" s="4">
        <v>2348554</v>
      </c>
    </row>
    <row r="2977" spans="1:4" x14ac:dyDescent="0.25">
      <c r="A2977" t="str">
        <f>T("   961100")</f>
        <v xml:space="preserve">   961100</v>
      </c>
      <c r="B2977" t="str">
        <f>T("   DATEURS, CACHETS, NUMEROTEURS, TIMBRES ET ARTICLES SIMILAIRES (Y COMPRIS LES APPAREILS")</f>
        <v xml:space="preserve">   DATEURS, CACHETS, NUMEROTEURS, TIMBRES ET ARTICLES SIMILAIRES (Y COMPRIS LES APPAREILS</v>
      </c>
      <c r="C2977" s="4">
        <v>102</v>
      </c>
      <c r="D2977" s="4">
        <v>48794</v>
      </c>
    </row>
    <row r="2978" spans="1:4" x14ac:dyDescent="0.25">
      <c r="A2978" t="str">
        <f>T("   961210")</f>
        <v xml:space="preserve">   961210</v>
      </c>
      <c r="B2978" t="str">
        <f>T("   Rubans encreurs")</f>
        <v xml:space="preserve">   Rubans encreurs</v>
      </c>
      <c r="C2978" s="4">
        <v>1000</v>
      </c>
      <c r="D2978" s="4">
        <v>300000</v>
      </c>
    </row>
    <row r="2979" spans="1:4" x14ac:dyDescent="0.25">
      <c r="A2979" t="str">
        <f>T("   961220")</f>
        <v xml:space="preserve">   961220</v>
      </c>
      <c r="B2979" t="str">
        <f>T("   Tampons encreurs")</f>
        <v xml:space="preserve">   Tampons encreurs</v>
      </c>
      <c r="C2979" s="4">
        <v>14477</v>
      </c>
      <c r="D2979" s="4">
        <v>5719366</v>
      </c>
    </row>
    <row r="2980" spans="1:4" x14ac:dyDescent="0.25">
      <c r="A2980" t="str">
        <f>T("   961519")</f>
        <v xml:space="preserve">   961519</v>
      </c>
      <c r="B2980" t="str">
        <f>T("   AUTRES")</f>
        <v xml:space="preserve">   AUTRES</v>
      </c>
      <c r="C2980" s="4">
        <v>7086</v>
      </c>
      <c r="D2980" s="4">
        <v>5320711</v>
      </c>
    </row>
    <row r="2981" spans="1:4" x14ac:dyDescent="0.25">
      <c r="A2981" t="str">
        <f>T("   961590")</f>
        <v xml:space="preserve">   961590</v>
      </c>
      <c r="B2981" t="str">
        <f>T("   AUTRES")</f>
        <v xml:space="preserve">   AUTRES</v>
      </c>
      <c r="C2981" s="4">
        <v>3935</v>
      </c>
      <c r="D2981" s="4">
        <v>799615</v>
      </c>
    </row>
    <row r="2982" spans="1:4" x14ac:dyDescent="0.25">
      <c r="A2982" t="str">
        <f>T("   961700")</f>
        <v xml:space="preserve">   961700</v>
      </c>
      <c r="B2982" t="str">
        <f>T("   BOUTEILLES ISOLANTES ET AUTRES RECIPIENTS ISOTHERMIQUES MONTES, DONT L'ISOLATION EST AS")</f>
        <v xml:space="preserve">   BOUTEILLES ISOLANTES ET AUTRES RECIPIENTS ISOTHERMIQUES MONTES, DONT L'ISOLATION EST AS</v>
      </c>
      <c r="C2982" s="4">
        <v>12651</v>
      </c>
      <c r="D2982" s="4">
        <v>9442384</v>
      </c>
    </row>
    <row r="2983" spans="1:4" x14ac:dyDescent="0.25">
      <c r="A2983" t="str">
        <f>T("   961800")</f>
        <v xml:space="preserve">   961800</v>
      </c>
      <c r="B2983" t="str">
        <f>T("   MANNEQUINS ET ARTICLES SIMILAIRES; AUTOMATES ET SCENES ANIMEES POUR ETALAGES.")</f>
        <v xml:space="preserve">   MANNEQUINS ET ARTICLES SIMILAIRES; AUTOMATES ET SCENES ANIMEES POUR ETALAGES.</v>
      </c>
      <c r="C2983" s="4">
        <v>12964</v>
      </c>
      <c r="D2983" s="4">
        <v>11605713</v>
      </c>
    </row>
    <row r="2984" spans="1:4" x14ac:dyDescent="0.25">
      <c r="A2984" t="str">
        <f>T("   970110")</f>
        <v xml:space="preserve">   970110</v>
      </c>
      <c r="B2984" t="str">
        <f>T("   TABLEAUX, PEINTURES ET DESSINS")</f>
        <v xml:space="preserve">   TABLEAUX, PEINTURES ET DESSINS</v>
      </c>
      <c r="C2984" s="4">
        <v>2165</v>
      </c>
      <c r="D2984" s="4">
        <v>541710</v>
      </c>
    </row>
    <row r="2985" spans="1:4" x14ac:dyDescent="0.25">
      <c r="A2985" t="str">
        <f>T("   970190")</f>
        <v xml:space="preserve">   970190</v>
      </c>
      <c r="B2985" t="str">
        <f>T("   AUTRES")</f>
        <v xml:space="preserve">   AUTRES</v>
      </c>
      <c r="C2985" s="4">
        <v>7609</v>
      </c>
      <c r="D2985" s="4">
        <v>1901465</v>
      </c>
    </row>
    <row r="2986" spans="1:4" s="5" customFormat="1" x14ac:dyDescent="0.25">
      <c r="A2986" s="5" t="str">
        <f>T("   ZZ_Total_Produit_SH6")</f>
        <v xml:space="preserve">   ZZ_Total_Produit_SH6</v>
      </c>
      <c r="B2986" s="5" t="str">
        <f>T("   ZZ_Total_Produit_SH6")</f>
        <v xml:space="preserve">   ZZ_Total_Produit_SH6</v>
      </c>
      <c r="C2986" s="1">
        <v>321532591.11000001</v>
      </c>
      <c r="D2986" s="1">
        <v>130650224692.905</v>
      </c>
    </row>
    <row r="2987" spans="1:4" s="5" customFormat="1" x14ac:dyDescent="0.25">
      <c r="B2987" s="5" t="str">
        <f>T("Colombie")</f>
        <v>Colombie</v>
      </c>
      <c r="C2987" s="1"/>
      <c r="D2987" s="1"/>
    </row>
    <row r="2988" spans="1:4" x14ac:dyDescent="0.25">
      <c r="A2988" t="str">
        <f>T("   020714")</f>
        <v xml:space="preserve">   020714</v>
      </c>
      <c r="B2988" t="str">
        <f>T("   MORCEAUX ET ABATS, CONGELES")</f>
        <v xml:space="preserve">   MORCEAUX ET ABATS, CONGELES</v>
      </c>
      <c r="C2988" s="4">
        <v>24920</v>
      </c>
      <c r="D2988" s="4">
        <v>15550188</v>
      </c>
    </row>
    <row r="2989" spans="1:4" x14ac:dyDescent="0.25">
      <c r="A2989" t="str">
        <f>T("   090240")</f>
        <v xml:space="preserve">   090240</v>
      </c>
      <c r="B2989" t="str">
        <f>T("   THE NOIR (FERMENTE) ET THE PARTIELLEMENT FERMENTE, PRESENTES AUTREMENT")</f>
        <v xml:space="preserve">   THE NOIR (FERMENTE) ET THE PARTIELLEMENT FERMENTE, PRESENTES AUTREMENT</v>
      </c>
      <c r="C2989" s="4">
        <v>10518</v>
      </c>
      <c r="D2989" s="4">
        <v>7256000</v>
      </c>
    </row>
    <row r="2990" spans="1:4" x14ac:dyDescent="0.25">
      <c r="A2990" t="str">
        <f>T("   120720")</f>
        <v xml:space="preserve">   120720</v>
      </c>
      <c r="B2990" t="str">
        <f>T("   GRAINES DE COTON,MEME CONCASSEES")</f>
        <v xml:space="preserve">   GRAINES DE COTON,MEME CONCASSEES</v>
      </c>
      <c r="C2990" s="4">
        <v>247</v>
      </c>
      <c r="D2990" s="4">
        <v>155500</v>
      </c>
    </row>
    <row r="2991" spans="1:4" x14ac:dyDescent="0.25">
      <c r="A2991" t="str">
        <f>T("   170490")</f>
        <v xml:space="preserve">   170490</v>
      </c>
      <c r="B2991" t="str">
        <f>T("   AUTRES")</f>
        <v xml:space="preserve">   AUTRES</v>
      </c>
      <c r="C2991" s="4">
        <v>116850</v>
      </c>
      <c r="D2991" s="4">
        <v>34956282</v>
      </c>
    </row>
    <row r="2992" spans="1:4" x14ac:dyDescent="0.25">
      <c r="A2992" t="str">
        <f>T("   392329")</f>
        <v xml:space="preserve">   392329</v>
      </c>
      <c r="B2992" t="str">
        <f>T("   EN AUTRES MATIERES PLASTIQUES")</f>
        <v xml:space="preserve">   EN AUTRES MATIERES PLASTIQUES</v>
      </c>
      <c r="C2992" s="4">
        <v>959</v>
      </c>
      <c r="D2992" s="4">
        <v>300000</v>
      </c>
    </row>
    <row r="2993" spans="1:4" x14ac:dyDescent="0.25">
      <c r="A2993" t="str">
        <f>T("   420219")</f>
        <v xml:space="preserve">   420219</v>
      </c>
      <c r="B2993" t="str">
        <f>T("   AUTRES")</f>
        <v xml:space="preserve">   AUTRES</v>
      </c>
      <c r="C2993" s="4">
        <v>26</v>
      </c>
      <c r="D2993" s="4">
        <v>655380</v>
      </c>
    </row>
    <row r="2994" spans="1:4" x14ac:dyDescent="0.25">
      <c r="A2994" t="str">
        <f>T("   481840")</f>
        <v xml:space="preserve">   481840</v>
      </c>
      <c r="B2994" t="str">
        <f>T("   SERVIETTES,TAMPONS HYGIENIQUES,COUCHES POUR BEBES ET SIMILAIRES EN PAPIER")</f>
        <v xml:space="preserve">   SERVIETTES,TAMPONS HYGIENIQUES,COUCHES POUR BEBES ET SIMILAIRES EN PAPIER</v>
      </c>
      <c r="C2994" s="4">
        <v>8288</v>
      </c>
      <c r="D2994" s="4">
        <v>3276899</v>
      </c>
    </row>
    <row r="2995" spans="1:4" x14ac:dyDescent="0.25">
      <c r="A2995" t="str">
        <f>T("   610910")</f>
        <v xml:space="preserve">   610910</v>
      </c>
      <c r="B2995" t="str">
        <f>T("   DE COTON")</f>
        <v xml:space="preserve">   DE COTON</v>
      </c>
      <c r="C2995" s="4">
        <v>1578</v>
      </c>
      <c r="D2995" s="4">
        <v>4369198</v>
      </c>
    </row>
    <row r="2996" spans="1:4" s="5" customFormat="1" x14ac:dyDescent="0.25">
      <c r="A2996" s="5" t="str">
        <f>T("   ZZ_Total_Produit_SH6")</f>
        <v xml:space="preserve">   ZZ_Total_Produit_SH6</v>
      </c>
      <c r="B2996" s="5" t="str">
        <f>T("   ZZ_Total_Produit_SH6")</f>
        <v xml:space="preserve">   ZZ_Total_Produit_SH6</v>
      </c>
      <c r="C2996" s="1">
        <v>163386</v>
      </c>
      <c r="D2996" s="1">
        <v>66519447</v>
      </c>
    </row>
    <row r="2997" spans="1:4" s="5" customFormat="1" x14ac:dyDescent="0.25">
      <c r="B2997" s="5" t="str">
        <f>T("Costa Rica")</f>
        <v>Costa Rica</v>
      </c>
      <c r="C2997" s="1"/>
      <c r="D2997" s="1"/>
    </row>
    <row r="2998" spans="1:4" x14ac:dyDescent="0.25">
      <c r="A2998" t="str">
        <f>T("   010210")</f>
        <v xml:space="preserve">   010210</v>
      </c>
      <c r="B2998" t="str">
        <f>T("   BOVINS VIVANTS, REPRODUCTEURS DE RACE PURE")</f>
        <v xml:space="preserve">   BOVINS VIVANTS, REPRODUCTEURS DE RACE PURE</v>
      </c>
      <c r="C2998" s="4">
        <v>38600</v>
      </c>
      <c r="D2998" s="4">
        <v>406034188</v>
      </c>
    </row>
    <row r="2999" spans="1:4" x14ac:dyDescent="0.25">
      <c r="A2999" t="str">
        <f>T("   350699")</f>
        <v xml:space="preserve">   350699</v>
      </c>
      <c r="B2999" t="str">
        <f>T("   AUTRES")</f>
        <v xml:space="preserve">   AUTRES</v>
      </c>
      <c r="C2999" s="4">
        <v>54</v>
      </c>
      <c r="D2999" s="4">
        <v>174781</v>
      </c>
    </row>
    <row r="3000" spans="1:4" x14ac:dyDescent="0.25">
      <c r="A3000" t="str">
        <f>T("   840999")</f>
        <v xml:space="preserve">   840999</v>
      </c>
      <c r="B3000" t="str">
        <f>T("   AUTRES")</f>
        <v xml:space="preserve">   AUTRES</v>
      </c>
      <c r="C3000" s="4">
        <v>37</v>
      </c>
      <c r="D3000" s="4">
        <v>181234</v>
      </c>
    </row>
    <row r="3001" spans="1:4" s="5" customFormat="1" x14ac:dyDescent="0.25">
      <c r="A3001" s="5" t="str">
        <f>T("   ZZ_Total_Produit_SH6")</f>
        <v xml:space="preserve">   ZZ_Total_Produit_SH6</v>
      </c>
      <c r="B3001" s="5" t="str">
        <f>T("   ZZ_Total_Produit_SH6")</f>
        <v xml:space="preserve">   ZZ_Total_Produit_SH6</v>
      </c>
      <c r="C3001" s="1">
        <v>38691</v>
      </c>
      <c r="D3001" s="1">
        <v>406390203</v>
      </c>
    </row>
    <row r="3002" spans="1:4" s="5" customFormat="1" x14ac:dyDescent="0.25">
      <c r="B3002" s="5" t="str">
        <f>T("Tchécoslovaquie")</f>
        <v>Tchécoslovaquie</v>
      </c>
      <c r="C3002" s="1"/>
      <c r="D3002" s="1"/>
    </row>
    <row r="3003" spans="1:4" x14ac:dyDescent="0.25">
      <c r="A3003" t="str">
        <f>T("   630510")</f>
        <v xml:space="preserve">   630510</v>
      </c>
      <c r="B3003" t="str">
        <f>T("   DE JUTE OU D'AUTRES FIBRES TEXTILES LIBERIENNES DU N° 53.03")</f>
        <v xml:space="preserve">   DE JUTE OU D'AUTRES FIBRES TEXTILES LIBERIENNES DU N° 53.03</v>
      </c>
      <c r="C3003" s="4">
        <v>18000</v>
      </c>
      <c r="D3003" s="4">
        <v>2171325</v>
      </c>
    </row>
    <row r="3004" spans="1:4" x14ac:dyDescent="0.25">
      <c r="A3004" t="str">
        <f>T("   850690")</f>
        <v xml:space="preserve">   850690</v>
      </c>
      <c r="B3004" t="str">
        <f>T("   PARTIES")</f>
        <v xml:space="preserve">   PARTIES</v>
      </c>
      <c r="C3004" s="4">
        <v>7</v>
      </c>
      <c r="D3004" s="4">
        <v>261925</v>
      </c>
    </row>
    <row r="3005" spans="1:4" s="5" customFormat="1" x14ac:dyDescent="0.25">
      <c r="A3005" s="5" t="str">
        <f>T("   ZZ_Total_Produit_SH6")</f>
        <v xml:space="preserve">   ZZ_Total_Produit_SH6</v>
      </c>
      <c r="B3005" s="5" t="str">
        <f>T("   ZZ_Total_Produit_SH6")</f>
        <v xml:space="preserve">   ZZ_Total_Produit_SH6</v>
      </c>
      <c r="C3005" s="1">
        <v>18007</v>
      </c>
      <c r="D3005" s="1">
        <v>2433250</v>
      </c>
    </row>
    <row r="3006" spans="1:4" s="5" customFormat="1" x14ac:dyDescent="0.25">
      <c r="B3006" s="5" t="str">
        <f>T("Cap-Vert")</f>
        <v>Cap-Vert</v>
      </c>
      <c r="C3006" s="1"/>
      <c r="D3006" s="1"/>
    </row>
    <row r="3007" spans="1:4" x14ac:dyDescent="0.25">
      <c r="A3007" t="str">
        <f>T("   843143")</f>
        <v xml:space="preserve">   843143</v>
      </c>
      <c r="B3007" t="str">
        <f>T("   PARTIES DE MACHINES DE SONDAGE OU DE FORAGE DES N°S 8430.41 OU 8430.49")</f>
        <v xml:space="preserve">   PARTIES DE MACHINES DE SONDAGE OU DE FORAGE DES N°S 8430.41 OU 8430.49</v>
      </c>
      <c r="C3007" s="4">
        <v>186</v>
      </c>
      <c r="D3007" s="4">
        <v>4219947</v>
      </c>
    </row>
    <row r="3008" spans="1:4" s="5" customFormat="1" x14ac:dyDescent="0.25">
      <c r="A3008" s="5" t="str">
        <f>T("   ZZ_Total_Produit_SH6")</f>
        <v xml:space="preserve">   ZZ_Total_Produit_SH6</v>
      </c>
      <c r="B3008" s="5" t="str">
        <f>T("   ZZ_Total_Produit_SH6")</f>
        <v xml:space="preserve">   ZZ_Total_Produit_SH6</v>
      </c>
      <c r="C3008" s="1">
        <v>186</v>
      </c>
      <c r="D3008" s="1">
        <v>4219947</v>
      </c>
    </row>
    <row r="3009" spans="1:4" s="5" customFormat="1" x14ac:dyDescent="0.25">
      <c r="B3009" s="5" t="str">
        <f>T("Chypre")</f>
        <v>Chypre</v>
      </c>
      <c r="C3009" s="1"/>
      <c r="D3009" s="1"/>
    </row>
    <row r="3010" spans="1:4" x14ac:dyDescent="0.25">
      <c r="A3010" t="str">
        <f>T("   100630")</f>
        <v xml:space="preserve">   100630</v>
      </c>
      <c r="B3010" t="str">
        <f>T("   RIZ SEMIBLANCHI OU BLANCHI, MEME POLI OU GLACE")</f>
        <v xml:space="preserve">   RIZ SEMIBLANCHI OU BLANCHI, MEME POLI OU GLACE</v>
      </c>
      <c r="C3010" s="4">
        <v>51000</v>
      </c>
      <c r="D3010" s="4">
        <v>7672500</v>
      </c>
    </row>
    <row r="3011" spans="1:4" s="5" customFormat="1" x14ac:dyDescent="0.25">
      <c r="A3011" s="5" t="str">
        <f>T("   ZZ_Total_Produit_SH6")</f>
        <v xml:space="preserve">   ZZ_Total_Produit_SH6</v>
      </c>
      <c r="B3011" s="5" t="str">
        <f>T("   ZZ_Total_Produit_SH6")</f>
        <v xml:space="preserve">   ZZ_Total_Produit_SH6</v>
      </c>
      <c r="C3011" s="1">
        <v>51000</v>
      </c>
      <c r="D3011" s="1">
        <v>7672500</v>
      </c>
    </row>
    <row r="3012" spans="1:4" s="5" customFormat="1" x14ac:dyDescent="0.25">
      <c r="B3012" s="5" t="str">
        <f>T("Tchèque, République")</f>
        <v>Tchèque, République</v>
      </c>
      <c r="C3012" s="1"/>
      <c r="D3012" s="1"/>
    </row>
    <row r="3013" spans="1:4" x14ac:dyDescent="0.25">
      <c r="A3013" t="str">
        <f>T("   020629")</f>
        <v xml:space="preserve">   020629</v>
      </c>
      <c r="B3013" t="str">
        <f>T("   AUTRES")</f>
        <v xml:space="preserve">   AUTRES</v>
      </c>
      <c r="C3013" s="4">
        <v>56000</v>
      </c>
      <c r="D3013" s="4">
        <v>31125302</v>
      </c>
    </row>
    <row r="3014" spans="1:4" x14ac:dyDescent="0.25">
      <c r="A3014" t="str">
        <f>T("   020712")</f>
        <v xml:space="preserve">   020712</v>
      </c>
      <c r="B3014" t="str">
        <f>T("   NON DECOUPES EN MORCEAUX, CONGELES")</f>
        <v xml:space="preserve">   NON DECOUPES EN MORCEAUX, CONGELES</v>
      </c>
      <c r="C3014" s="4">
        <v>1569220</v>
      </c>
      <c r="D3014" s="4">
        <v>968991899</v>
      </c>
    </row>
    <row r="3015" spans="1:4" x14ac:dyDescent="0.25">
      <c r="A3015" t="str">
        <f>T("   020714")</f>
        <v xml:space="preserve">   020714</v>
      </c>
      <c r="B3015" t="str">
        <f>T("   MORCEAUX ET ABATS, CONGELES")</f>
        <v xml:space="preserve">   MORCEAUX ET ABATS, CONGELES</v>
      </c>
      <c r="C3015" s="4">
        <v>1151200</v>
      </c>
      <c r="D3015" s="4">
        <v>704284659</v>
      </c>
    </row>
    <row r="3016" spans="1:4" x14ac:dyDescent="0.25">
      <c r="A3016" t="str">
        <f>T("   020727")</f>
        <v xml:space="preserve">   020727</v>
      </c>
      <c r="B3016" t="str">
        <f>T("   MORCEAUX ET ABATS, CONGELES")</f>
        <v xml:space="preserve">   MORCEAUX ET ABATS, CONGELES</v>
      </c>
      <c r="C3016" s="4">
        <v>2421530</v>
      </c>
      <c r="D3016" s="4">
        <v>1501493116</v>
      </c>
    </row>
    <row r="3017" spans="1:4" x14ac:dyDescent="0.25">
      <c r="A3017" t="str">
        <f>T("   030269")</f>
        <v xml:space="preserve">   030269</v>
      </c>
      <c r="B3017" t="str">
        <f>T("   Autres poissons entiers,frais ou refrigeres.(foies,oeufs laitances exclus)")</f>
        <v xml:space="preserve">   Autres poissons entiers,frais ou refrigeres.(foies,oeufs laitances exclus)</v>
      </c>
      <c r="C3017" s="4">
        <v>195600</v>
      </c>
      <c r="D3017" s="4">
        <v>78240000</v>
      </c>
    </row>
    <row r="3018" spans="1:4" x14ac:dyDescent="0.25">
      <c r="A3018" t="str">
        <f>T("   030379")</f>
        <v xml:space="preserve">   030379</v>
      </c>
      <c r="B3018" t="str">
        <f>T("   AUTRES POISSONS ENTIERS CONGELES.(FOIES,OEUFS,LAITANCES EXCLUS)")</f>
        <v xml:space="preserve">   AUTRES POISSONS ENTIERS CONGELES.(FOIES,OEUFS,LAITANCES EXCLUS)</v>
      </c>
      <c r="C3018" s="4">
        <v>432500</v>
      </c>
      <c r="D3018" s="4">
        <v>173006169</v>
      </c>
    </row>
    <row r="3019" spans="1:4" x14ac:dyDescent="0.25">
      <c r="A3019" t="str">
        <f>T("   050400")</f>
        <v xml:space="preserve">   050400</v>
      </c>
      <c r="B3019" t="str">
        <f>T("   BOYAUX, VESSIES ET ESTOMACS D'ANIMAUX, ENTIERS OU EN MORCEAUX, AUTRES QUE CEUX DE POISS")</f>
        <v xml:space="preserve">   BOYAUX, VESSIES ET ESTOMACS D'ANIMAUX, ENTIERS OU EN MORCEAUX, AUTRES QUE CEUX DE POISS</v>
      </c>
      <c r="C3019" s="4">
        <v>30000</v>
      </c>
      <c r="D3019" s="4">
        <v>36010171</v>
      </c>
    </row>
    <row r="3020" spans="1:4" x14ac:dyDescent="0.25">
      <c r="A3020" t="str">
        <f>T("   110100")</f>
        <v xml:space="preserve">   110100</v>
      </c>
      <c r="B3020" t="str">
        <f>T("   FARINES DE FROMENT (BLE) OU DE METEIL.")</f>
        <v xml:space="preserve">   FARINES DE FROMENT (BLE) OU DE METEIL.</v>
      </c>
      <c r="C3020" s="4">
        <v>23000</v>
      </c>
      <c r="D3020" s="4">
        <v>6136039.0690000001</v>
      </c>
    </row>
    <row r="3021" spans="1:4" x14ac:dyDescent="0.25">
      <c r="A3021" t="str">
        <f>T("   441840")</f>
        <v xml:space="preserve">   441840</v>
      </c>
      <c r="B3021" t="str">
        <f>T("   COFFRAGES POUR LE BETONNAGE")</f>
        <v xml:space="preserve">   COFFRAGES POUR LE BETONNAGE</v>
      </c>
      <c r="C3021" s="4">
        <v>23841</v>
      </c>
      <c r="D3021" s="4">
        <v>7810516</v>
      </c>
    </row>
    <row r="3022" spans="1:4" x14ac:dyDescent="0.25">
      <c r="A3022" t="str">
        <f>T("   520829")</f>
        <v xml:space="preserve">   520829</v>
      </c>
      <c r="B3022" t="str">
        <f>T("   AUTRES TISSUS")</f>
        <v xml:space="preserve">   AUTRES TISSUS</v>
      </c>
      <c r="C3022" s="4">
        <v>7029</v>
      </c>
      <c r="D3022" s="4">
        <v>9741662</v>
      </c>
    </row>
    <row r="3023" spans="1:4" x14ac:dyDescent="0.25">
      <c r="A3023" t="str">
        <f>T("   630900")</f>
        <v xml:space="preserve">   630900</v>
      </c>
      <c r="B3023" t="str">
        <f>T("   ARTICLES DE FRIPERIE.")</f>
        <v xml:space="preserve">   ARTICLES DE FRIPERIE.</v>
      </c>
      <c r="C3023" s="4">
        <v>112000</v>
      </c>
      <c r="D3023" s="4">
        <v>71128612</v>
      </c>
    </row>
    <row r="3024" spans="1:4" x14ac:dyDescent="0.25">
      <c r="A3024" t="str">
        <f>T("   731815")</f>
        <v xml:space="preserve">   731815</v>
      </c>
      <c r="B3024" t="str">
        <f>T("   AUTRES VIS ET BOULONS, MEME AVEC LEURS ECROUS OU RONDELLES")</f>
        <v xml:space="preserve">   AUTRES VIS ET BOULONS, MEME AVEC LEURS ECROUS OU RONDELLES</v>
      </c>
      <c r="C3024" s="4">
        <v>44</v>
      </c>
      <c r="D3024" s="4">
        <v>653271</v>
      </c>
    </row>
    <row r="3025" spans="1:4" x14ac:dyDescent="0.25">
      <c r="A3025" t="str">
        <f>T("   820810")</f>
        <v xml:space="preserve">   820810</v>
      </c>
      <c r="B3025" t="str">
        <f>T("   POUR LE TRAVAIL DES METAUX")</f>
        <v xml:space="preserve">   POUR LE TRAVAIL DES METAUX</v>
      </c>
      <c r="C3025" s="4">
        <v>44</v>
      </c>
      <c r="D3025" s="4">
        <v>3541528</v>
      </c>
    </row>
    <row r="3026" spans="1:4" x14ac:dyDescent="0.25">
      <c r="A3026" t="str">
        <f>T("   840991")</f>
        <v xml:space="preserve">   840991</v>
      </c>
      <c r="B3026" t="str">
        <f>T("   RECONNAISSABLES COMME ETANT EXCLUSIVEMENT OU PRINCIPALEMENT DESTINEES AUX MOTEURS A")</f>
        <v xml:space="preserve">   RECONNAISSABLES COMME ETANT EXCLUSIVEMENT OU PRINCIPALEMENT DESTINEES AUX MOTEURS A</v>
      </c>
      <c r="C3026" s="4">
        <v>5</v>
      </c>
      <c r="D3026" s="4">
        <v>173829</v>
      </c>
    </row>
    <row r="3027" spans="1:4" x14ac:dyDescent="0.25">
      <c r="A3027" t="str">
        <f>T("   842099")</f>
        <v xml:space="preserve">   842099</v>
      </c>
      <c r="B3027" t="str">
        <f>T("   AUTRES")</f>
        <v xml:space="preserve">   AUTRES</v>
      </c>
      <c r="C3027" s="4">
        <v>2</v>
      </c>
      <c r="D3027" s="4">
        <v>43949</v>
      </c>
    </row>
    <row r="3028" spans="1:4" x14ac:dyDescent="0.25">
      <c r="A3028" t="str">
        <f>T("   842139")</f>
        <v xml:space="preserve">   842139</v>
      </c>
      <c r="B3028" t="str">
        <f>T("   AUTRES")</f>
        <v xml:space="preserve">   AUTRES</v>
      </c>
      <c r="C3028" s="4">
        <v>16</v>
      </c>
      <c r="D3028" s="4">
        <v>150215</v>
      </c>
    </row>
    <row r="3029" spans="1:4" x14ac:dyDescent="0.25">
      <c r="A3029" t="str">
        <f>T("   846620")</f>
        <v xml:space="preserve">   846620</v>
      </c>
      <c r="B3029" t="str">
        <f>T("   PORTEPIECES")</f>
        <v xml:space="preserve">   PORTEPIECES</v>
      </c>
      <c r="C3029" s="4">
        <v>40</v>
      </c>
      <c r="D3029" s="4">
        <v>12235687</v>
      </c>
    </row>
    <row r="3030" spans="1:4" x14ac:dyDescent="0.25">
      <c r="A3030" t="str">
        <f>T("   851110")</f>
        <v xml:space="preserve">   851110</v>
      </c>
      <c r="B3030" t="str">
        <f>T("   BOUGIES D'ALLUMAGE")</f>
        <v xml:space="preserve">   BOUGIES D'ALLUMAGE</v>
      </c>
      <c r="C3030" s="4">
        <v>22</v>
      </c>
      <c r="D3030" s="4">
        <v>207283</v>
      </c>
    </row>
    <row r="3031" spans="1:4" x14ac:dyDescent="0.25">
      <c r="A3031" t="str">
        <f>T("   851770")</f>
        <v xml:space="preserve">   851770</v>
      </c>
      <c r="B3031" t="str">
        <f>T("   PARTIES")</f>
        <v xml:space="preserve">   PARTIES</v>
      </c>
      <c r="C3031" s="4">
        <v>5</v>
      </c>
      <c r="D3031" s="4">
        <v>5687174</v>
      </c>
    </row>
    <row r="3032" spans="1:4" x14ac:dyDescent="0.25">
      <c r="A3032" t="str">
        <f>T("   853650")</f>
        <v xml:space="preserve">   853650</v>
      </c>
      <c r="B3032" t="str">
        <f>T("   AUTRES INTERRUPTEURS, SECTIONNEURS ET COMMUTATEURS")</f>
        <v xml:space="preserve">   AUTRES INTERRUPTEURS, SECTIONNEURS ET COMMUTATEURS</v>
      </c>
      <c r="C3032" s="4">
        <v>1</v>
      </c>
      <c r="D3032" s="4">
        <v>9183</v>
      </c>
    </row>
    <row r="3033" spans="1:4" x14ac:dyDescent="0.25">
      <c r="A3033" t="str">
        <f>T("   853890")</f>
        <v xml:space="preserve">   853890</v>
      </c>
      <c r="B3033" t="str">
        <f>T("   AUTRES")</f>
        <v xml:space="preserve">   AUTRES</v>
      </c>
      <c r="C3033" s="4">
        <v>1</v>
      </c>
      <c r="D3033" s="4">
        <v>425062</v>
      </c>
    </row>
    <row r="3034" spans="1:4" x14ac:dyDescent="0.25">
      <c r="A3034" t="str">
        <f>T("   870120")</f>
        <v xml:space="preserve">   870120</v>
      </c>
      <c r="B3034" t="str">
        <f>T("   TRACTEURS ROUTIERS POUR SEMIREMORQUES")</f>
        <v xml:space="preserve">   TRACTEURS ROUTIERS POUR SEMIREMORQUES</v>
      </c>
      <c r="C3034" s="4">
        <v>42000</v>
      </c>
      <c r="D3034" s="4">
        <v>6000000</v>
      </c>
    </row>
    <row r="3035" spans="1:4" x14ac:dyDescent="0.25">
      <c r="A3035" t="str">
        <f>T("   870323")</f>
        <v xml:space="preserve">   870323</v>
      </c>
      <c r="B3035" t="str">
        <f>T("   D’UNE CYLINDREE EXCEDANT 1.500 CM³ MAIS N’EXCEDANT PAS 3.000 CM³")</f>
        <v xml:space="preserve">   D’UNE CYLINDREE EXCEDANT 1.500 CM³ MAIS N’EXCEDANT PAS 3.000 CM³</v>
      </c>
      <c r="C3035" s="4">
        <v>1700</v>
      </c>
      <c r="D3035" s="4">
        <v>2400000</v>
      </c>
    </row>
    <row r="3036" spans="1:4" x14ac:dyDescent="0.25">
      <c r="A3036" t="str">
        <f>T("   870332")</f>
        <v xml:space="preserve">   870332</v>
      </c>
      <c r="B3036" t="str">
        <f>T("   D'UNE CYLINDREE EXCEDANT 1.500 CM³ MAIS N'EXCEDANT PAS 2.500 CM³")</f>
        <v xml:space="preserve">   D'UNE CYLINDREE EXCEDANT 1.500 CM³ MAIS N'EXCEDANT PAS 2.500 CM³</v>
      </c>
      <c r="C3036" s="4">
        <v>1614</v>
      </c>
      <c r="D3036" s="4">
        <v>11100000</v>
      </c>
    </row>
    <row r="3037" spans="1:4" x14ac:dyDescent="0.25">
      <c r="A3037" t="str">
        <f>T("   870830")</f>
        <v xml:space="preserve">   870830</v>
      </c>
      <c r="B3037" t="str">
        <f>T("   FREINS ET SERVOFREINS, ET LEURS PARTIES")</f>
        <v xml:space="preserve">   FREINS ET SERVOFREINS, ET LEURS PARTIES</v>
      </c>
      <c r="C3037" s="4">
        <v>9</v>
      </c>
      <c r="D3037" s="4">
        <v>81339</v>
      </c>
    </row>
    <row r="3038" spans="1:4" x14ac:dyDescent="0.25">
      <c r="A3038" t="str">
        <f>T("   870899")</f>
        <v xml:space="preserve">   870899</v>
      </c>
      <c r="B3038" t="str">
        <f>T("   AUTRES")</f>
        <v xml:space="preserve">   AUTRES</v>
      </c>
      <c r="C3038" s="4">
        <v>14</v>
      </c>
      <c r="D3038" s="4">
        <v>123320</v>
      </c>
    </row>
    <row r="3039" spans="1:4" x14ac:dyDescent="0.25">
      <c r="A3039" t="str">
        <f>T("   871639")</f>
        <v xml:space="preserve">   871639</v>
      </c>
      <c r="B3039" t="str">
        <f>T("   AUTRES")</f>
        <v xml:space="preserve">   AUTRES</v>
      </c>
      <c r="C3039" s="4">
        <v>40000</v>
      </c>
      <c r="D3039" s="4">
        <v>4000000</v>
      </c>
    </row>
    <row r="3040" spans="1:4" s="5" customFormat="1" x14ac:dyDescent="0.25">
      <c r="A3040" s="5" t="str">
        <f>T("   ZZ_Total_Produit_SH6")</f>
        <v xml:space="preserve">   ZZ_Total_Produit_SH6</v>
      </c>
      <c r="B3040" s="5" t="str">
        <f>T("   ZZ_Total_Produit_SH6")</f>
        <v xml:space="preserve">   ZZ_Total_Produit_SH6</v>
      </c>
      <c r="C3040" s="1">
        <v>6107437</v>
      </c>
      <c r="D3040" s="1">
        <v>3634799985.0689998</v>
      </c>
    </row>
    <row r="3041" spans="1:4" s="5" customFormat="1" x14ac:dyDescent="0.25">
      <c r="B3041" s="5" t="str">
        <f>T("Allemagne")</f>
        <v>Allemagne</v>
      </c>
      <c r="C3041" s="1"/>
      <c r="D3041" s="1"/>
    </row>
    <row r="3042" spans="1:4" x14ac:dyDescent="0.25">
      <c r="A3042" t="str">
        <f>T("   020220")</f>
        <v xml:space="preserve">   020220</v>
      </c>
      <c r="B3042" t="str">
        <f>T("   AUTRES MORCEAUX NON DESOSSES")</f>
        <v xml:space="preserve">   AUTRES MORCEAUX NON DESOSSES</v>
      </c>
      <c r="C3042" s="4">
        <v>25000</v>
      </c>
      <c r="D3042" s="4">
        <v>15550188</v>
      </c>
    </row>
    <row r="3043" spans="1:4" x14ac:dyDescent="0.25">
      <c r="A3043" t="str">
        <f>T("   020712")</f>
        <v xml:space="preserve">   020712</v>
      </c>
      <c r="B3043" t="str">
        <f>T("   NON DECOUPES EN MORCEAUX, CONGELES")</f>
        <v xml:space="preserve">   NON DECOUPES EN MORCEAUX, CONGELES</v>
      </c>
      <c r="C3043" s="4">
        <v>502000</v>
      </c>
      <c r="D3043" s="4">
        <v>311002169</v>
      </c>
    </row>
    <row r="3044" spans="1:4" x14ac:dyDescent="0.25">
      <c r="A3044" t="str">
        <f>T("   020714")</f>
        <v xml:space="preserve">   020714</v>
      </c>
      <c r="B3044" t="str">
        <f>T("   MORCEAUX ET ABATS, CONGELES")</f>
        <v xml:space="preserve">   MORCEAUX ET ABATS, CONGELES</v>
      </c>
      <c r="C3044" s="4">
        <v>1212976</v>
      </c>
      <c r="D3044" s="4">
        <v>756277144</v>
      </c>
    </row>
    <row r="3045" spans="1:4" x14ac:dyDescent="0.25">
      <c r="A3045" t="str">
        <f>T("   020727")</f>
        <v xml:space="preserve">   020727</v>
      </c>
      <c r="B3045" t="str">
        <f>T("   MORCEAUX ET ABATS, CONGELES")</f>
        <v xml:space="preserve">   MORCEAUX ET ABATS, CONGELES</v>
      </c>
      <c r="C3045" s="4">
        <v>3493035</v>
      </c>
      <c r="D3045" s="4">
        <v>2135167350</v>
      </c>
    </row>
    <row r="3046" spans="1:4" x14ac:dyDescent="0.25">
      <c r="A3046" t="str">
        <f>T("   030219")</f>
        <v xml:space="preserve">   030219</v>
      </c>
      <c r="B3046" t="str">
        <f>T("   AUTRES")</f>
        <v xml:space="preserve">   AUTRES</v>
      </c>
      <c r="C3046" s="4">
        <v>2215897</v>
      </c>
      <c r="D3046" s="4">
        <v>886358800</v>
      </c>
    </row>
    <row r="3047" spans="1:4" x14ac:dyDescent="0.25">
      <c r="A3047" t="str">
        <f>T("   030269")</f>
        <v xml:space="preserve">   030269</v>
      </c>
      <c r="B3047" t="str">
        <f>T("   Autres poissons entiers,frais ou refrigeres.(foies,oeufs laitances exclus)")</f>
        <v xml:space="preserve">   Autres poissons entiers,frais ou refrigeres.(foies,oeufs laitances exclus)</v>
      </c>
      <c r="C3047" s="4">
        <v>450000</v>
      </c>
      <c r="D3047" s="4">
        <v>180000000</v>
      </c>
    </row>
    <row r="3048" spans="1:4" x14ac:dyDescent="0.25">
      <c r="A3048" t="str">
        <f>T("   030379")</f>
        <v xml:space="preserve">   030379</v>
      </c>
      <c r="B3048" t="str">
        <f>T("   AUTRES POISSONS ENTIERS CONGELES.(FOIES,OEUFS,LAITANCES EXCLUS)")</f>
        <v xml:space="preserve">   AUTRES POISSONS ENTIERS CONGELES.(FOIES,OEUFS,LAITANCES EXCLUS)</v>
      </c>
      <c r="C3048" s="4">
        <v>55480</v>
      </c>
      <c r="D3048" s="4">
        <v>22192000</v>
      </c>
    </row>
    <row r="3049" spans="1:4" x14ac:dyDescent="0.25">
      <c r="A3049" t="str">
        <f>T("   040120")</f>
        <v xml:space="preserve">   040120</v>
      </c>
      <c r="B3049" t="str">
        <f>T("   D’UNE TENEUR EN POIDS DE MATIERES GRASSES EXCEDANT 1 % MAIS N’EXCEDANT PAS 6 %")</f>
        <v xml:space="preserve">   D’UNE TENEUR EN POIDS DE MATIERES GRASSES EXCEDANT 1 % MAIS N’EXCEDANT PAS 6 %</v>
      </c>
      <c r="C3049" s="4">
        <v>84156</v>
      </c>
      <c r="D3049" s="4">
        <v>45523624</v>
      </c>
    </row>
    <row r="3050" spans="1:4" x14ac:dyDescent="0.25">
      <c r="A3050" t="str">
        <f>T("   040291")</f>
        <v xml:space="preserve">   040291</v>
      </c>
      <c r="B3050" t="str">
        <f>T("   SANS ADDITION DE SUCRE OU D'AUTRES EDULCORANTS")</f>
        <v xml:space="preserve">   SANS ADDITION DE SUCRE OU D'AUTRES EDULCORANTS</v>
      </c>
      <c r="C3050" s="4">
        <v>40188</v>
      </c>
      <c r="D3050" s="4">
        <v>29504742</v>
      </c>
    </row>
    <row r="3051" spans="1:4" x14ac:dyDescent="0.25">
      <c r="A3051" t="str">
        <f>T("   040390")</f>
        <v xml:space="preserve">   040390</v>
      </c>
      <c r="B3051" t="str">
        <f>T("   AUTRES")</f>
        <v xml:space="preserve">   AUTRES</v>
      </c>
      <c r="C3051" s="4">
        <v>9831</v>
      </c>
      <c r="D3051" s="4">
        <v>4379844</v>
      </c>
    </row>
    <row r="3052" spans="1:4" x14ac:dyDescent="0.25">
      <c r="A3052" t="str">
        <f>T("   050400")</f>
        <v xml:space="preserve">   050400</v>
      </c>
      <c r="B3052" t="str">
        <f>T("   BOYAUX, VESSIES ET ESTOMACS D'ANIMAUX, ENTIERS OU EN MORCEAUX, AUTRES QUE CEUX DE POISS")</f>
        <v xml:space="preserve">   BOYAUX, VESSIES ET ESTOMACS D'ANIMAUX, ENTIERS OU EN MORCEAUX, AUTRES QUE CEUX DE POISS</v>
      </c>
      <c r="C3052" s="4">
        <v>901351</v>
      </c>
      <c r="D3052" s="4">
        <v>1072312136</v>
      </c>
    </row>
    <row r="3053" spans="1:4" x14ac:dyDescent="0.25">
      <c r="A3053" t="str">
        <f>T("   110100")</f>
        <v xml:space="preserve">   110100</v>
      </c>
      <c r="B3053" t="str">
        <f>T("   FARINES DE FROMENT (BLE) OU DE METEIL.")</f>
        <v xml:space="preserve">   FARINES DE FROMENT (BLE) OU DE METEIL.</v>
      </c>
      <c r="C3053" s="4">
        <v>143162</v>
      </c>
      <c r="D3053" s="4">
        <v>38193376.07</v>
      </c>
    </row>
    <row r="3054" spans="1:4" x14ac:dyDescent="0.25">
      <c r="A3054" t="str">
        <f>T("   110812")</f>
        <v xml:space="preserve">   110812</v>
      </c>
      <c r="B3054" t="str">
        <f>T("   Amidon de mais")</f>
        <v xml:space="preserve">   Amidon de mais</v>
      </c>
      <c r="C3054" s="4">
        <v>9523</v>
      </c>
      <c r="D3054" s="4">
        <v>6305088</v>
      </c>
    </row>
    <row r="3055" spans="1:4" x14ac:dyDescent="0.25">
      <c r="A3055" t="str">
        <f>T("   130213")</f>
        <v xml:space="preserve">   130213</v>
      </c>
      <c r="B3055" t="str">
        <f>T("   DE HOUBLON")</f>
        <v xml:space="preserve">   DE HOUBLON</v>
      </c>
      <c r="C3055" s="4">
        <v>1161</v>
      </c>
      <c r="D3055" s="4">
        <v>21480224</v>
      </c>
    </row>
    <row r="3056" spans="1:4" x14ac:dyDescent="0.25">
      <c r="A3056" t="str">
        <f>T("   151190")</f>
        <v xml:space="preserve">   151190</v>
      </c>
      <c r="B3056" t="str">
        <f>T("   AUTRES")</f>
        <v xml:space="preserve">   AUTRES</v>
      </c>
      <c r="C3056" s="4">
        <v>206115</v>
      </c>
      <c r="D3056" s="4">
        <v>74984243.156000003</v>
      </c>
    </row>
    <row r="3057" spans="1:4" x14ac:dyDescent="0.25">
      <c r="A3057" t="str">
        <f>T("   151610")</f>
        <v xml:space="preserve">   151610</v>
      </c>
      <c r="B3057" t="str">
        <f>T("   GRAISSES ET HUILES ANIMALES ET LEURS FRACTIONS")</f>
        <v xml:space="preserve">   GRAISSES ET HUILES ANIMALES ET LEURS FRACTIONS</v>
      </c>
      <c r="C3057" s="4">
        <v>132000</v>
      </c>
      <c r="D3057" s="4">
        <v>33000000</v>
      </c>
    </row>
    <row r="3058" spans="1:4" x14ac:dyDescent="0.25">
      <c r="A3058" t="str">
        <f>T("   151620")</f>
        <v xml:space="preserve">   151620</v>
      </c>
      <c r="B3058" t="str">
        <f>T("   GRAISSES ET HUILES VEGETALES ET LEURS FRACTIONS")</f>
        <v xml:space="preserve">   GRAISSES ET HUILES VEGETALES ET LEURS FRACTIONS</v>
      </c>
      <c r="C3058" s="4">
        <v>2993011</v>
      </c>
      <c r="D3058" s="4">
        <v>744658387</v>
      </c>
    </row>
    <row r="3059" spans="1:4" x14ac:dyDescent="0.25">
      <c r="A3059" t="str">
        <f>T("   160100")</f>
        <v xml:space="preserve">   160100</v>
      </c>
      <c r="B3059" t="str">
        <f>T("   SAUCISSES, SAUCISSONS ET PRODUITS SIMILAIRES, DE VIANDE, D'ABATS OU DE SANG; PREPARATIO")</f>
        <v xml:space="preserve">   SAUCISSES, SAUCISSONS ET PRODUITS SIMILAIRES, DE VIANDE, D'ABATS OU DE SANG; PREPARATIO</v>
      </c>
      <c r="C3059" s="4">
        <v>25000</v>
      </c>
      <c r="D3059" s="4">
        <v>18750000</v>
      </c>
    </row>
    <row r="3060" spans="1:4" x14ac:dyDescent="0.25">
      <c r="A3060" t="str">
        <f>T("   190531")</f>
        <v xml:space="preserve">   190531</v>
      </c>
      <c r="B3060" t="str">
        <f>T("   BISCUITS ADDITIONNES D’EDULCORANTS")</f>
        <v xml:space="preserve">   BISCUITS ADDITIONNES D’EDULCORANTS</v>
      </c>
      <c r="C3060" s="4">
        <v>8577</v>
      </c>
      <c r="D3060" s="4">
        <v>1092384</v>
      </c>
    </row>
    <row r="3061" spans="1:4" x14ac:dyDescent="0.25">
      <c r="A3061" t="str">
        <f>T("   190590")</f>
        <v xml:space="preserve">   190590</v>
      </c>
      <c r="B3061" t="str">
        <f>T("   AUTRES")</f>
        <v xml:space="preserve">   AUTRES</v>
      </c>
      <c r="C3061" s="4">
        <v>921</v>
      </c>
      <c r="D3061" s="4">
        <v>1301897</v>
      </c>
    </row>
    <row r="3062" spans="1:4" x14ac:dyDescent="0.25">
      <c r="A3062" t="str">
        <f>T("   200980")</f>
        <v xml:space="preserve">   200980</v>
      </c>
      <c r="B3062" t="str">
        <f>T("   AUTRES JUS DE FRUITS OU DE LEGUMES,SANS ALCOOL,SUCRES OU NON")</f>
        <v xml:space="preserve">   AUTRES JUS DE FRUITS OU DE LEGUMES,SANS ALCOOL,SUCRES OU NON</v>
      </c>
      <c r="C3062" s="4">
        <v>159387</v>
      </c>
      <c r="D3062" s="4">
        <v>24091232</v>
      </c>
    </row>
    <row r="3063" spans="1:4" x14ac:dyDescent="0.25">
      <c r="A3063" t="str">
        <f>T("   210210")</f>
        <v xml:space="preserve">   210210</v>
      </c>
      <c r="B3063" t="str">
        <f>T("   Levures vivantes")</f>
        <v xml:space="preserve">   Levures vivantes</v>
      </c>
      <c r="C3063" s="4">
        <v>0.2</v>
      </c>
      <c r="D3063" s="4">
        <v>704075</v>
      </c>
    </row>
    <row r="3064" spans="1:4" x14ac:dyDescent="0.25">
      <c r="A3064" t="str">
        <f>T("   210690")</f>
        <v xml:space="preserve">   210690</v>
      </c>
      <c r="B3064" t="str">
        <f>T("   AUTRES")</f>
        <v xml:space="preserve">   AUTRES</v>
      </c>
      <c r="C3064" s="4">
        <v>9905</v>
      </c>
      <c r="D3064" s="4">
        <v>11046511</v>
      </c>
    </row>
    <row r="3065" spans="1:4" x14ac:dyDescent="0.25">
      <c r="A3065" t="str">
        <f>T("   220290")</f>
        <v xml:space="preserve">   220290</v>
      </c>
      <c r="B3065" t="str">
        <f>T("   AUTRES")</f>
        <v xml:space="preserve">   AUTRES</v>
      </c>
      <c r="C3065" s="4">
        <v>722050</v>
      </c>
      <c r="D3065" s="4">
        <v>124715381</v>
      </c>
    </row>
    <row r="3066" spans="1:4" x14ac:dyDescent="0.25">
      <c r="A3066" t="str">
        <f>T("   220300")</f>
        <v xml:space="preserve">   220300</v>
      </c>
      <c r="B3066" t="str">
        <f>T("   BIERES DE MALT.")</f>
        <v xml:space="preserve">   BIERES DE MALT.</v>
      </c>
      <c r="C3066" s="4">
        <v>352438</v>
      </c>
      <c r="D3066" s="4">
        <v>69599106</v>
      </c>
    </row>
    <row r="3067" spans="1:4" x14ac:dyDescent="0.25">
      <c r="A3067" t="str">
        <f>T("   220600")</f>
        <v xml:space="preserve">   220600</v>
      </c>
      <c r="B3067" t="str">
        <f>T("   AUTRES BOISSONS FERMENTEES (CIDRE, POIRE, HYDROMEL, PAR EXEMPLE); MELANGES DE BOISSONS")</f>
        <v xml:space="preserve">   AUTRES BOISSONS FERMENTEES (CIDRE, POIRE, HYDROMEL, PAR EXEMPLE); MELANGES DE BOISSONS</v>
      </c>
      <c r="C3067" s="4">
        <v>249828</v>
      </c>
      <c r="D3067" s="4">
        <v>29038919</v>
      </c>
    </row>
    <row r="3068" spans="1:4" x14ac:dyDescent="0.25">
      <c r="A3068" t="str">
        <f>T("   250590")</f>
        <v xml:space="preserve">   250590</v>
      </c>
      <c r="B3068" t="str">
        <f>T("   AUTRES SABLES")</f>
        <v xml:space="preserve">   AUTRES SABLES</v>
      </c>
      <c r="C3068" s="4">
        <v>53</v>
      </c>
      <c r="D3068" s="4">
        <v>1159737</v>
      </c>
    </row>
    <row r="3069" spans="1:4" x14ac:dyDescent="0.25">
      <c r="A3069" t="str">
        <f>T("   251200")</f>
        <v xml:space="preserve">   251200</v>
      </c>
      <c r="B3069" t="str">
        <f>T("   FARINES SILICEUSES FOSSILES (KIESELGUHR, TRIPOLITE, DIATOMITE, PAR EXEMPLE) ET AUTRES T")</f>
        <v xml:space="preserve">   FARINES SILICEUSES FOSSILES (KIESELGUHR, TRIPOLITE, DIATOMITE, PAR EXEMPLE) ET AUTRES T</v>
      </c>
      <c r="C3069" s="4">
        <v>3240</v>
      </c>
      <c r="D3069" s="4">
        <v>1056621</v>
      </c>
    </row>
    <row r="3070" spans="1:4" x14ac:dyDescent="0.25">
      <c r="A3070" t="str">
        <f>T("   271011")</f>
        <v xml:space="preserve">   271011</v>
      </c>
      <c r="B3070" t="str">
        <f>T("   HUILLES DE PETROLE OU D'ESSENCE")</f>
        <v xml:space="preserve">   HUILLES DE PETROLE OU D'ESSENCE</v>
      </c>
      <c r="C3070" s="4">
        <v>38319</v>
      </c>
      <c r="D3070" s="4">
        <v>14743200</v>
      </c>
    </row>
    <row r="3071" spans="1:4" x14ac:dyDescent="0.25">
      <c r="A3071" t="str">
        <f>T("   271019")</f>
        <v xml:space="preserve">   271019</v>
      </c>
      <c r="B3071" t="str">
        <f>T("   AUTRES")</f>
        <v xml:space="preserve">   AUTRES</v>
      </c>
      <c r="C3071" s="4">
        <v>50</v>
      </c>
      <c r="D3071" s="4">
        <v>59041</v>
      </c>
    </row>
    <row r="3072" spans="1:4" x14ac:dyDescent="0.25">
      <c r="A3072" t="str">
        <f>T("   271210")</f>
        <v xml:space="preserve">   271210</v>
      </c>
      <c r="B3072" t="str">
        <f>T("   Vaseline")</f>
        <v xml:space="preserve">   Vaseline</v>
      </c>
      <c r="C3072" s="4">
        <v>15600</v>
      </c>
      <c r="D3072" s="4">
        <v>13948989</v>
      </c>
    </row>
    <row r="3073" spans="1:4" x14ac:dyDescent="0.25">
      <c r="A3073" t="str">
        <f>T("   281122")</f>
        <v xml:space="preserve">   281122</v>
      </c>
      <c r="B3073" t="str">
        <f>T("   Dioxyde de silicium")</f>
        <v xml:space="preserve">   Dioxyde de silicium</v>
      </c>
      <c r="C3073" s="4">
        <v>1140</v>
      </c>
      <c r="D3073" s="4">
        <v>367469</v>
      </c>
    </row>
    <row r="3074" spans="1:4" x14ac:dyDescent="0.25">
      <c r="A3074" t="str">
        <f>T("   282749")</f>
        <v xml:space="preserve">   282749</v>
      </c>
      <c r="B3074" t="str">
        <f>T("   AUTRES")</f>
        <v xml:space="preserve">   AUTRES</v>
      </c>
      <c r="C3074" s="4">
        <v>156</v>
      </c>
      <c r="D3074" s="4">
        <v>1502083</v>
      </c>
    </row>
    <row r="3075" spans="1:4" x14ac:dyDescent="0.25">
      <c r="A3075" t="str">
        <f>T("   283329")</f>
        <v xml:space="preserve">   283329</v>
      </c>
      <c r="B3075" t="str">
        <f>T("   AUTRES")</f>
        <v xml:space="preserve">   AUTRES</v>
      </c>
      <c r="C3075" s="4">
        <v>55</v>
      </c>
      <c r="D3075" s="4">
        <v>1566183</v>
      </c>
    </row>
    <row r="3076" spans="1:4" x14ac:dyDescent="0.25">
      <c r="A3076" t="str">
        <f>T("   290219")</f>
        <v xml:space="preserve">   290219</v>
      </c>
      <c r="B3076" t="str">
        <f>T("   AUTRES")</f>
        <v xml:space="preserve">   AUTRES</v>
      </c>
      <c r="C3076" s="4">
        <v>38</v>
      </c>
      <c r="D3076" s="4">
        <v>2044470</v>
      </c>
    </row>
    <row r="3077" spans="1:4" x14ac:dyDescent="0.25">
      <c r="A3077" t="str">
        <f>T("   290532")</f>
        <v xml:space="preserve">   290532</v>
      </c>
      <c r="B3077" t="str">
        <f>T("   PROPYLENE GLYCOL (PROPANE1,2DIOL)")</f>
        <v xml:space="preserve">   PROPYLENE GLYCOL (PROPANE1,2DIOL)</v>
      </c>
      <c r="C3077" s="4">
        <v>502</v>
      </c>
      <c r="D3077" s="4">
        <v>25368119</v>
      </c>
    </row>
    <row r="3078" spans="1:4" x14ac:dyDescent="0.25">
      <c r="A3078" t="str">
        <f>T("   292910")</f>
        <v xml:space="preserve">   292910</v>
      </c>
      <c r="B3078" t="str">
        <f>T("   Isocyanates")</f>
        <v xml:space="preserve">   Isocyanates</v>
      </c>
      <c r="C3078" s="4">
        <v>21940</v>
      </c>
      <c r="D3078" s="4">
        <v>24677871</v>
      </c>
    </row>
    <row r="3079" spans="1:4" x14ac:dyDescent="0.25">
      <c r="A3079" t="str">
        <f>T("   293329")</f>
        <v xml:space="preserve">   293329</v>
      </c>
      <c r="B3079" t="str">
        <f>T("   AUTRES")</f>
        <v xml:space="preserve">   AUTRES</v>
      </c>
      <c r="C3079" s="4">
        <v>1</v>
      </c>
      <c r="D3079" s="4">
        <v>328</v>
      </c>
    </row>
    <row r="3080" spans="1:4" x14ac:dyDescent="0.25">
      <c r="A3080" t="str">
        <f>T("   293339")</f>
        <v xml:space="preserve">   293339</v>
      </c>
      <c r="B3080" t="str">
        <f>T("   AUTRES")</f>
        <v xml:space="preserve">   AUTRES</v>
      </c>
      <c r="C3080" s="4">
        <v>15736</v>
      </c>
      <c r="D3080" s="4">
        <v>77423615</v>
      </c>
    </row>
    <row r="3081" spans="1:4" x14ac:dyDescent="0.25">
      <c r="A3081" t="str">
        <f>T("   293359")</f>
        <v xml:space="preserve">   293359</v>
      </c>
      <c r="B3081" t="str">
        <f>T("   AUTRES")</f>
        <v xml:space="preserve">   AUTRES</v>
      </c>
      <c r="C3081" s="4">
        <v>1</v>
      </c>
      <c r="D3081" s="4">
        <v>328</v>
      </c>
    </row>
    <row r="3082" spans="1:4" x14ac:dyDescent="0.25">
      <c r="A3082" t="str">
        <f>T("   293399")</f>
        <v xml:space="preserve">   293399</v>
      </c>
      <c r="B3082" t="str">
        <f>T("   AUTRES")</f>
        <v xml:space="preserve">   AUTRES</v>
      </c>
      <c r="C3082" s="4">
        <v>1</v>
      </c>
      <c r="D3082" s="4">
        <v>328</v>
      </c>
    </row>
    <row r="3083" spans="1:4" x14ac:dyDescent="0.25">
      <c r="A3083" t="str">
        <f>T("   293629")</f>
        <v xml:space="preserve">   293629</v>
      </c>
      <c r="B3083" t="str">
        <f>T("   AUTRES VITAMINES ET LEURS DERIVES")</f>
        <v xml:space="preserve">   AUTRES VITAMINES ET LEURS DERIVES</v>
      </c>
      <c r="C3083" s="4">
        <v>48</v>
      </c>
      <c r="D3083" s="4">
        <v>23090</v>
      </c>
    </row>
    <row r="3084" spans="1:4" x14ac:dyDescent="0.25">
      <c r="A3084" t="str">
        <f>T("   293690")</f>
        <v xml:space="preserve">   293690</v>
      </c>
      <c r="B3084" t="str">
        <f>T("   AUTRES, Y COMPRIS LES CONCENTRATS NATURELS")</f>
        <v xml:space="preserve">   AUTRES, Y COMPRIS LES CONCENTRATS NATURELS</v>
      </c>
      <c r="C3084" s="4">
        <v>98</v>
      </c>
      <c r="D3084" s="4">
        <v>1120694</v>
      </c>
    </row>
    <row r="3085" spans="1:4" x14ac:dyDescent="0.25">
      <c r="A3085" t="str">
        <f>T("   294190")</f>
        <v xml:space="preserve">   294190</v>
      </c>
      <c r="B3085" t="str">
        <f>T("   AUTRES")</f>
        <v xml:space="preserve">   AUTRES</v>
      </c>
      <c r="C3085" s="4">
        <v>10000</v>
      </c>
      <c r="D3085" s="4">
        <v>147591000</v>
      </c>
    </row>
    <row r="3086" spans="1:4" x14ac:dyDescent="0.25">
      <c r="A3086" t="str">
        <f>T("   294200")</f>
        <v xml:space="preserve">   294200</v>
      </c>
      <c r="B3086" t="str">
        <f>T("   AUTRES COMPOSES ORGANIQUES.")</f>
        <v xml:space="preserve">   AUTRES COMPOSES ORGANIQUES.</v>
      </c>
      <c r="C3086" s="4">
        <v>42.9</v>
      </c>
      <c r="D3086" s="4">
        <v>60000</v>
      </c>
    </row>
    <row r="3087" spans="1:4" x14ac:dyDescent="0.25">
      <c r="A3087" t="str">
        <f>T("   300210")</f>
        <v xml:space="preserve">   300210</v>
      </c>
      <c r="B3087" t="str">
        <f>T("   ANTISERUMS, AUTRES FRACTIONS DU SANG ET PRODUITS IMMUNOLOGIQUES, MEME MODIFIES OU OBT")</f>
        <v xml:space="preserve">   ANTISERUMS, AUTRES FRACTIONS DU SANG ET PRODUITS IMMUNOLOGIQUES, MEME MODIFIES OU OBT</v>
      </c>
      <c r="C3087" s="4">
        <v>640</v>
      </c>
      <c r="D3087" s="4">
        <v>19679076</v>
      </c>
    </row>
    <row r="3088" spans="1:4" x14ac:dyDescent="0.25">
      <c r="A3088" t="str">
        <f>T("   300220")</f>
        <v xml:space="preserve">   300220</v>
      </c>
      <c r="B3088" t="str">
        <f>T("   Vaccins pour la medecine humaine")</f>
        <v xml:space="preserve">   Vaccins pour la medecine humaine</v>
      </c>
      <c r="C3088" s="4">
        <v>107</v>
      </c>
      <c r="D3088" s="4">
        <v>1189708</v>
      </c>
    </row>
    <row r="3089" spans="1:4" x14ac:dyDescent="0.25">
      <c r="A3089" t="str">
        <f>T("   300339")</f>
        <v xml:space="preserve">   300339</v>
      </c>
      <c r="B3089" t="str">
        <f>T("   AUTRES")</f>
        <v xml:space="preserve">   AUTRES</v>
      </c>
      <c r="C3089" s="4">
        <v>13483</v>
      </c>
      <c r="D3089" s="4">
        <v>4816714</v>
      </c>
    </row>
    <row r="3090" spans="1:4" x14ac:dyDescent="0.25">
      <c r="A3090" t="str">
        <f>T("   300410")</f>
        <v xml:space="preserve">   300410</v>
      </c>
      <c r="B3090" t="str">
        <f>T("   CONTENANT DES PENICILLINES OU DES DERIVES DE CES PRODUITS, A STRUCTURE D'ACIDE PENICI")</f>
        <v xml:space="preserve">   CONTENANT DES PENICILLINES OU DES DERIVES DE CES PRODUITS, A STRUCTURE D'ACIDE PENICI</v>
      </c>
      <c r="C3090" s="4">
        <v>2136</v>
      </c>
      <c r="D3090" s="4">
        <v>26549144</v>
      </c>
    </row>
    <row r="3091" spans="1:4" x14ac:dyDescent="0.25">
      <c r="A3091" t="str">
        <f>T("   300420")</f>
        <v xml:space="preserve">   300420</v>
      </c>
      <c r="B3091" t="str">
        <f>T("   CONTENANT D'AUTRES ANTIBIOTIQUES")</f>
        <v xml:space="preserve">   CONTENANT D'AUTRES ANTIBIOTIQUES</v>
      </c>
      <c r="C3091" s="4">
        <v>279</v>
      </c>
      <c r="D3091" s="4">
        <v>15138901</v>
      </c>
    </row>
    <row r="3092" spans="1:4" x14ac:dyDescent="0.25">
      <c r="A3092" t="str">
        <f>T("   300450")</f>
        <v xml:space="preserve">   300450</v>
      </c>
      <c r="B3092" t="str">
        <f>T("   AUTRES MEDICAMENTS CONTENANT DES VITAMINES OU D'AUTRES PRODUITS DU N° 29.36")</f>
        <v xml:space="preserve">   AUTRES MEDICAMENTS CONTENANT DES VITAMINES OU D'AUTRES PRODUITS DU N° 29.36</v>
      </c>
      <c r="C3092" s="4">
        <v>6367</v>
      </c>
      <c r="D3092" s="4">
        <v>5249025</v>
      </c>
    </row>
    <row r="3093" spans="1:4" x14ac:dyDescent="0.25">
      <c r="A3093" t="str">
        <f>T("   300490")</f>
        <v xml:space="preserve">   300490</v>
      </c>
      <c r="B3093" t="str">
        <f>T("   AUTRES")</f>
        <v xml:space="preserve">   AUTRES</v>
      </c>
      <c r="C3093" s="4">
        <v>42793</v>
      </c>
      <c r="D3093" s="4">
        <v>385366078</v>
      </c>
    </row>
    <row r="3094" spans="1:4" x14ac:dyDescent="0.25">
      <c r="A3094" t="str">
        <f>T("   300590")</f>
        <v xml:space="preserve">   300590</v>
      </c>
      <c r="B3094" t="str">
        <f>T("   AUTRES")</f>
        <v xml:space="preserve">   AUTRES</v>
      </c>
      <c r="C3094" s="4">
        <v>43</v>
      </c>
      <c r="D3094" s="4">
        <v>3592103</v>
      </c>
    </row>
    <row r="3095" spans="1:4" x14ac:dyDescent="0.25">
      <c r="A3095" t="str">
        <f>T("   300630")</f>
        <v xml:space="preserve">   300630</v>
      </c>
      <c r="B3095" t="str">
        <f>T("   PREPARATIONS OPACIFIANTES POUR EXAMENS RADIOGRAPHIQUES; REACTIFS DE DIAGNOSTIC CONCUS")</f>
        <v xml:space="preserve">   PREPARATIONS OPACIFIANTES POUR EXAMENS RADIOGRAPHIQUES; REACTIFS DE DIAGNOSTIC CONCUS</v>
      </c>
      <c r="C3095" s="4">
        <v>9.4</v>
      </c>
      <c r="D3095" s="4">
        <v>445876</v>
      </c>
    </row>
    <row r="3096" spans="1:4" x14ac:dyDescent="0.25">
      <c r="A3096" t="str">
        <f>T("   300660")</f>
        <v xml:space="preserve">   300660</v>
      </c>
      <c r="B3096" t="str">
        <f>T("   PREPARATIONS CHIMIQUES CONTRACEPTIVES A BASE D’HORMONES, D’AUTRES PRODUITS DU N° 29.3")</f>
        <v xml:space="preserve">   PREPARATIONS CHIMIQUES CONTRACEPTIVES A BASE D’HORMONES, D’AUTRES PRODUITS DU N° 29.3</v>
      </c>
      <c r="C3096" s="4">
        <v>288</v>
      </c>
      <c r="D3096" s="4">
        <v>18097917</v>
      </c>
    </row>
    <row r="3097" spans="1:4" x14ac:dyDescent="0.25">
      <c r="A3097" t="str">
        <f>T("   310100")</f>
        <v xml:space="preserve">   310100</v>
      </c>
      <c r="B3097" t="str">
        <f>T("   ENGRAIS D'ORIGINE ANIMALE OU VEGETALE, MEME MELANGES ENTRE EUX OU TRAITES CHIMIQUEMENT;")</f>
        <v xml:space="preserve">   ENGRAIS D'ORIGINE ANIMALE OU VEGETALE, MEME MELANGES ENTRE EUX OU TRAITES CHIMIQUEMENT;</v>
      </c>
      <c r="C3097" s="4">
        <v>1065</v>
      </c>
      <c r="D3097" s="4">
        <v>3466093</v>
      </c>
    </row>
    <row r="3098" spans="1:4" x14ac:dyDescent="0.25">
      <c r="A3098" t="str">
        <f>T("   310510")</f>
        <v xml:space="preserve">   310510</v>
      </c>
      <c r="B3098" t="str">
        <f>T("   PRODUITS DU PRESENT CHAPITRE PRESENTES SOIT EN TABLETTES OU FORMES SIMILAIRES, SOIT E")</f>
        <v xml:space="preserve">   PRODUITS DU PRESENT CHAPITRE PRESENTES SOIT EN TABLETTES OU FORMES SIMILAIRES, SOIT E</v>
      </c>
      <c r="C3098" s="4">
        <v>1000</v>
      </c>
      <c r="D3098" s="4">
        <v>2157659</v>
      </c>
    </row>
    <row r="3099" spans="1:4" x14ac:dyDescent="0.25">
      <c r="A3099" t="str">
        <f>T("   320820")</f>
        <v xml:space="preserve">   320820</v>
      </c>
      <c r="B3099" t="str">
        <f>T("   A BASE DE POLYMERES ACRYLIQUES OU VINYLIQUES")</f>
        <v xml:space="preserve">   A BASE DE POLYMERES ACRYLIQUES OU VINYLIQUES</v>
      </c>
      <c r="C3099" s="4">
        <v>905</v>
      </c>
      <c r="D3099" s="4">
        <v>2300000</v>
      </c>
    </row>
    <row r="3100" spans="1:4" x14ac:dyDescent="0.25">
      <c r="A3100" t="str">
        <f>T("   320990")</f>
        <v xml:space="preserve">   320990</v>
      </c>
      <c r="B3100" t="str">
        <f>T("   AUTRES")</f>
        <v xml:space="preserve">   AUTRES</v>
      </c>
      <c r="C3100" s="4">
        <v>69</v>
      </c>
      <c r="D3100" s="4">
        <v>29519</v>
      </c>
    </row>
    <row r="3101" spans="1:4" x14ac:dyDescent="0.25">
      <c r="A3101" t="str">
        <f>T("   321519")</f>
        <v xml:space="preserve">   321519</v>
      </c>
      <c r="B3101" t="str">
        <f>T("   AUTRES")</f>
        <v xml:space="preserve">   AUTRES</v>
      </c>
      <c r="C3101" s="4">
        <v>5.5</v>
      </c>
      <c r="D3101" s="4">
        <v>85931</v>
      </c>
    </row>
    <row r="3102" spans="1:4" x14ac:dyDescent="0.25">
      <c r="A3102" t="str">
        <f>T("   330210")</f>
        <v xml:space="preserve">   330210</v>
      </c>
      <c r="B3102" t="str">
        <f>T("   DES TYPES UTILISES POUR LES INDUSTRIES ALIMENTAIRES OU DES BOISSONS")</f>
        <v xml:space="preserve">   DES TYPES UTILISES POUR LES INDUSTRIES ALIMENTAIRES OU DES BOISSONS</v>
      </c>
      <c r="C3102" s="4">
        <v>14</v>
      </c>
      <c r="D3102" s="4">
        <v>38854</v>
      </c>
    </row>
    <row r="3103" spans="1:4" x14ac:dyDescent="0.25">
      <c r="A3103" t="str">
        <f>T("   330290")</f>
        <v xml:space="preserve">   330290</v>
      </c>
      <c r="B3103" t="str">
        <f>T("   AUTRES")</f>
        <v xml:space="preserve">   AUTRES</v>
      </c>
      <c r="C3103" s="4">
        <v>3831</v>
      </c>
      <c r="D3103" s="4">
        <v>4691426</v>
      </c>
    </row>
    <row r="3104" spans="1:4" x14ac:dyDescent="0.25">
      <c r="A3104" t="str">
        <f>T("   330410")</f>
        <v xml:space="preserve">   330410</v>
      </c>
      <c r="B3104" t="str">
        <f>T("   Produits de maquillage pour les levres")</f>
        <v xml:space="preserve">   Produits de maquillage pour les levres</v>
      </c>
      <c r="C3104" s="4">
        <v>121</v>
      </c>
      <c r="D3104" s="4">
        <v>454580</v>
      </c>
    </row>
    <row r="3105" spans="1:4" x14ac:dyDescent="0.25">
      <c r="A3105" t="str">
        <f>T("   330499")</f>
        <v xml:space="preserve">   330499</v>
      </c>
      <c r="B3105" t="str">
        <f>T("   AUTRES")</f>
        <v xml:space="preserve">   AUTRES</v>
      </c>
      <c r="C3105" s="4">
        <v>11491</v>
      </c>
      <c r="D3105" s="4">
        <v>33833893</v>
      </c>
    </row>
    <row r="3106" spans="1:4" x14ac:dyDescent="0.25">
      <c r="A3106" t="str">
        <f>T("   330510")</f>
        <v xml:space="preserve">   330510</v>
      </c>
      <c r="B3106" t="str">
        <f>T("   Shampooings")</f>
        <v xml:space="preserve">   Shampooings</v>
      </c>
      <c r="C3106" s="4">
        <v>81</v>
      </c>
      <c r="D3106" s="4">
        <v>259105</v>
      </c>
    </row>
    <row r="3107" spans="1:4" x14ac:dyDescent="0.25">
      <c r="A3107" t="str">
        <f>T("   330590")</f>
        <v xml:space="preserve">   330590</v>
      </c>
      <c r="B3107" t="str">
        <f>T("   AUTRES")</f>
        <v xml:space="preserve">   AUTRES</v>
      </c>
      <c r="C3107" s="4">
        <v>983</v>
      </c>
      <c r="D3107" s="4">
        <v>889896</v>
      </c>
    </row>
    <row r="3108" spans="1:4" x14ac:dyDescent="0.25">
      <c r="A3108" t="str">
        <f>T("   330720")</f>
        <v xml:space="preserve">   330720</v>
      </c>
      <c r="B3108" t="str">
        <f>T("   Desodorisants corporels et antisudoraux")</f>
        <v xml:space="preserve">   Desodorisants corporels et antisudoraux</v>
      </c>
      <c r="C3108" s="4">
        <v>9401</v>
      </c>
      <c r="D3108" s="4">
        <v>30324373</v>
      </c>
    </row>
    <row r="3109" spans="1:4" x14ac:dyDescent="0.25">
      <c r="A3109" t="str">
        <f>T("   340111")</f>
        <v xml:space="preserve">   340111</v>
      </c>
      <c r="B3109" t="str">
        <f>T("   DE TOILETTE (Y COMPRIS CEUX A USAGES MEDICAUX)")</f>
        <v xml:space="preserve">   DE TOILETTE (Y COMPRIS CEUX A USAGES MEDICAUX)</v>
      </c>
      <c r="C3109" s="4">
        <v>5283</v>
      </c>
      <c r="D3109" s="4">
        <v>7107983</v>
      </c>
    </row>
    <row r="3110" spans="1:4" x14ac:dyDescent="0.25">
      <c r="A3110" t="str">
        <f>T("   340119")</f>
        <v xml:space="preserve">   340119</v>
      </c>
      <c r="B3110" t="str">
        <f>T("   AUTRES")</f>
        <v xml:space="preserve">   AUTRES</v>
      </c>
      <c r="C3110" s="4">
        <v>121908</v>
      </c>
      <c r="D3110" s="4">
        <v>22719828</v>
      </c>
    </row>
    <row r="3111" spans="1:4" x14ac:dyDescent="0.25">
      <c r="A3111" t="str">
        <f>T("   340120")</f>
        <v xml:space="preserve">   340120</v>
      </c>
      <c r="B3111" t="str">
        <f>T("   SAVONS SOUS AUTRES FORMES")</f>
        <v xml:space="preserve">   SAVONS SOUS AUTRES FORMES</v>
      </c>
      <c r="C3111" s="4">
        <v>535</v>
      </c>
      <c r="D3111" s="4">
        <v>1720583</v>
      </c>
    </row>
    <row r="3112" spans="1:4" x14ac:dyDescent="0.25">
      <c r="A3112" t="str">
        <f>T("   340130")</f>
        <v xml:space="preserve">   340130</v>
      </c>
      <c r="B3112" t="str">
        <f>T("   PRODUITS ET PREPARATIONS ORGANIQUES TENSIOACTIFS DESTINES AU LAVAGE DE LA PEAU, SOUS")</f>
        <v xml:space="preserve">   PRODUITS ET PREPARATIONS ORGANIQUES TENSIOACTIFS DESTINES AU LAVAGE DE LA PEAU, SOUS</v>
      </c>
      <c r="C3112" s="4">
        <v>345</v>
      </c>
      <c r="D3112" s="4">
        <v>3144672</v>
      </c>
    </row>
    <row r="3113" spans="1:4" x14ac:dyDescent="0.25">
      <c r="A3113" t="str">
        <f>T("   340399")</f>
        <v xml:space="preserve">   340399</v>
      </c>
      <c r="B3113" t="str">
        <f>T("   AUTRES")</f>
        <v xml:space="preserve">   AUTRES</v>
      </c>
      <c r="C3113" s="4">
        <v>26</v>
      </c>
      <c r="D3113" s="4">
        <v>3562309</v>
      </c>
    </row>
    <row r="3114" spans="1:4" x14ac:dyDescent="0.25">
      <c r="A3114" t="str">
        <f>T("   340600")</f>
        <v xml:space="preserve">   340600</v>
      </c>
      <c r="B3114" t="str">
        <f>T("   BOUGIES, CHANDELLES, CIERGES ET ARTICLES SIMILAIRES.")</f>
        <v xml:space="preserve">   BOUGIES, CHANDELLES, CIERGES ET ARTICLES SIMILAIRES.</v>
      </c>
      <c r="C3114" s="4">
        <v>153</v>
      </c>
      <c r="D3114" s="4">
        <v>6560</v>
      </c>
    </row>
    <row r="3115" spans="1:4" x14ac:dyDescent="0.25">
      <c r="A3115" t="str">
        <f>T("   350190")</f>
        <v xml:space="preserve">   350190</v>
      </c>
      <c r="B3115" t="str">
        <f>T("   AUTRES")</f>
        <v xml:space="preserve">   AUTRES</v>
      </c>
      <c r="C3115" s="4">
        <v>2916</v>
      </c>
      <c r="D3115" s="4">
        <v>6306492</v>
      </c>
    </row>
    <row r="3116" spans="1:4" x14ac:dyDescent="0.25">
      <c r="A3116" t="str">
        <f>T("   350510")</f>
        <v xml:space="preserve">   350510</v>
      </c>
      <c r="B3116" t="str">
        <f>T("   Dextrine et autres amidons et fecules modifies")</f>
        <v xml:space="preserve">   Dextrine et autres amidons et fecules modifies</v>
      </c>
      <c r="C3116" s="4">
        <v>10146</v>
      </c>
      <c r="D3116" s="4">
        <v>6473133</v>
      </c>
    </row>
    <row r="3117" spans="1:4" x14ac:dyDescent="0.25">
      <c r="A3117" t="str">
        <f>T("   350610")</f>
        <v xml:space="preserve">   350610</v>
      </c>
      <c r="B3117" t="str">
        <f>T("   PRODUITS DE TOUTE ESPECE A USAGE DE COLLES OU D'ADHESIFS, CONDITIONNES POUR LA VENTE")</f>
        <v xml:space="preserve">   PRODUITS DE TOUTE ESPECE A USAGE DE COLLES OU D'ADHESIFS, CONDITIONNES POUR LA VENTE</v>
      </c>
      <c r="C3117" s="4">
        <v>0.5</v>
      </c>
      <c r="D3117" s="4">
        <v>60197</v>
      </c>
    </row>
    <row r="3118" spans="1:4" x14ac:dyDescent="0.25">
      <c r="A3118" t="str">
        <f>T("   350691")</f>
        <v xml:space="preserve">   350691</v>
      </c>
      <c r="B3118" t="str">
        <f>T("   ADHESIFS A BASE DE POLYMERES DES N°S 39.01 A 39.13 OU DE CAOUTCHOUC")</f>
        <v xml:space="preserve">   ADHESIFS A BASE DE POLYMERES DES N°S 39.01 A 39.13 OU DE CAOUTCHOUC</v>
      </c>
      <c r="C3118" s="4">
        <v>70</v>
      </c>
      <c r="D3118" s="4">
        <v>457157</v>
      </c>
    </row>
    <row r="3119" spans="1:4" x14ac:dyDescent="0.25">
      <c r="A3119" t="str">
        <f>T("   350699")</f>
        <v xml:space="preserve">   350699</v>
      </c>
      <c r="B3119" t="str">
        <f>T("   AUTRES")</f>
        <v xml:space="preserve">   AUTRES</v>
      </c>
      <c r="C3119" s="4">
        <v>80</v>
      </c>
      <c r="D3119" s="4">
        <v>150871</v>
      </c>
    </row>
    <row r="3120" spans="1:4" x14ac:dyDescent="0.25">
      <c r="A3120" t="str">
        <f>T("   350790")</f>
        <v xml:space="preserve">   350790</v>
      </c>
      <c r="B3120" t="str">
        <f>T("   AUTRES")</f>
        <v xml:space="preserve">   AUTRES</v>
      </c>
      <c r="C3120" s="4">
        <v>336</v>
      </c>
      <c r="D3120" s="4">
        <v>3468999</v>
      </c>
    </row>
    <row r="3121" spans="1:4" x14ac:dyDescent="0.25">
      <c r="A3121" t="str">
        <f>T("   370790")</f>
        <v xml:space="preserve">   370790</v>
      </c>
      <c r="B3121" t="str">
        <f>T("   AUTRES")</f>
        <v xml:space="preserve">   AUTRES</v>
      </c>
      <c r="C3121" s="4">
        <v>996</v>
      </c>
      <c r="D3121" s="4">
        <v>2626464</v>
      </c>
    </row>
    <row r="3122" spans="1:4" x14ac:dyDescent="0.25">
      <c r="A3122" t="str">
        <f>T("   380290")</f>
        <v xml:space="preserve">   380290</v>
      </c>
      <c r="B3122" t="str">
        <f>T("   AUTRES")</f>
        <v xml:space="preserve">   AUTRES</v>
      </c>
      <c r="C3122" s="4">
        <v>1083</v>
      </c>
      <c r="D3122" s="4">
        <v>1182696</v>
      </c>
    </row>
    <row r="3123" spans="1:4" x14ac:dyDescent="0.25">
      <c r="A3123" t="str">
        <f>T("   380894")</f>
        <v xml:space="preserve">   380894</v>
      </c>
      <c r="B3123" t="str">
        <f>T("   DESINFECTANTS")</f>
        <v xml:space="preserve">   DESINFECTANTS</v>
      </c>
      <c r="C3123" s="4">
        <v>205</v>
      </c>
      <c r="D3123" s="4">
        <v>821000</v>
      </c>
    </row>
    <row r="3124" spans="1:4" x14ac:dyDescent="0.25">
      <c r="A3124" t="str">
        <f>T("   382000")</f>
        <v xml:space="preserve">   382000</v>
      </c>
      <c r="B3124" t="str">
        <f>T("   PREPARATIONS ANTIGEL ET LIQUIDES PREPARES POUR DEGIVRAGE.")</f>
        <v xml:space="preserve">   PREPARATIONS ANTIGEL ET LIQUIDES PREPARES POUR DEGIVRAGE.</v>
      </c>
      <c r="C3124" s="4">
        <v>2382</v>
      </c>
      <c r="D3124" s="4">
        <v>3628698</v>
      </c>
    </row>
    <row r="3125" spans="1:4" x14ac:dyDescent="0.25">
      <c r="A3125" t="str">
        <f>T("   382200")</f>
        <v xml:space="preserve">   382200</v>
      </c>
      <c r="B3125" t="str">
        <f>T("   REACTIFS DE DIAGNOSTIC OU DE LABORATOIRE SUR TOUT SUPPORT ET REACTIFS DE DIAGNOSTIC OU")</f>
        <v xml:space="preserve">   REACTIFS DE DIAGNOSTIC OU DE LABORATOIRE SUR TOUT SUPPORT ET REACTIFS DE DIAGNOSTIC OU</v>
      </c>
      <c r="C3125" s="4">
        <v>24374.7</v>
      </c>
      <c r="D3125" s="4">
        <v>52978882</v>
      </c>
    </row>
    <row r="3126" spans="1:4" x14ac:dyDescent="0.25">
      <c r="A3126" t="str">
        <f>T("   382490")</f>
        <v xml:space="preserve">   382490</v>
      </c>
      <c r="B3126" t="str">
        <f>T("   AUTRES")</f>
        <v xml:space="preserve">   AUTRES</v>
      </c>
      <c r="C3126" s="4">
        <v>1818</v>
      </c>
      <c r="D3126" s="4">
        <v>4143280</v>
      </c>
    </row>
    <row r="3127" spans="1:4" x14ac:dyDescent="0.25">
      <c r="A3127" t="str">
        <f>T("   390410")</f>
        <v xml:space="preserve">   390410</v>
      </c>
      <c r="B3127" t="str">
        <f>T("   POLY(CHLORURE DE VINYLE), NON MELANGE A D'AUTRES SUBSTANCES")</f>
        <v xml:space="preserve">   POLY(CHLORURE DE VINYLE), NON MELANGE A D'AUTRES SUBSTANCES</v>
      </c>
      <c r="C3127" s="4">
        <v>297000</v>
      </c>
      <c r="D3127" s="4">
        <v>161066394</v>
      </c>
    </row>
    <row r="3128" spans="1:4" x14ac:dyDescent="0.25">
      <c r="A3128" t="str">
        <f>T("   390690")</f>
        <v xml:space="preserve">   390690</v>
      </c>
      <c r="B3128" t="str">
        <f>T("   AUTRES")</f>
        <v xml:space="preserve">   AUTRES</v>
      </c>
      <c r="C3128" s="4">
        <v>729</v>
      </c>
      <c r="D3128" s="4">
        <v>5529743</v>
      </c>
    </row>
    <row r="3129" spans="1:4" x14ac:dyDescent="0.25">
      <c r="A3129" t="str">
        <f>T("   391000")</f>
        <v xml:space="preserve">   391000</v>
      </c>
      <c r="B3129" t="str">
        <f>T("   SILICONES SOUS FORMES PRIMAIRES.")</f>
        <v xml:space="preserve">   SILICONES SOUS FORMES PRIMAIRES.</v>
      </c>
      <c r="C3129" s="4">
        <v>53</v>
      </c>
      <c r="D3129" s="4">
        <v>999946</v>
      </c>
    </row>
    <row r="3130" spans="1:4" x14ac:dyDescent="0.25">
      <c r="A3130" t="str">
        <f>T("   391739")</f>
        <v xml:space="preserve">   391739</v>
      </c>
      <c r="B3130" t="str">
        <f>T("   AUTRES")</f>
        <v xml:space="preserve">   AUTRES</v>
      </c>
      <c r="C3130" s="4">
        <v>139</v>
      </c>
      <c r="D3130" s="4">
        <v>1758756</v>
      </c>
    </row>
    <row r="3131" spans="1:4" x14ac:dyDescent="0.25">
      <c r="A3131" t="str">
        <f>T("   391740")</f>
        <v xml:space="preserve">   391740</v>
      </c>
      <c r="B3131" t="str">
        <f>T("   ACCESSOIRES")</f>
        <v xml:space="preserve">   ACCESSOIRES</v>
      </c>
      <c r="C3131" s="4">
        <v>3</v>
      </c>
      <c r="D3131" s="4">
        <v>232806</v>
      </c>
    </row>
    <row r="3132" spans="1:4" x14ac:dyDescent="0.25">
      <c r="A3132" t="str">
        <f>T("   392119")</f>
        <v xml:space="preserve">   392119</v>
      </c>
      <c r="B3132" t="str">
        <f>T("   EN AUTRES MATIERES PLASTIQUES")</f>
        <v xml:space="preserve">   EN AUTRES MATIERES PLASTIQUES</v>
      </c>
      <c r="C3132" s="4">
        <v>12300</v>
      </c>
      <c r="D3132" s="4">
        <v>13335667</v>
      </c>
    </row>
    <row r="3133" spans="1:4" x14ac:dyDescent="0.25">
      <c r="A3133" t="str">
        <f>T("   392190")</f>
        <v xml:space="preserve">   392190</v>
      </c>
      <c r="B3133" t="str">
        <f>T("   AUTRES")</f>
        <v xml:space="preserve">   AUTRES</v>
      </c>
      <c r="C3133" s="4">
        <v>3529</v>
      </c>
      <c r="D3133" s="4">
        <v>32625922</v>
      </c>
    </row>
    <row r="3134" spans="1:4" x14ac:dyDescent="0.25">
      <c r="A3134" t="str">
        <f>T("   392210")</f>
        <v xml:space="preserve">   392210</v>
      </c>
      <c r="B3134" t="str">
        <f>T("   BAIGNOIRES, DOUCHES, EVIERS ET LAVABOS")</f>
        <v xml:space="preserve">   BAIGNOIRES, DOUCHES, EVIERS ET LAVABOS</v>
      </c>
      <c r="C3134" s="4">
        <v>250</v>
      </c>
      <c r="D3134" s="4">
        <v>50000</v>
      </c>
    </row>
    <row r="3135" spans="1:4" x14ac:dyDescent="0.25">
      <c r="A3135" t="str">
        <f>T("   392290")</f>
        <v xml:space="preserve">   392290</v>
      </c>
      <c r="B3135" t="str">
        <f>T("   AUTRES")</f>
        <v xml:space="preserve">   AUTRES</v>
      </c>
      <c r="C3135" s="4">
        <v>153.80000000000001</v>
      </c>
      <c r="D3135" s="4">
        <v>2020593</v>
      </c>
    </row>
    <row r="3136" spans="1:4" x14ac:dyDescent="0.25">
      <c r="A3136" t="str">
        <f>T("   392410")</f>
        <v xml:space="preserve">   392410</v>
      </c>
      <c r="B3136" t="str">
        <f>T("   VAISSELLE ET AUTRES ARTICLES POUR LE SERVICE DE LA TABLE OU DE LA CUISINE")</f>
        <v xml:space="preserve">   VAISSELLE ET AUTRES ARTICLES POUR LE SERVICE DE LA TABLE OU DE LA CUISINE</v>
      </c>
      <c r="C3136" s="4">
        <v>447</v>
      </c>
      <c r="D3136" s="4">
        <v>2309228</v>
      </c>
    </row>
    <row r="3137" spans="1:4" x14ac:dyDescent="0.25">
      <c r="A3137" t="str">
        <f>T("   392490")</f>
        <v xml:space="preserve">   392490</v>
      </c>
      <c r="B3137" t="str">
        <f>T("   AUTRES")</f>
        <v xml:space="preserve">   AUTRES</v>
      </c>
      <c r="C3137" s="4">
        <v>3067</v>
      </c>
      <c r="D3137" s="4">
        <v>138408</v>
      </c>
    </row>
    <row r="3138" spans="1:4" x14ac:dyDescent="0.25">
      <c r="A3138" t="str">
        <f>T("   392510")</f>
        <v xml:space="preserve">   392510</v>
      </c>
      <c r="B3138" t="str">
        <f>T("   RESERVOIRS, FOUDRES, CUVES ET RECIPIENTS ANALOGUES, D'UNE CONTENANCE EXCEDANT 300 L")</f>
        <v xml:space="preserve">   RESERVOIRS, FOUDRES, CUVES ET RECIPIENTS ANALOGUES, D'UNE CONTENANCE EXCEDANT 300 L</v>
      </c>
      <c r="C3138" s="4">
        <v>15558</v>
      </c>
      <c r="D3138" s="4">
        <v>6873149</v>
      </c>
    </row>
    <row r="3139" spans="1:4" x14ac:dyDescent="0.25">
      <c r="A3139" t="str">
        <f>T("   392610")</f>
        <v xml:space="preserve">   392610</v>
      </c>
      <c r="B3139" t="str">
        <f>T("   ARTICLES DE BUREAU ET ARTICLES SCOLAIRES")</f>
        <v xml:space="preserve">   ARTICLES DE BUREAU ET ARTICLES SCOLAIRES</v>
      </c>
      <c r="C3139" s="4">
        <v>2500</v>
      </c>
      <c r="D3139" s="4">
        <v>787152</v>
      </c>
    </row>
    <row r="3140" spans="1:4" x14ac:dyDescent="0.25">
      <c r="A3140" t="str">
        <f>T("   392640")</f>
        <v xml:space="preserve">   392640</v>
      </c>
      <c r="B3140" t="str">
        <f>T("   STATUETTES ET AUTRES OBJETS D'ORNEMENTATION")</f>
        <v xml:space="preserve">   STATUETTES ET AUTRES OBJETS D'ORNEMENTATION</v>
      </c>
      <c r="C3140" s="4">
        <v>2810</v>
      </c>
      <c r="D3140" s="4">
        <v>1200000</v>
      </c>
    </row>
    <row r="3141" spans="1:4" x14ac:dyDescent="0.25">
      <c r="A3141" t="str">
        <f>T("   392690")</f>
        <v xml:space="preserve">   392690</v>
      </c>
      <c r="B3141" t="str">
        <f>T("   AUTRES")</f>
        <v xml:space="preserve">   AUTRES</v>
      </c>
      <c r="C3141" s="4">
        <v>415</v>
      </c>
      <c r="D3141" s="4">
        <v>5012267</v>
      </c>
    </row>
    <row r="3142" spans="1:4" x14ac:dyDescent="0.25">
      <c r="A3142" t="str">
        <f>T("   400270")</f>
        <v xml:space="preserve">   400270</v>
      </c>
      <c r="B3142" t="str">
        <f>T("   CAOUTCHOUC ETHYLENEPROPYLENEDIENE NON CONJUGUE (EPDM)")</f>
        <v xml:space="preserve">   CAOUTCHOUC ETHYLENEPROPYLENEDIENE NON CONJUGUE (EPDM)</v>
      </c>
      <c r="C3142" s="4">
        <v>2073</v>
      </c>
      <c r="D3142" s="4">
        <v>5028750</v>
      </c>
    </row>
    <row r="3143" spans="1:4" x14ac:dyDescent="0.25">
      <c r="A3143" t="str">
        <f>T("   400811")</f>
        <v xml:space="preserve">   400811</v>
      </c>
      <c r="B3143" t="str">
        <f>T("   PLAQUES, FEUILLES ET BANDES")</f>
        <v xml:space="preserve">   PLAQUES, FEUILLES ET BANDES</v>
      </c>
      <c r="C3143" s="4">
        <v>11521</v>
      </c>
      <c r="D3143" s="4">
        <v>47223872</v>
      </c>
    </row>
    <row r="3144" spans="1:4" x14ac:dyDescent="0.25">
      <c r="A3144" t="str">
        <f>T("   401031")</f>
        <v xml:space="preserve">   401031</v>
      </c>
      <c r="B3144" t="str">
        <f>T("   COURROIES DE TRANSMISSION SANS FIN, DE SECTION TRAPEZOIDALE, STRIEES, D'UNE CIRCONFE")</f>
        <v xml:space="preserve">   COURROIES DE TRANSMISSION SANS FIN, DE SECTION TRAPEZOIDALE, STRIEES, D'UNE CIRCONFE</v>
      </c>
      <c r="C3144" s="4">
        <v>8</v>
      </c>
      <c r="D3144" s="4">
        <v>682146</v>
      </c>
    </row>
    <row r="3145" spans="1:4" x14ac:dyDescent="0.25">
      <c r="A3145" t="str">
        <f>T("   401039")</f>
        <v xml:space="preserve">   401039</v>
      </c>
      <c r="B3145" t="str">
        <f>T("   AUTRES")</f>
        <v xml:space="preserve">   AUTRES</v>
      </c>
      <c r="C3145" s="4">
        <v>1672</v>
      </c>
      <c r="D3145" s="4">
        <v>2928126</v>
      </c>
    </row>
    <row r="3146" spans="1:4" x14ac:dyDescent="0.25">
      <c r="A3146" t="str">
        <f>T("   401110")</f>
        <v xml:space="preserve">   401110</v>
      </c>
      <c r="B3146" t="str">
        <f>T("   DES TYPES UTILISES POUR LES VOITURES DE TOURISME (Y COMPRIS LES VOITURES DU TYPE «BRE")</f>
        <v xml:space="preserve">   DES TYPES UTILISES POUR LES VOITURES DE TOURISME (Y COMPRIS LES VOITURES DU TYPE «BRE</v>
      </c>
      <c r="C3146" s="4">
        <v>13904</v>
      </c>
      <c r="D3146" s="4">
        <v>10600314</v>
      </c>
    </row>
    <row r="3147" spans="1:4" x14ac:dyDescent="0.25">
      <c r="A3147" t="str">
        <f>T("   401120")</f>
        <v xml:space="preserve">   401120</v>
      </c>
      <c r="B3147" t="str">
        <f>T("   DES TYPES UTILISES POUR AUTOBUS OU CAMIONS")</f>
        <v xml:space="preserve">   DES TYPES UTILISES POUR AUTOBUS OU CAMIONS</v>
      </c>
      <c r="C3147" s="4">
        <v>14787</v>
      </c>
      <c r="D3147" s="4">
        <v>19907044</v>
      </c>
    </row>
    <row r="3148" spans="1:4" x14ac:dyDescent="0.25">
      <c r="A3148" t="str">
        <f>T("   401163")</f>
        <v xml:space="preserve">   401163</v>
      </c>
      <c r="B3148" t="str">
        <f>T("   DES TYPES UTILISES POUR LES VEHICULES ET ENGINS DE GENIE CIVIL ET DE MANUTENTION IND")</f>
        <v xml:space="preserve">   DES TYPES UTILISES POUR LES VEHICULES ET ENGINS DE GENIE CIVIL ET DE MANUTENTION IND</v>
      </c>
      <c r="C3148" s="4">
        <v>7491</v>
      </c>
      <c r="D3148" s="4">
        <v>23901608</v>
      </c>
    </row>
    <row r="3149" spans="1:4" x14ac:dyDescent="0.25">
      <c r="A3149" t="str">
        <f>T("   401211")</f>
        <v xml:space="preserve">   401211</v>
      </c>
      <c r="B3149" t="str">
        <f>T("   DES TYPES UTILISES POUR LES VOITURES DE TOURISME (Y COMPRIS LES VOITURES DU TYPE «BR")</f>
        <v xml:space="preserve">   DES TYPES UTILISES POUR LES VOITURES DE TOURISME (Y COMPRIS LES VOITURES DU TYPE «BR</v>
      </c>
      <c r="C3149" s="4">
        <v>32160</v>
      </c>
      <c r="D3149" s="4">
        <v>16337798</v>
      </c>
    </row>
    <row r="3150" spans="1:4" x14ac:dyDescent="0.25">
      <c r="A3150" t="str">
        <f>T("   401212")</f>
        <v xml:space="preserve">   401212</v>
      </c>
      <c r="B3150" t="str">
        <f>T("   DES TYPES UTILISES POUR AUTOBUS OU CAMIONS")</f>
        <v xml:space="preserve">   DES TYPES UTILISES POUR AUTOBUS OU CAMIONS</v>
      </c>
      <c r="C3150" s="4">
        <v>203206</v>
      </c>
      <c r="D3150" s="4">
        <v>150985452</v>
      </c>
    </row>
    <row r="3151" spans="1:4" x14ac:dyDescent="0.25">
      <c r="A3151" t="str">
        <f>T("   401219")</f>
        <v xml:space="preserve">   401219</v>
      </c>
      <c r="B3151" t="str">
        <f>T("   AUTRES")</f>
        <v xml:space="preserve">   AUTRES</v>
      </c>
      <c r="C3151" s="4">
        <v>47327</v>
      </c>
      <c r="D3151" s="4">
        <v>15252000</v>
      </c>
    </row>
    <row r="3152" spans="1:4" x14ac:dyDescent="0.25">
      <c r="A3152" t="str">
        <f>T("   401220")</f>
        <v xml:space="preserve">   401220</v>
      </c>
      <c r="B3152" t="str">
        <f>T("   PNEUMATIQUES USAGES")</f>
        <v xml:space="preserve">   PNEUMATIQUES USAGES</v>
      </c>
      <c r="C3152" s="4">
        <v>4061491</v>
      </c>
      <c r="D3152" s="4">
        <v>1317051436</v>
      </c>
    </row>
    <row r="3153" spans="1:4" x14ac:dyDescent="0.25">
      <c r="A3153" t="str">
        <f>T("   401290")</f>
        <v xml:space="preserve">   401290</v>
      </c>
      <c r="B3153" t="str">
        <f>T("   AUTRES")</f>
        <v xml:space="preserve">   AUTRES</v>
      </c>
      <c r="C3153" s="4">
        <v>6385</v>
      </c>
      <c r="D3153" s="4">
        <v>1161516</v>
      </c>
    </row>
    <row r="3154" spans="1:4" x14ac:dyDescent="0.25">
      <c r="A3154" t="str">
        <f>T("   401310")</f>
        <v xml:space="preserve">   401310</v>
      </c>
      <c r="B3154" t="str">
        <f>T("   DES TYPES UTILISES POUR LES VOITURES DE TOURISME (Y COMPRIS LES VOITURES DU TYPE «BRE")</f>
        <v xml:space="preserve">   DES TYPES UTILISES POUR LES VOITURES DE TOURISME (Y COMPRIS LES VOITURES DU TYPE «BRE</v>
      </c>
      <c r="C3154" s="4">
        <v>666597</v>
      </c>
      <c r="D3154" s="4">
        <v>78834468</v>
      </c>
    </row>
    <row r="3155" spans="1:4" x14ac:dyDescent="0.25">
      <c r="A3155" t="str">
        <f>T("   401390")</f>
        <v xml:space="preserve">   401390</v>
      </c>
      <c r="B3155" t="str">
        <f>T("   AUTRES")</f>
        <v xml:space="preserve">   AUTRES</v>
      </c>
      <c r="C3155" s="4">
        <v>206876</v>
      </c>
      <c r="D3155" s="4">
        <v>32504968</v>
      </c>
    </row>
    <row r="3156" spans="1:4" x14ac:dyDescent="0.25">
      <c r="A3156" t="str">
        <f>T("   401693")</f>
        <v xml:space="preserve">   401693</v>
      </c>
      <c r="B3156" t="str">
        <f>T("   JOINTS")</f>
        <v xml:space="preserve">   JOINTS</v>
      </c>
      <c r="C3156" s="4">
        <v>39.17</v>
      </c>
      <c r="D3156" s="4">
        <v>3519167</v>
      </c>
    </row>
    <row r="3157" spans="1:4" x14ac:dyDescent="0.25">
      <c r="A3157" t="str">
        <f>T("   401699")</f>
        <v xml:space="preserve">   401699</v>
      </c>
      <c r="B3157" t="str">
        <f>T("   AUTRES")</f>
        <v xml:space="preserve">   AUTRES</v>
      </c>
      <c r="C3157" s="4">
        <v>2155</v>
      </c>
      <c r="D3157" s="4">
        <v>46953066</v>
      </c>
    </row>
    <row r="3158" spans="1:4" x14ac:dyDescent="0.25">
      <c r="A3158" t="str">
        <f>T("   420299")</f>
        <v xml:space="preserve">   420299</v>
      </c>
      <c r="B3158" t="str">
        <f>T("   AUTRES")</f>
        <v xml:space="preserve">   AUTRES</v>
      </c>
      <c r="C3158" s="4">
        <v>10</v>
      </c>
      <c r="D3158" s="4">
        <v>49197</v>
      </c>
    </row>
    <row r="3159" spans="1:4" x14ac:dyDescent="0.25">
      <c r="A3159" t="str">
        <f>T("   441199")</f>
        <v xml:space="preserve">   441199</v>
      </c>
      <c r="B3159" t="str">
        <f>T("   AUTRES PANNEAUX DE FIBRES 0,35 G/CM3 ET -")</f>
        <v xml:space="preserve">   AUTRES PANNEAUX DE FIBRES 0,35 G/CM3 ET -</v>
      </c>
      <c r="C3159" s="4">
        <v>98500</v>
      </c>
      <c r="D3159" s="4">
        <v>22178280</v>
      </c>
    </row>
    <row r="3160" spans="1:4" x14ac:dyDescent="0.25">
      <c r="A3160" t="str">
        <f>T("   441840")</f>
        <v xml:space="preserve">   441840</v>
      </c>
      <c r="B3160" t="str">
        <f>T("   COFFRAGES POUR LE BETONNAGE")</f>
        <v xml:space="preserve">   COFFRAGES POUR LE BETONNAGE</v>
      </c>
      <c r="C3160" s="4">
        <v>22311</v>
      </c>
      <c r="D3160" s="4">
        <v>7519269</v>
      </c>
    </row>
    <row r="3161" spans="1:4" x14ac:dyDescent="0.25">
      <c r="A3161" t="str">
        <f>T("   480220")</f>
        <v xml:space="preserve">   480220</v>
      </c>
      <c r="B3161" t="str">
        <f>T("   PAPIERS ET CARTONS SUPPORTS POUR PAPIERS OU CARTONS PHOTOSENSIBLES, SENSIBLES A LA CH")</f>
        <v xml:space="preserve">   PAPIERS ET CARTONS SUPPORTS POUR PAPIERS OU CARTONS PHOTOSENSIBLES, SENSIBLES A LA CH</v>
      </c>
      <c r="C3161" s="4">
        <v>27157</v>
      </c>
      <c r="D3161" s="4">
        <v>5939900</v>
      </c>
    </row>
    <row r="3162" spans="1:4" x14ac:dyDescent="0.25">
      <c r="A3162" t="str">
        <f>T("   480257")</f>
        <v xml:space="preserve">   480257</v>
      </c>
      <c r="B3162" t="str">
        <f>T("   AUTRES, D'UN POIDS AU M² DE 40 G OU PLUS MAIS N'EXCEDANT PAS 150 G")</f>
        <v xml:space="preserve">   AUTRES, D'UN POIDS AU M² DE 40 G OU PLUS MAIS N'EXCEDANT PAS 150 G</v>
      </c>
      <c r="C3162" s="4">
        <v>119681</v>
      </c>
      <c r="D3162" s="4">
        <v>35144786</v>
      </c>
    </row>
    <row r="3163" spans="1:4" x14ac:dyDescent="0.25">
      <c r="A3163" t="str">
        <f>T("   480269")</f>
        <v xml:space="preserve">   480269</v>
      </c>
      <c r="B3163" t="str">
        <f>T("   AUTRES")</f>
        <v xml:space="preserve">   AUTRES</v>
      </c>
      <c r="C3163" s="4">
        <v>3400</v>
      </c>
      <c r="D3163" s="4">
        <v>2472313</v>
      </c>
    </row>
    <row r="3164" spans="1:4" x14ac:dyDescent="0.25">
      <c r="A3164" t="str">
        <f>T("   481200")</f>
        <v xml:space="preserve">   481200</v>
      </c>
      <c r="B3164" t="str">
        <f>T("   BLOCS FILTRANTS ET PLAQUES FILTRANTES, EN PATE A PAPIER.")</f>
        <v xml:space="preserve">   BLOCS FILTRANTS ET PLAQUES FILTRANTES, EN PATE A PAPIER.</v>
      </c>
      <c r="C3164" s="4">
        <v>1970</v>
      </c>
      <c r="D3164" s="4">
        <v>7428472</v>
      </c>
    </row>
    <row r="3165" spans="1:4" x14ac:dyDescent="0.25">
      <c r="A3165" t="str">
        <f>T("   481690")</f>
        <v xml:space="preserve">   481690</v>
      </c>
      <c r="B3165" t="str">
        <f>T("   AUTRES")</f>
        <v xml:space="preserve">   AUTRES</v>
      </c>
      <c r="C3165" s="4">
        <v>5</v>
      </c>
      <c r="D3165" s="4">
        <v>21647</v>
      </c>
    </row>
    <row r="3166" spans="1:4" x14ac:dyDescent="0.25">
      <c r="A3166" t="str">
        <f>T("   481810")</f>
        <v xml:space="preserve">   481810</v>
      </c>
      <c r="B3166" t="str">
        <f>T("   Papier hygienique")</f>
        <v xml:space="preserve">   Papier hygienique</v>
      </c>
      <c r="C3166" s="4">
        <v>762</v>
      </c>
      <c r="D3166" s="4">
        <v>1700000</v>
      </c>
    </row>
    <row r="3167" spans="1:4" x14ac:dyDescent="0.25">
      <c r="A3167" t="str">
        <f>T("   482010")</f>
        <v xml:space="preserve">   482010</v>
      </c>
      <c r="B3167" t="str">
        <f>T("   REGISTRES, LIVRES COMPTABLES, CARNETS (DE NOTES, DE COMMANDES, DE QUITTANCES), BLOCS")</f>
        <v xml:space="preserve">   REGISTRES, LIVRES COMPTABLES, CARNETS (DE NOTES, DE COMMANDES, DE QUITTANCES), BLOCS</v>
      </c>
      <c r="C3167" s="4">
        <v>150</v>
      </c>
      <c r="D3167" s="4">
        <v>169612</v>
      </c>
    </row>
    <row r="3168" spans="1:4" x14ac:dyDescent="0.25">
      <c r="A3168" t="str">
        <f>T("   482190")</f>
        <v xml:space="preserve">   482190</v>
      </c>
      <c r="B3168" t="str">
        <f>T("   AUTRES")</f>
        <v xml:space="preserve">   AUTRES</v>
      </c>
      <c r="C3168" s="4">
        <v>10</v>
      </c>
      <c r="D3168" s="4">
        <v>1752739</v>
      </c>
    </row>
    <row r="3169" spans="1:4" x14ac:dyDescent="0.25">
      <c r="A3169" t="str">
        <f>T("   490110")</f>
        <v xml:space="preserve">   490110</v>
      </c>
      <c r="B3169" t="str">
        <f>T("   EN FEUILLETS ISOLES, MEME PLIES")</f>
        <v xml:space="preserve">   EN FEUILLETS ISOLES, MEME PLIES</v>
      </c>
      <c r="C3169" s="4">
        <v>2970</v>
      </c>
      <c r="D3169" s="4">
        <v>1505428</v>
      </c>
    </row>
    <row r="3170" spans="1:4" x14ac:dyDescent="0.25">
      <c r="A3170" t="str">
        <f>T("   490199")</f>
        <v xml:space="preserve">   490199</v>
      </c>
      <c r="B3170" t="str">
        <f>T("   AUTRES")</f>
        <v xml:space="preserve">   AUTRES</v>
      </c>
      <c r="C3170" s="4">
        <v>19633</v>
      </c>
      <c r="D3170" s="4">
        <v>31817987</v>
      </c>
    </row>
    <row r="3171" spans="1:4" x14ac:dyDescent="0.25">
      <c r="A3171" t="str">
        <f>T("   491000")</f>
        <v xml:space="preserve">   491000</v>
      </c>
      <c r="B3171" t="str">
        <f>T("   CALENDRIERS DE TOUS GENRES, IMPRIMES, Y COMPRIS LES BLOCS DE CALENDRIERS A EFFEUILLER.")</f>
        <v xml:space="preserve">   CALENDRIERS DE TOUS GENRES, IMPRIMES, Y COMPRIS LES BLOCS DE CALENDRIERS A EFFEUILLER.</v>
      </c>
      <c r="C3171" s="4">
        <v>120</v>
      </c>
      <c r="D3171" s="4">
        <v>47282</v>
      </c>
    </row>
    <row r="3172" spans="1:4" x14ac:dyDescent="0.25">
      <c r="A3172" t="str">
        <f>T("   491110")</f>
        <v xml:space="preserve">   491110</v>
      </c>
      <c r="B3172" t="str">
        <f>T("   IMPRIMES PUBLICITAIRES, CATALOGUES COMMERCIAUX ET SIMILAIRES")</f>
        <v xml:space="preserve">   IMPRIMES PUBLICITAIRES, CATALOGUES COMMERCIAUX ET SIMILAIRES</v>
      </c>
      <c r="C3172" s="4">
        <v>5119</v>
      </c>
      <c r="D3172" s="4">
        <v>5309662</v>
      </c>
    </row>
    <row r="3173" spans="1:4" x14ac:dyDescent="0.25">
      <c r="A3173" t="str">
        <f>T("   491191")</f>
        <v xml:space="preserve">   491191</v>
      </c>
      <c r="B3173" t="str">
        <f>T("   IMAGES, GRAVURES ET PHOTOGRAPHIES")</f>
        <v xml:space="preserve">   IMAGES, GRAVURES ET PHOTOGRAPHIES</v>
      </c>
      <c r="C3173" s="4">
        <v>19</v>
      </c>
      <c r="D3173" s="4">
        <v>19679</v>
      </c>
    </row>
    <row r="3174" spans="1:4" x14ac:dyDescent="0.25">
      <c r="A3174" t="str">
        <f>T("   491199")</f>
        <v xml:space="preserve">   491199</v>
      </c>
      <c r="B3174" t="str">
        <f>T("   AUTRES")</f>
        <v xml:space="preserve">   AUTRES</v>
      </c>
      <c r="C3174" s="4">
        <v>995</v>
      </c>
      <c r="D3174" s="4">
        <v>1609110</v>
      </c>
    </row>
    <row r="3175" spans="1:4" x14ac:dyDescent="0.25">
      <c r="A3175" t="str">
        <f>T("   520710")</f>
        <v xml:space="preserve">   520710</v>
      </c>
      <c r="B3175" t="str">
        <f>T("   CONTENANT AU MOINS 85 % EN POIDS DE COTON")</f>
        <v xml:space="preserve">   CONTENANT AU MOINS 85 % EN POIDS DE COTON</v>
      </c>
      <c r="C3175" s="4">
        <v>101</v>
      </c>
      <c r="D3175" s="4">
        <v>385049</v>
      </c>
    </row>
    <row r="3176" spans="1:4" x14ac:dyDescent="0.25">
      <c r="A3176" t="str">
        <f>T("   520829")</f>
        <v xml:space="preserve">   520829</v>
      </c>
      <c r="B3176" t="str">
        <f>T("   AUTRES TISSUS")</f>
        <v xml:space="preserve">   AUTRES TISSUS</v>
      </c>
      <c r="C3176" s="4">
        <v>787</v>
      </c>
      <c r="D3176" s="4">
        <v>535000</v>
      </c>
    </row>
    <row r="3177" spans="1:4" x14ac:dyDescent="0.25">
      <c r="A3177" t="str">
        <f>T("   520839")</f>
        <v xml:space="preserve">   520839</v>
      </c>
      <c r="B3177" t="str">
        <f>T("   AUTRES TISSUS")</f>
        <v xml:space="preserve">   AUTRES TISSUS</v>
      </c>
      <c r="C3177" s="4">
        <v>3023.2</v>
      </c>
      <c r="D3177" s="4">
        <v>4384926</v>
      </c>
    </row>
    <row r="3178" spans="1:4" x14ac:dyDescent="0.25">
      <c r="A3178" t="str">
        <f>T("   520849")</f>
        <v xml:space="preserve">   520849</v>
      </c>
      <c r="B3178" t="str">
        <f>T("   AUTRES TISSUS")</f>
        <v xml:space="preserve">   AUTRES TISSUS</v>
      </c>
      <c r="C3178" s="4">
        <v>550</v>
      </c>
      <c r="D3178" s="4">
        <v>990329</v>
      </c>
    </row>
    <row r="3179" spans="1:4" x14ac:dyDescent="0.25">
      <c r="A3179" t="str">
        <f>T("   520851")</f>
        <v xml:space="preserve">   520851</v>
      </c>
      <c r="B3179" t="str">
        <f>T("   A ARMURE TOILE, D'UN POIDS N'EXCEDANT PAS 100 G/M²")</f>
        <v xml:space="preserve">   A ARMURE TOILE, D'UN POIDS N'EXCEDANT PAS 100 G/M²</v>
      </c>
      <c r="C3179" s="4">
        <v>881</v>
      </c>
      <c r="D3179" s="4">
        <v>436920</v>
      </c>
    </row>
    <row r="3180" spans="1:4" x14ac:dyDescent="0.25">
      <c r="A3180" t="str">
        <f>T("   520852")</f>
        <v xml:space="preserve">   520852</v>
      </c>
      <c r="B3180" t="str">
        <f>T("   A ARMURE TOILE, D'UN POIDS EXCEDANT 100 G/M²")</f>
        <v xml:space="preserve">   A ARMURE TOILE, D'UN POIDS EXCEDANT 100 G/M²</v>
      </c>
      <c r="C3180" s="4">
        <v>17009</v>
      </c>
      <c r="D3180" s="4">
        <v>44709000</v>
      </c>
    </row>
    <row r="3181" spans="1:4" x14ac:dyDescent="0.25">
      <c r="A3181" t="str">
        <f>T("   520929")</f>
        <v xml:space="preserve">   520929</v>
      </c>
      <c r="B3181" t="str">
        <f>T("   AUTRES TISSUS")</f>
        <v xml:space="preserve">   AUTRES TISSUS</v>
      </c>
      <c r="C3181" s="4">
        <v>7026</v>
      </c>
      <c r="D3181" s="4">
        <v>3706000</v>
      </c>
    </row>
    <row r="3182" spans="1:4" x14ac:dyDescent="0.25">
      <c r="A3182" t="str">
        <f>T("   520939")</f>
        <v xml:space="preserve">   520939</v>
      </c>
      <c r="B3182" t="str">
        <f>T("   AUTRES TISSUS")</f>
        <v xml:space="preserve">   AUTRES TISSUS</v>
      </c>
      <c r="C3182" s="4">
        <v>1772</v>
      </c>
      <c r="D3182" s="4">
        <v>1500000</v>
      </c>
    </row>
    <row r="3183" spans="1:4" x14ac:dyDescent="0.25">
      <c r="A3183" t="str">
        <f>T("   560750")</f>
        <v xml:space="preserve">   560750</v>
      </c>
      <c r="B3183" t="str">
        <f>T("   D'AUTRES FIBRES SYNTHETIQUES")</f>
        <v xml:space="preserve">   D'AUTRES FIBRES SYNTHETIQUES</v>
      </c>
      <c r="C3183" s="4">
        <v>805</v>
      </c>
      <c r="D3183" s="4">
        <v>236155</v>
      </c>
    </row>
    <row r="3184" spans="1:4" x14ac:dyDescent="0.25">
      <c r="A3184" t="str">
        <f>T("   560811")</f>
        <v xml:space="preserve">   560811</v>
      </c>
      <c r="B3184" t="str">
        <f>T("   FILETS CONFECTIONNES POUR LA PECHE")</f>
        <v xml:space="preserve">   FILETS CONFECTIONNES POUR LA PECHE</v>
      </c>
      <c r="C3184" s="4">
        <v>2474</v>
      </c>
      <c r="D3184" s="4">
        <v>3968558</v>
      </c>
    </row>
    <row r="3185" spans="1:4" x14ac:dyDescent="0.25">
      <c r="A3185" t="str">
        <f>T("   570500")</f>
        <v xml:space="preserve">   570500</v>
      </c>
      <c r="B3185" t="str">
        <f>T("   AUTRES TAPIS ET REVETEMENTS DE SOL EN MATIERES TEXTILES, MEME CONFECTIONNES.")</f>
        <v xml:space="preserve">   AUTRES TAPIS ET REVETEMENTS DE SOL EN MATIERES TEXTILES, MEME CONFECTIONNES.</v>
      </c>
      <c r="C3185" s="4">
        <v>2300</v>
      </c>
      <c r="D3185" s="4">
        <v>1748133</v>
      </c>
    </row>
    <row r="3186" spans="1:4" x14ac:dyDescent="0.25">
      <c r="A3186" t="str">
        <f>T("   581099")</f>
        <v xml:space="preserve">   581099</v>
      </c>
      <c r="B3186" t="str">
        <f>T("   D'AUTRES MATIERES TEXTILES")</f>
        <v xml:space="preserve">   D'AUTRES MATIERES TEXTILES</v>
      </c>
      <c r="C3186" s="4">
        <v>1635</v>
      </c>
      <c r="D3186" s="4">
        <v>2968875</v>
      </c>
    </row>
    <row r="3187" spans="1:4" x14ac:dyDescent="0.25">
      <c r="A3187" t="str">
        <f>T("   591190")</f>
        <v xml:space="preserve">   591190</v>
      </c>
      <c r="B3187" t="str">
        <f>T("   AUTRES")</f>
        <v xml:space="preserve">   AUTRES</v>
      </c>
      <c r="C3187" s="4">
        <v>41</v>
      </c>
      <c r="D3187" s="4">
        <v>1616974</v>
      </c>
    </row>
    <row r="3188" spans="1:4" x14ac:dyDescent="0.25">
      <c r="A3188" t="str">
        <f>T("   611490")</f>
        <v xml:space="preserve">   611490</v>
      </c>
      <c r="B3188" t="str">
        <f>T("   D'AUTRES MATIERES TEXTILES")</f>
        <v xml:space="preserve">   D'AUTRES MATIERES TEXTILES</v>
      </c>
      <c r="C3188" s="4">
        <v>10</v>
      </c>
      <c r="D3188" s="4">
        <v>32769</v>
      </c>
    </row>
    <row r="3189" spans="1:4" x14ac:dyDescent="0.25">
      <c r="A3189" t="str">
        <f>T("   620199")</f>
        <v xml:space="preserve">   620199</v>
      </c>
      <c r="B3189" t="str">
        <f>T("   D'AUTRES MATIERES TEXTILES")</f>
        <v xml:space="preserve">   D'AUTRES MATIERES TEXTILES</v>
      </c>
      <c r="C3189" s="4">
        <v>1380</v>
      </c>
      <c r="D3189" s="4">
        <v>131192</v>
      </c>
    </row>
    <row r="3190" spans="1:4" x14ac:dyDescent="0.25">
      <c r="A3190" t="str">
        <f>T("   620590")</f>
        <v xml:space="preserve">   620590</v>
      </c>
      <c r="B3190" t="str">
        <f>T("   D'AUTRES MATIERES TEXTILES")</f>
        <v xml:space="preserve">   D'AUTRES MATIERES TEXTILES</v>
      </c>
      <c r="C3190" s="4">
        <v>6627</v>
      </c>
      <c r="D3190" s="4">
        <v>6792626</v>
      </c>
    </row>
    <row r="3191" spans="1:4" x14ac:dyDescent="0.25">
      <c r="A3191" t="str">
        <f>T("   621050")</f>
        <v xml:space="preserve">   621050</v>
      </c>
      <c r="B3191" t="str">
        <f>T("   AUTRES VETEMENTS POUR FEMMES OU FILLETTES")</f>
        <v xml:space="preserve">   AUTRES VETEMENTS POUR FEMMES OU FILLETTES</v>
      </c>
      <c r="C3191" s="4">
        <v>257</v>
      </c>
      <c r="D3191" s="4">
        <v>1500000</v>
      </c>
    </row>
    <row r="3192" spans="1:4" x14ac:dyDescent="0.25">
      <c r="A3192" t="str">
        <f>T("   621112")</f>
        <v xml:space="preserve">   621112</v>
      </c>
      <c r="B3192" t="str">
        <f>T("   POUR FEMMES OU FILLETTES")</f>
        <v xml:space="preserve">   POUR FEMMES OU FILLETTES</v>
      </c>
      <c r="C3192" s="4">
        <v>200</v>
      </c>
      <c r="D3192" s="4">
        <v>131192</v>
      </c>
    </row>
    <row r="3193" spans="1:4" x14ac:dyDescent="0.25">
      <c r="A3193" t="str">
        <f>T("   630510")</f>
        <v xml:space="preserve">   630510</v>
      </c>
      <c r="B3193" t="str">
        <f>T("   DE JUTE OU D'AUTRES FIBRES TEXTILES LIBERIENNES DU N° 53.03")</f>
        <v xml:space="preserve">   DE JUTE OU D'AUTRES FIBRES TEXTILES LIBERIENNES DU N° 53.03</v>
      </c>
      <c r="C3193" s="4">
        <v>36000</v>
      </c>
      <c r="D3193" s="4">
        <v>4359081</v>
      </c>
    </row>
    <row r="3194" spans="1:4" x14ac:dyDescent="0.25">
      <c r="A3194" t="str">
        <f>T("   630612")</f>
        <v xml:space="preserve">   630612</v>
      </c>
      <c r="B3194" t="str">
        <f>T("   DE FIBRES SYNTHETIQUES")</f>
        <v xml:space="preserve">   DE FIBRES SYNTHETIQUES</v>
      </c>
      <c r="C3194" s="4">
        <v>1000</v>
      </c>
      <c r="D3194" s="4">
        <v>675000</v>
      </c>
    </row>
    <row r="3195" spans="1:4" x14ac:dyDescent="0.25">
      <c r="A3195" t="str">
        <f>T("   630720")</f>
        <v xml:space="preserve">   630720</v>
      </c>
      <c r="B3195" t="str">
        <f>T("   CEINTURES ET GILETS DE SAUVETAGE")</f>
        <v xml:space="preserve">   CEINTURES ET GILETS DE SAUVETAGE</v>
      </c>
      <c r="C3195" s="4">
        <v>6703</v>
      </c>
      <c r="D3195" s="4">
        <v>10539034</v>
      </c>
    </row>
    <row r="3196" spans="1:4" x14ac:dyDescent="0.25">
      <c r="A3196" t="str">
        <f>T("   630900")</f>
        <v xml:space="preserve">   630900</v>
      </c>
      <c r="B3196" t="str">
        <f>T("   ARTICLES DE FRIPERIE.")</f>
        <v xml:space="preserve">   ARTICLES DE FRIPERIE.</v>
      </c>
      <c r="C3196" s="4">
        <v>987115</v>
      </c>
      <c r="D3196" s="4">
        <v>542714770</v>
      </c>
    </row>
    <row r="3197" spans="1:4" x14ac:dyDescent="0.25">
      <c r="A3197" t="str">
        <f>T("   631090")</f>
        <v xml:space="preserve">   631090</v>
      </c>
      <c r="B3197" t="str">
        <f>T("   AUTRES")</f>
        <v xml:space="preserve">   AUTRES</v>
      </c>
      <c r="C3197" s="4">
        <v>13000</v>
      </c>
      <c r="D3197" s="4">
        <v>2623840</v>
      </c>
    </row>
    <row r="3198" spans="1:4" x14ac:dyDescent="0.25">
      <c r="A3198" t="str">
        <f>T("   640199")</f>
        <v xml:space="preserve">   640199</v>
      </c>
      <c r="B3198" t="str">
        <f>T("   AUTRES")</f>
        <v xml:space="preserve">   AUTRES</v>
      </c>
      <c r="C3198" s="4">
        <v>5500</v>
      </c>
      <c r="D3198" s="4">
        <v>2550000</v>
      </c>
    </row>
    <row r="3199" spans="1:4" x14ac:dyDescent="0.25">
      <c r="A3199" t="str">
        <f>T("   640590")</f>
        <v xml:space="preserve">   640590</v>
      </c>
      <c r="B3199" t="str">
        <f>T("   AUTRES")</f>
        <v xml:space="preserve">   AUTRES</v>
      </c>
      <c r="C3199" s="4">
        <v>13300</v>
      </c>
      <c r="D3199" s="4">
        <v>4327590</v>
      </c>
    </row>
    <row r="3200" spans="1:4" x14ac:dyDescent="0.25">
      <c r="A3200" t="str">
        <f>T("   680610")</f>
        <v xml:space="preserve">   680610</v>
      </c>
      <c r="B3200" t="str">
        <f>T("   LAINES DE LAITIER, DE SCORIES, DE ROCHE ET LAINES MINERALES SIMILAIRES, MEME MELANGEE")</f>
        <v xml:space="preserve">   LAINES DE LAITIER, DE SCORIES, DE ROCHE ET LAINES MINERALES SIMILAIRES, MEME MELANGEE</v>
      </c>
      <c r="C3200" s="4">
        <v>775</v>
      </c>
      <c r="D3200" s="4">
        <v>4335240</v>
      </c>
    </row>
    <row r="3201" spans="1:4" x14ac:dyDescent="0.25">
      <c r="A3201" t="str">
        <f>T("   680690")</f>
        <v xml:space="preserve">   680690</v>
      </c>
      <c r="B3201" t="str">
        <f>T("   AUTRES")</f>
        <v xml:space="preserve">   AUTRES</v>
      </c>
      <c r="C3201" s="4">
        <v>19619</v>
      </c>
      <c r="D3201" s="4">
        <v>26023245</v>
      </c>
    </row>
    <row r="3202" spans="1:4" x14ac:dyDescent="0.25">
      <c r="A3202" t="str">
        <f>T("   680990")</f>
        <v xml:space="preserve">   680990</v>
      </c>
      <c r="B3202" t="str">
        <f>T("   AUTRES OUVRAGES")</f>
        <v xml:space="preserve">   AUTRES OUVRAGES</v>
      </c>
      <c r="C3202" s="4">
        <v>7309</v>
      </c>
      <c r="D3202" s="4">
        <v>7562609</v>
      </c>
    </row>
    <row r="3203" spans="1:4" x14ac:dyDescent="0.25">
      <c r="A3203" t="str">
        <f>T("   690320")</f>
        <v xml:space="preserve">   690320</v>
      </c>
      <c r="B3203" t="str">
        <f>T("   CONTENANT EN POIDS PLUS DE 50 % D'ALUMINE (A12O3) OU D'UN MELANGE OU COMBINAISON D'AL")</f>
        <v xml:space="preserve">   CONTENANT EN POIDS PLUS DE 50 % D'ALUMINE (A12O3) OU D'UN MELANGE OU COMBINAISON D'AL</v>
      </c>
      <c r="C3203" s="4">
        <v>266371</v>
      </c>
      <c r="D3203" s="4">
        <v>15743039</v>
      </c>
    </row>
    <row r="3204" spans="1:4" x14ac:dyDescent="0.25">
      <c r="A3204" t="str">
        <f>T("   691200")</f>
        <v xml:space="preserve">   691200</v>
      </c>
      <c r="B3204" t="str">
        <f>T("   VAISSELLE, AUTRES ARTICLES DE MENAGE OU D'ECONOMIE DOMESTIQUE ET ARTICLES D'HYGIENE OU")</f>
        <v xml:space="preserve">   VAISSELLE, AUTRES ARTICLES DE MENAGE OU D'ECONOMIE DOMESTIQUE ET ARTICLES D'HYGIENE OU</v>
      </c>
      <c r="C3204" s="4">
        <v>60</v>
      </c>
      <c r="D3204" s="4">
        <v>218461</v>
      </c>
    </row>
    <row r="3205" spans="1:4" x14ac:dyDescent="0.25">
      <c r="A3205" t="str">
        <f>T("   702000")</f>
        <v xml:space="preserve">   702000</v>
      </c>
      <c r="B3205" t="str">
        <f>T("   AUTRES OUVRAGES EN VERRE.")</f>
        <v xml:space="preserve">   AUTRES OUVRAGES EN VERRE.</v>
      </c>
      <c r="C3205" s="4">
        <v>27300</v>
      </c>
      <c r="D3205" s="4">
        <v>6051231</v>
      </c>
    </row>
    <row r="3206" spans="1:4" x14ac:dyDescent="0.25">
      <c r="A3206" t="str">
        <f>T("   721011")</f>
        <v xml:space="preserve">   721011</v>
      </c>
      <c r="B3206" t="str">
        <f>T("   D'UNE EPAISSEUR DE 0,5 MM OU PLUS")</f>
        <v xml:space="preserve">   D'UNE EPAISSEUR DE 0,5 MM OU PLUS</v>
      </c>
      <c r="C3206" s="4">
        <v>54710</v>
      </c>
      <c r="D3206" s="4">
        <v>17891309</v>
      </c>
    </row>
    <row r="3207" spans="1:4" x14ac:dyDescent="0.25">
      <c r="A3207" t="str">
        <f>T("   721049")</f>
        <v xml:space="preserve">   721049</v>
      </c>
      <c r="B3207" t="str">
        <f>T("   AUTRES")</f>
        <v xml:space="preserve">   AUTRES</v>
      </c>
      <c r="C3207" s="4">
        <v>653290</v>
      </c>
      <c r="D3207" s="4">
        <v>351542885</v>
      </c>
    </row>
    <row r="3208" spans="1:4" x14ac:dyDescent="0.25">
      <c r="A3208" t="str">
        <f>T("   721070")</f>
        <v xml:space="preserve">   721070</v>
      </c>
      <c r="B3208" t="str">
        <f>T("   PEINTS, VERNIS OU REVETUS DE MATIERES PLASTIQUES")</f>
        <v xml:space="preserve">   PEINTS, VERNIS OU REVETUS DE MATIERES PLASTIQUES</v>
      </c>
      <c r="C3208" s="4">
        <v>25</v>
      </c>
      <c r="D3208" s="4">
        <v>22959</v>
      </c>
    </row>
    <row r="3209" spans="1:4" x14ac:dyDescent="0.25">
      <c r="A3209" t="str">
        <f>T("   721399")</f>
        <v xml:space="preserve">   721399</v>
      </c>
      <c r="B3209" t="str">
        <f>T("   AUTRES")</f>
        <v xml:space="preserve">   AUTRES</v>
      </c>
      <c r="C3209" s="4">
        <v>206496</v>
      </c>
      <c r="D3209" s="4">
        <v>45820463</v>
      </c>
    </row>
    <row r="3210" spans="1:4" x14ac:dyDescent="0.25">
      <c r="A3210" t="str">
        <f>T("   721699")</f>
        <v xml:space="preserve">   721699</v>
      </c>
      <c r="B3210" t="str">
        <f>T("   AUTRES")</f>
        <v xml:space="preserve">   AUTRES</v>
      </c>
      <c r="C3210" s="4">
        <v>500</v>
      </c>
      <c r="D3210" s="4">
        <v>22000</v>
      </c>
    </row>
    <row r="3211" spans="1:4" x14ac:dyDescent="0.25">
      <c r="A3211" t="str">
        <f>T("   730690")</f>
        <v xml:space="preserve">   730690</v>
      </c>
      <c r="B3211" t="str">
        <f>T("   AUTRES")</f>
        <v xml:space="preserve">   AUTRES</v>
      </c>
      <c r="C3211" s="4">
        <v>20330</v>
      </c>
      <c r="D3211" s="4">
        <v>135608311</v>
      </c>
    </row>
    <row r="3212" spans="1:4" x14ac:dyDescent="0.25">
      <c r="A3212" t="str">
        <f>T("   730729")</f>
        <v xml:space="preserve">   730729</v>
      </c>
      <c r="B3212" t="str">
        <f>T("   AUTRES")</f>
        <v xml:space="preserve">   AUTRES</v>
      </c>
      <c r="C3212" s="4">
        <v>0.5</v>
      </c>
      <c r="D3212" s="4">
        <v>263040</v>
      </c>
    </row>
    <row r="3213" spans="1:4" x14ac:dyDescent="0.25">
      <c r="A3213" t="str">
        <f>T("   730799")</f>
        <v xml:space="preserve">   730799</v>
      </c>
      <c r="B3213" t="str">
        <f>T("   AUTRES")</f>
        <v xml:space="preserve">   AUTRES</v>
      </c>
      <c r="C3213" s="4">
        <v>1147</v>
      </c>
      <c r="D3213" s="4">
        <v>22681512</v>
      </c>
    </row>
    <row r="3214" spans="1:4" x14ac:dyDescent="0.25">
      <c r="A3214" t="str">
        <f>T("   730830")</f>
        <v xml:space="preserve">   730830</v>
      </c>
      <c r="B3214" t="str">
        <f>T("   PORTES, FENETRES ET LEURS CADRES ET CHAMBRANLES ET SEUILS")</f>
        <v xml:space="preserve">   PORTES, FENETRES ET LEURS CADRES ET CHAMBRANLES ET SEUILS</v>
      </c>
      <c r="C3214" s="4">
        <v>110</v>
      </c>
      <c r="D3214" s="4">
        <v>161879</v>
      </c>
    </row>
    <row r="3215" spans="1:4" x14ac:dyDescent="0.25">
      <c r="A3215" t="str">
        <f>T("   730890")</f>
        <v xml:space="preserve">   730890</v>
      </c>
      <c r="B3215" t="str">
        <f>T("   AUTRES")</f>
        <v xml:space="preserve">   AUTRES</v>
      </c>
      <c r="C3215" s="4">
        <v>7133.59</v>
      </c>
      <c r="D3215" s="4">
        <v>27127882</v>
      </c>
    </row>
    <row r="3216" spans="1:4" x14ac:dyDescent="0.25">
      <c r="A3216" t="str">
        <f>T("   731100")</f>
        <v xml:space="preserve">   731100</v>
      </c>
      <c r="B3216" t="str">
        <f>T("   RECIPIENTS POUR GAZ COMPRIMES OU LIQUEFIES, EN FONTE, FER OU ACIER.")</f>
        <v xml:space="preserve">   RECIPIENTS POUR GAZ COMPRIMES OU LIQUEFIES, EN FONTE, FER OU ACIER.</v>
      </c>
      <c r="C3216" s="4">
        <v>45</v>
      </c>
      <c r="D3216" s="4">
        <v>177837</v>
      </c>
    </row>
    <row r="3217" spans="1:4" x14ac:dyDescent="0.25">
      <c r="A3217" t="str">
        <f>T("   731512")</f>
        <v xml:space="preserve">   731512</v>
      </c>
      <c r="B3217" t="str">
        <f>T("   AUTRES CHAINES")</f>
        <v xml:space="preserve">   AUTRES CHAINES</v>
      </c>
      <c r="C3217" s="4">
        <v>2200</v>
      </c>
      <c r="D3217" s="4">
        <v>7661842</v>
      </c>
    </row>
    <row r="3218" spans="1:4" x14ac:dyDescent="0.25">
      <c r="A3218" t="str">
        <f>T("   731589")</f>
        <v xml:space="preserve">   731589</v>
      </c>
      <c r="B3218" t="str">
        <f>T("   AUTRES")</f>
        <v xml:space="preserve">   AUTRES</v>
      </c>
      <c r="C3218" s="4">
        <v>27</v>
      </c>
      <c r="D3218" s="4">
        <v>552975</v>
      </c>
    </row>
    <row r="3219" spans="1:4" x14ac:dyDescent="0.25">
      <c r="A3219" t="str">
        <f>T("   731815")</f>
        <v xml:space="preserve">   731815</v>
      </c>
      <c r="B3219" t="str">
        <f>T("   AUTRES VIS ET BOULONS, MEME AVEC LEURS ECROUS OU RONDELLES")</f>
        <v xml:space="preserve">   AUTRES VIS ET BOULONS, MEME AVEC LEURS ECROUS OU RONDELLES</v>
      </c>
      <c r="C3219" s="4">
        <v>10.07</v>
      </c>
      <c r="D3219" s="4">
        <v>6093161</v>
      </c>
    </row>
    <row r="3220" spans="1:4" x14ac:dyDescent="0.25">
      <c r="A3220" t="str">
        <f>T("   731819")</f>
        <v xml:space="preserve">   731819</v>
      </c>
      <c r="B3220" t="str">
        <f>T("   AUTRES")</f>
        <v xml:space="preserve">   AUTRES</v>
      </c>
      <c r="C3220" s="4">
        <v>3</v>
      </c>
      <c r="D3220" s="4">
        <v>1241943</v>
      </c>
    </row>
    <row r="3221" spans="1:4" x14ac:dyDescent="0.25">
      <c r="A3221" t="str">
        <f>T("   731822")</f>
        <v xml:space="preserve">   731822</v>
      </c>
      <c r="B3221" t="str">
        <f>T("   AUTRES RONDELLES")</f>
        <v xml:space="preserve">   AUTRES RONDELLES</v>
      </c>
      <c r="C3221" s="4">
        <v>0.17</v>
      </c>
      <c r="D3221" s="4">
        <v>9610</v>
      </c>
    </row>
    <row r="3222" spans="1:4" x14ac:dyDescent="0.25">
      <c r="A3222" t="str">
        <f>T("   731990")</f>
        <v xml:space="preserve">   731990</v>
      </c>
      <c r="B3222" t="str">
        <f>T("   AUTRES")</f>
        <v xml:space="preserve">   AUTRES</v>
      </c>
      <c r="C3222" s="4">
        <v>7</v>
      </c>
      <c r="D3222" s="4">
        <v>1899122</v>
      </c>
    </row>
    <row r="3223" spans="1:4" x14ac:dyDescent="0.25">
      <c r="A3223" t="str">
        <f>T("   732090")</f>
        <v xml:space="preserve">   732090</v>
      </c>
      <c r="B3223" t="str">
        <f>T("   AUTRES")</f>
        <v xml:space="preserve">   AUTRES</v>
      </c>
      <c r="C3223" s="4">
        <v>12</v>
      </c>
      <c r="D3223" s="4">
        <v>765054</v>
      </c>
    </row>
    <row r="3224" spans="1:4" x14ac:dyDescent="0.25">
      <c r="A3224" t="str">
        <f>T("   732393")</f>
        <v xml:space="preserve">   732393</v>
      </c>
      <c r="B3224" t="str">
        <f>T("   EN ACIERS INOXYDABLES")</f>
        <v xml:space="preserve">   EN ACIERS INOXYDABLES</v>
      </c>
      <c r="C3224" s="4">
        <v>1000</v>
      </c>
      <c r="D3224" s="4">
        <v>1310608</v>
      </c>
    </row>
    <row r="3225" spans="1:4" x14ac:dyDescent="0.25">
      <c r="A3225" t="str">
        <f>T("   732394")</f>
        <v xml:space="preserve">   732394</v>
      </c>
      <c r="B3225" t="str">
        <f>T("   EN FER OU EN ACIER, EMAILLES")</f>
        <v xml:space="preserve">   EN FER OU EN ACIER, EMAILLES</v>
      </c>
      <c r="C3225" s="4">
        <v>3078</v>
      </c>
      <c r="D3225" s="4">
        <v>2496789</v>
      </c>
    </row>
    <row r="3226" spans="1:4" x14ac:dyDescent="0.25">
      <c r="A3226" t="str">
        <f>T("   732399")</f>
        <v xml:space="preserve">   732399</v>
      </c>
      <c r="B3226" t="str">
        <f>T("   AUTRES")</f>
        <v xml:space="preserve">   AUTRES</v>
      </c>
      <c r="C3226" s="4">
        <v>17469</v>
      </c>
      <c r="D3226" s="4">
        <v>10702136</v>
      </c>
    </row>
    <row r="3227" spans="1:4" x14ac:dyDescent="0.25">
      <c r="A3227" t="str">
        <f>T("   732410")</f>
        <v xml:space="preserve">   732410</v>
      </c>
      <c r="B3227" t="str">
        <f>T("   EVIERS ET LAVABOS EN ACIERS INOXYDABLES")</f>
        <v xml:space="preserve">   EVIERS ET LAVABOS EN ACIERS INOXYDABLES</v>
      </c>
      <c r="C3227" s="4">
        <v>257</v>
      </c>
      <c r="D3227" s="4">
        <v>609774</v>
      </c>
    </row>
    <row r="3228" spans="1:4" x14ac:dyDescent="0.25">
      <c r="A3228" t="str">
        <f>T("   732619")</f>
        <v xml:space="preserve">   732619</v>
      </c>
      <c r="B3228" t="str">
        <f>T("   AUTRES")</f>
        <v xml:space="preserve">   AUTRES</v>
      </c>
      <c r="C3228" s="4">
        <v>650</v>
      </c>
      <c r="D3228" s="4">
        <v>6559600</v>
      </c>
    </row>
    <row r="3229" spans="1:4" x14ac:dyDescent="0.25">
      <c r="A3229" t="str">
        <f>T("   732690")</f>
        <v xml:space="preserve">   732690</v>
      </c>
      <c r="B3229" t="str">
        <f>T("   AUTRES")</f>
        <v xml:space="preserve">   AUTRES</v>
      </c>
      <c r="C3229" s="4">
        <v>805</v>
      </c>
      <c r="D3229" s="4">
        <v>5326270</v>
      </c>
    </row>
    <row r="3230" spans="1:4" x14ac:dyDescent="0.25">
      <c r="A3230" t="str">
        <f>T("   741820")</f>
        <v xml:space="preserve">   741820</v>
      </c>
      <c r="B3230" t="str">
        <f>T("   ARTICLES D'HYGIENE OU DE TOILETTE ET LEURS PARTIES")</f>
        <v xml:space="preserve">   ARTICLES D'HYGIENE OU DE TOILETTE ET LEURS PARTIES</v>
      </c>
      <c r="C3230" s="4">
        <v>16</v>
      </c>
      <c r="D3230" s="4">
        <v>204660</v>
      </c>
    </row>
    <row r="3231" spans="1:4" x14ac:dyDescent="0.25">
      <c r="A3231" t="str">
        <f>T("   741999")</f>
        <v xml:space="preserve">   741999</v>
      </c>
      <c r="B3231" t="str">
        <f>T("   AUTRES")</f>
        <v xml:space="preserve">   AUTRES</v>
      </c>
      <c r="C3231" s="4">
        <v>3</v>
      </c>
      <c r="D3231" s="4">
        <v>51972</v>
      </c>
    </row>
    <row r="3232" spans="1:4" x14ac:dyDescent="0.25">
      <c r="A3232" t="str">
        <f>T("   760429")</f>
        <v xml:space="preserve">   760429</v>
      </c>
      <c r="B3232" t="str">
        <f>T("   AUTRES")</f>
        <v xml:space="preserve">   AUTRES</v>
      </c>
      <c r="C3232" s="4">
        <v>7169.1</v>
      </c>
      <c r="D3232" s="4">
        <v>8508457</v>
      </c>
    </row>
    <row r="3233" spans="1:4" x14ac:dyDescent="0.25">
      <c r="A3233" t="str">
        <f>T("   761090")</f>
        <v xml:space="preserve">   761090</v>
      </c>
      <c r="B3233" t="str">
        <f>T("   AUTRES")</f>
        <v xml:space="preserve">   AUTRES</v>
      </c>
      <c r="C3233" s="4">
        <v>300</v>
      </c>
      <c r="D3233" s="4">
        <v>1317824</v>
      </c>
    </row>
    <row r="3234" spans="1:4" x14ac:dyDescent="0.25">
      <c r="A3234" t="str">
        <f>T("   761699")</f>
        <v xml:space="preserve">   761699</v>
      </c>
      <c r="B3234" t="str">
        <f>T("   AUTRES")</f>
        <v xml:space="preserve">   AUTRES</v>
      </c>
      <c r="C3234" s="4">
        <v>10298</v>
      </c>
      <c r="D3234" s="4">
        <v>17645324</v>
      </c>
    </row>
    <row r="3235" spans="1:4" x14ac:dyDescent="0.25">
      <c r="A3235" t="str">
        <f>T("   790700")</f>
        <v xml:space="preserve">   790700</v>
      </c>
      <c r="B3235" t="str">
        <f>T("   AUTRES OUVRAGES EN ZINC.")</f>
        <v xml:space="preserve">   AUTRES OUVRAGES EN ZINC.</v>
      </c>
      <c r="C3235" s="4">
        <v>6</v>
      </c>
      <c r="D3235" s="4">
        <v>126495</v>
      </c>
    </row>
    <row r="3236" spans="1:4" x14ac:dyDescent="0.25">
      <c r="A3236" t="str">
        <f>T("   820299")</f>
        <v xml:space="preserve">   820299</v>
      </c>
      <c r="B3236" t="str">
        <f>T("   AUTRES")</f>
        <v xml:space="preserve">   AUTRES</v>
      </c>
      <c r="C3236" s="4">
        <v>46</v>
      </c>
      <c r="D3236" s="4">
        <v>100000</v>
      </c>
    </row>
    <row r="3237" spans="1:4" x14ac:dyDescent="0.25">
      <c r="A3237" t="str">
        <f>T("   820411")</f>
        <v xml:space="preserve">   820411</v>
      </c>
      <c r="B3237" t="str">
        <f>T("   A OUVERTURE FIXE")</f>
        <v xml:space="preserve">   A OUVERTURE FIXE</v>
      </c>
      <c r="C3237" s="4">
        <v>5</v>
      </c>
      <c r="D3237" s="4">
        <v>1668763</v>
      </c>
    </row>
    <row r="3238" spans="1:4" x14ac:dyDescent="0.25">
      <c r="A3238" t="str">
        <f>T("   820559")</f>
        <v xml:space="preserve">   820559</v>
      </c>
      <c r="B3238" t="str">
        <f>T("   AUTRES")</f>
        <v xml:space="preserve">   AUTRES</v>
      </c>
      <c r="C3238" s="4">
        <v>9245</v>
      </c>
      <c r="D3238" s="4">
        <v>14535995</v>
      </c>
    </row>
    <row r="3239" spans="1:4" x14ac:dyDescent="0.25">
      <c r="A3239" t="str">
        <f>T("   820713")</f>
        <v xml:space="preserve">   820713</v>
      </c>
      <c r="B3239" t="str">
        <f>T("   AVEC PARTIE TRAVAILLANTE EN CERMETS")</f>
        <v xml:space="preserve">   AVEC PARTIE TRAVAILLANTE EN CERMETS</v>
      </c>
      <c r="C3239" s="4">
        <v>430</v>
      </c>
      <c r="D3239" s="4">
        <v>1500181</v>
      </c>
    </row>
    <row r="3240" spans="1:4" x14ac:dyDescent="0.25">
      <c r="A3240" t="str">
        <f>T("   820790")</f>
        <v xml:space="preserve">   820790</v>
      </c>
      <c r="B3240" t="str">
        <f>T("   AUTRES OUTILS INTERCHANGEABLES")</f>
        <v xml:space="preserve">   AUTRES OUTILS INTERCHANGEABLES</v>
      </c>
      <c r="C3240" s="4">
        <v>3851</v>
      </c>
      <c r="D3240" s="4">
        <v>2720922</v>
      </c>
    </row>
    <row r="3241" spans="1:4" x14ac:dyDescent="0.25">
      <c r="A3241" t="str">
        <f>T("   830170")</f>
        <v xml:space="preserve">   830170</v>
      </c>
      <c r="B3241" t="str">
        <f>T("   CLEFS PRESENTEES ISOLEMENT")</f>
        <v xml:space="preserve">   CLEFS PRESENTEES ISOLEMENT</v>
      </c>
      <c r="C3241" s="4">
        <v>30</v>
      </c>
      <c r="D3241" s="4">
        <v>49197</v>
      </c>
    </row>
    <row r="3242" spans="1:4" x14ac:dyDescent="0.25">
      <c r="A3242" t="str">
        <f>T("   830250")</f>
        <v xml:space="preserve">   830250</v>
      </c>
      <c r="B3242" t="str">
        <f>T("   PATERES, PORTECHAPEAUX, SUPPORTS ET ARTICLES SIMILAIRES")</f>
        <v xml:space="preserve">   PATERES, PORTECHAPEAUX, SUPPORTS ET ARTICLES SIMILAIRES</v>
      </c>
      <c r="C3242" s="4">
        <v>106</v>
      </c>
      <c r="D3242" s="4">
        <v>1339339</v>
      </c>
    </row>
    <row r="3243" spans="1:4" x14ac:dyDescent="0.25">
      <c r="A3243" t="str">
        <f>T("   830400")</f>
        <v xml:space="preserve">   830400</v>
      </c>
      <c r="B3243" t="str">
        <f>T("   CLASSEURS, FICHIERS, BOITES DE CLASSEMENT, PORTECOPIES, PLUMIERS, PORTECACHETS ET MAT")</f>
        <v xml:space="preserve">   CLASSEURS, FICHIERS, BOITES DE CLASSEMENT, PORTECOPIES, PLUMIERS, PORTECACHETS ET MAT</v>
      </c>
      <c r="C3243" s="4">
        <v>500</v>
      </c>
      <c r="D3243" s="4">
        <v>1449672</v>
      </c>
    </row>
    <row r="3244" spans="1:4" x14ac:dyDescent="0.25">
      <c r="A3244" t="str">
        <f>T("   830790")</f>
        <v xml:space="preserve">   830790</v>
      </c>
      <c r="B3244" t="str">
        <f>T("   EN AUTRES METAUX COMMUNS")</f>
        <v xml:space="preserve">   EN AUTRES METAUX COMMUNS</v>
      </c>
      <c r="C3244" s="4">
        <v>1022</v>
      </c>
      <c r="D3244" s="4">
        <v>1749209</v>
      </c>
    </row>
    <row r="3245" spans="1:4" x14ac:dyDescent="0.25">
      <c r="A3245" t="str">
        <f>T("   831110")</f>
        <v xml:space="preserve">   831110</v>
      </c>
      <c r="B3245" t="str">
        <f>T("   ELECTRODES ENROBEES POUR LE SOUDAGE A L'ARC, EN METAUX COMMUNS")</f>
        <v xml:space="preserve">   ELECTRODES ENROBEES POUR LE SOUDAGE A L'ARC, EN METAUX COMMUNS</v>
      </c>
      <c r="C3245" s="4">
        <v>167</v>
      </c>
      <c r="D3245" s="4">
        <v>2303076</v>
      </c>
    </row>
    <row r="3246" spans="1:4" x14ac:dyDescent="0.25">
      <c r="A3246" t="str">
        <f>T("   840290")</f>
        <v xml:space="preserve">   840290</v>
      </c>
      <c r="B3246" t="str">
        <f>T("   PARTIES")</f>
        <v xml:space="preserve">   PARTIES</v>
      </c>
      <c r="C3246" s="4">
        <v>3</v>
      </c>
      <c r="D3246" s="4">
        <v>547498</v>
      </c>
    </row>
    <row r="3247" spans="1:4" x14ac:dyDescent="0.25">
      <c r="A3247" t="str">
        <f>T("   840790")</f>
        <v xml:space="preserve">   840790</v>
      </c>
      <c r="B3247" t="str">
        <f>T("   AUTRES MOTEURS")</f>
        <v xml:space="preserve">   AUTRES MOTEURS</v>
      </c>
      <c r="C3247" s="4">
        <v>41000</v>
      </c>
      <c r="D3247" s="4">
        <v>20706826</v>
      </c>
    </row>
    <row r="3248" spans="1:4" x14ac:dyDescent="0.25">
      <c r="A3248" t="str">
        <f>T("   840999")</f>
        <v xml:space="preserve">   840999</v>
      </c>
      <c r="B3248" t="str">
        <f>T("   AUTRES")</f>
        <v xml:space="preserve">   AUTRES</v>
      </c>
      <c r="C3248" s="4">
        <v>154</v>
      </c>
      <c r="D3248" s="4">
        <v>448106</v>
      </c>
    </row>
    <row r="3249" spans="1:4" x14ac:dyDescent="0.25">
      <c r="A3249" t="str">
        <f>T("   841231")</f>
        <v xml:space="preserve">   841231</v>
      </c>
      <c r="B3249" t="str">
        <f>T("   A MOUVEMENT RECTILIGNE (CYLINDRES)")</f>
        <v xml:space="preserve">   A MOUVEMENT RECTILIGNE (CYLINDRES)</v>
      </c>
      <c r="C3249" s="4">
        <v>2</v>
      </c>
      <c r="D3249" s="4">
        <v>3321697</v>
      </c>
    </row>
    <row r="3250" spans="1:4" x14ac:dyDescent="0.25">
      <c r="A3250" t="str">
        <f>T("   841280")</f>
        <v xml:space="preserve">   841280</v>
      </c>
      <c r="B3250" t="str">
        <f>T("   AUTRES")</f>
        <v xml:space="preserve">   AUTRES</v>
      </c>
      <c r="C3250" s="4">
        <v>276</v>
      </c>
      <c r="D3250" s="4">
        <v>9292985</v>
      </c>
    </row>
    <row r="3251" spans="1:4" x14ac:dyDescent="0.25">
      <c r="A3251" t="str">
        <f>T("   841360")</f>
        <v xml:space="preserve">   841360</v>
      </c>
      <c r="B3251" t="str">
        <f>T("   Autres pompes volumetriques rotatives")</f>
        <v xml:space="preserve">   Autres pompes volumetriques rotatives</v>
      </c>
      <c r="C3251" s="4">
        <v>15</v>
      </c>
      <c r="D3251" s="4">
        <v>4456762</v>
      </c>
    </row>
    <row r="3252" spans="1:4" x14ac:dyDescent="0.25">
      <c r="A3252" t="str">
        <f>T("   841370")</f>
        <v xml:space="preserve">   841370</v>
      </c>
      <c r="B3252" t="str">
        <f>T("   Autres pompes centrifuges")</f>
        <v xml:space="preserve">   Autres pompes centrifuges</v>
      </c>
      <c r="C3252" s="4">
        <v>679</v>
      </c>
      <c r="D3252" s="4">
        <v>5141677</v>
      </c>
    </row>
    <row r="3253" spans="1:4" x14ac:dyDescent="0.25">
      <c r="A3253" t="str">
        <f>T("   841381")</f>
        <v xml:space="preserve">   841381</v>
      </c>
      <c r="B3253" t="str">
        <f>T("   POMPES")</f>
        <v xml:space="preserve">   POMPES</v>
      </c>
      <c r="C3253" s="4">
        <v>328</v>
      </c>
      <c r="D3253" s="4">
        <v>14449541</v>
      </c>
    </row>
    <row r="3254" spans="1:4" x14ac:dyDescent="0.25">
      <c r="A3254" t="str">
        <f>T("   841391")</f>
        <v xml:space="preserve">   841391</v>
      </c>
      <c r="B3254" t="str">
        <f>T("   DE POMPES")</f>
        <v xml:space="preserve">   DE POMPES</v>
      </c>
      <c r="C3254" s="4">
        <v>1071</v>
      </c>
      <c r="D3254" s="4">
        <v>29643530</v>
      </c>
    </row>
    <row r="3255" spans="1:4" x14ac:dyDescent="0.25">
      <c r="A3255" t="str">
        <f>T("   841430")</f>
        <v xml:space="preserve">   841430</v>
      </c>
      <c r="B3255" t="str">
        <f>T("   COMPRESSEURS DES TYPES UTILISES DANS LES EQUIPEMENTS FRIGORIFIQUES")</f>
        <v xml:space="preserve">   COMPRESSEURS DES TYPES UTILISES DANS LES EQUIPEMENTS FRIGORIFIQUES</v>
      </c>
      <c r="C3255" s="4">
        <v>100</v>
      </c>
      <c r="D3255" s="4">
        <v>140375</v>
      </c>
    </row>
    <row r="3256" spans="1:4" x14ac:dyDescent="0.25">
      <c r="A3256" t="str">
        <f>T("   841440")</f>
        <v xml:space="preserve">   841440</v>
      </c>
      <c r="B3256" t="str">
        <f>T("   COMPRESSEURS D'AIR MONTES SUR CHASSIS A ROUES ET REMORQUABLES")</f>
        <v xml:space="preserve">   COMPRESSEURS D'AIR MONTES SUR CHASSIS A ROUES ET REMORQUABLES</v>
      </c>
      <c r="C3256" s="4">
        <v>99</v>
      </c>
      <c r="D3256" s="4">
        <v>3509884</v>
      </c>
    </row>
    <row r="3257" spans="1:4" x14ac:dyDescent="0.25">
      <c r="A3257" t="str">
        <f>T("   841459")</f>
        <v xml:space="preserve">   841459</v>
      </c>
      <c r="B3257" t="str">
        <f>T("   AUTRES")</f>
        <v xml:space="preserve">   AUTRES</v>
      </c>
      <c r="C3257" s="4">
        <v>114</v>
      </c>
      <c r="D3257" s="4">
        <v>524768</v>
      </c>
    </row>
    <row r="3258" spans="1:4" x14ac:dyDescent="0.25">
      <c r="A3258" t="str">
        <f>T("   841490")</f>
        <v xml:space="preserve">   841490</v>
      </c>
      <c r="B3258" t="str">
        <f>T("   PARTIES")</f>
        <v xml:space="preserve">   PARTIES</v>
      </c>
      <c r="C3258" s="4">
        <v>168.5</v>
      </c>
      <c r="D3258" s="4">
        <v>43986992</v>
      </c>
    </row>
    <row r="3259" spans="1:4" x14ac:dyDescent="0.25">
      <c r="A3259" t="str">
        <f>T("   841510")</f>
        <v xml:space="preserve">   841510</v>
      </c>
      <c r="B3259" t="str">
        <f>T("   DU TYPE MURAL OU POUR FENETRES, FORMANT UN SEUL CORPS OU DU TYPE «SPLITSYSTEM» (SYST")</f>
        <v xml:space="preserve">   DU TYPE MURAL OU POUR FENETRES, FORMANT UN SEUL CORPS OU DU TYPE «SPLITSYSTEM» (SYST</v>
      </c>
      <c r="C3259" s="4">
        <v>4770</v>
      </c>
      <c r="D3259" s="4">
        <v>7500502</v>
      </c>
    </row>
    <row r="3260" spans="1:4" x14ac:dyDescent="0.25">
      <c r="A3260" t="str">
        <f>T("   841582")</f>
        <v xml:space="preserve">   841582</v>
      </c>
      <c r="B3260" t="str">
        <f>T("   AUTRES, AVEC DISPOSITIF DE REFRIGERATION")</f>
        <v xml:space="preserve">   AUTRES, AVEC DISPOSITIF DE REFRIGERATION</v>
      </c>
      <c r="C3260" s="4">
        <v>358</v>
      </c>
      <c r="D3260" s="4">
        <v>8077823</v>
      </c>
    </row>
    <row r="3261" spans="1:4" x14ac:dyDescent="0.25">
      <c r="A3261" t="str">
        <f>T("   841583")</f>
        <v xml:space="preserve">   841583</v>
      </c>
      <c r="B3261" t="str">
        <f>T("   SANS DISPOSITIF DE REFRIGERATION")</f>
        <v xml:space="preserve">   SANS DISPOSITIF DE REFRIGERATION</v>
      </c>
      <c r="C3261" s="4">
        <v>971</v>
      </c>
      <c r="D3261" s="4">
        <v>2586450</v>
      </c>
    </row>
    <row r="3262" spans="1:4" x14ac:dyDescent="0.25">
      <c r="A3262" t="str">
        <f>T("   841821")</f>
        <v xml:space="preserve">   841821</v>
      </c>
      <c r="B3262" t="str">
        <f>T("   A COMPRESSION")</f>
        <v xml:space="preserve">   A COMPRESSION</v>
      </c>
      <c r="C3262" s="4">
        <v>167</v>
      </c>
      <c r="D3262" s="4">
        <v>395445</v>
      </c>
    </row>
    <row r="3263" spans="1:4" x14ac:dyDescent="0.25">
      <c r="A3263" t="str">
        <f>T("   841829")</f>
        <v xml:space="preserve">   841829</v>
      </c>
      <c r="B3263" t="str">
        <f>T("   AUTRES")</f>
        <v xml:space="preserve">   AUTRES</v>
      </c>
      <c r="C3263" s="4">
        <v>41186</v>
      </c>
      <c r="D3263" s="4">
        <v>13395273</v>
      </c>
    </row>
    <row r="3264" spans="1:4" x14ac:dyDescent="0.25">
      <c r="A3264" t="str">
        <f>T("   841840")</f>
        <v xml:space="preserve">   841840</v>
      </c>
      <c r="B3264" t="str">
        <f>T("   MEUBLES CONGELATEURSCONSERVATEURS DU TYPE ARMOIRE, D'UNE CAPACITE N'EXCEDANT PAS 900")</f>
        <v xml:space="preserve">   MEUBLES CONGELATEURSCONSERVATEURS DU TYPE ARMOIRE, D'UNE CAPACITE N'EXCEDANT PAS 900</v>
      </c>
      <c r="C3264" s="4">
        <v>200</v>
      </c>
      <c r="D3264" s="4">
        <v>6451758</v>
      </c>
    </row>
    <row r="3265" spans="1:4" x14ac:dyDescent="0.25">
      <c r="A3265" t="str">
        <f>T("   841850")</f>
        <v xml:space="preserve">   841850</v>
      </c>
      <c r="B3265" t="str">
        <f>T("   AUTRES MEUBLES (COFFRES, ARMOIRES, VITRINES, COMPTOIRS ET SIMILAIRES), POUR LA CONSER")</f>
        <v xml:space="preserve">   AUTRES MEUBLES (COFFRES, ARMOIRES, VITRINES, COMPTOIRS ET SIMILAIRES), POUR LA CONSER</v>
      </c>
      <c r="C3265" s="4">
        <v>244</v>
      </c>
      <c r="D3265" s="4">
        <v>350000</v>
      </c>
    </row>
    <row r="3266" spans="1:4" x14ac:dyDescent="0.25">
      <c r="A3266" t="str">
        <f>T("   841869")</f>
        <v xml:space="preserve">   841869</v>
      </c>
      <c r="B3266" t="str">
        <f>T("   AUTRES")</f>
        <v xml:space="preserve">   AUTRES</v>
      </c>
      <c r="C3266" s="4">
        <v>160</v>
      </c>
      <c r="D3266" s="4">
        <v>5163281</v>
      </c>
    </row>
    <row r="3267" spans="1:4" x14ac:dyDescent="0.25">
      <c r="A3267" t="str">
        <f>T("   841891")</f>
        <v xml:space="preserve">   841891</v>
      </c>
      <c r="B3267" t="str">
        <f>T("   Meubles concus pour recevoir un equipement pour la production du froid")</f>
        <v xml:space="preserve">   Meubles concus pour recevoir un equipement pour la production du froid</v>
      </c>
      <c r="C3267" s="4">
        <v>15000</v>
      </c>
      <c r="D3267" s="4">
        <v>16113941</v>
      </c>
    </row>
    <row r="3268" spans="1:4" x14ac:dyDescent="0.25">
      <c r="A3268" t="str">
        <f>T("   841920")</f>
        <v xml:space="preserve">   841920</v>
      </c>
      <c r="B3268" t="str">
        <f>T("   STERILISATEURS MEDICOCHIRURGICAUX OU DE LABORATOIRES")</f>
        <v xml:space="preserve">   STERILISATEURS MEDICOCHIRURGICAUX OU DE LABORATOIRES</v>
      </c>
      <c r="C3268" s="4">
        <v>120</v>
      </c>
      <c r="D3268" s="4">
        <v>4191978</v>
      </c>
    </row>
    <row r="3269" spans="1:4" x14ac:dyDescent="0.25">
      <c r="A3269" t="str">
        <f>T("   841989")</f>
        <v xml:space="preserve">   841989</v>
      </c>
      <c r="B3269" t="str">
        <f>T("   AUTRES")</f>
        <v xml:space="preserve">   AUTRES</v>
      </c>
      <c r="C3269" s="4">
        <v>150</v>
      </c>
      <c r="D3269" s="4">
        <v>150534</v>
      </c>
    </row>
    <row r="3270" spans="1:4" x14ac:dyDescent="0.25">
      <c r="A3270" t="str">
        <f>T("   841990")</f>
        <v xml:space="preserve">   841990</v>
      </c>
      <c r="B3270" t="str">
        <f>T("   PARTIES")</f>
        <v xml:space="preserve">   PARTIES</v>
      </c>
      <c r="C3270" s="4">
        <v>100</v>
      </c>
      <c r="D3270" s="4">
        <v>1669622</v>
      </c>
    </row>
    <row r="3271" spans="1:4" x14ac:dyDescent="0.25">
      <c r="A3271" t="str">
        <f>T("   842121")</f>
        <v xml:space="preserve">   842121</v>
      </c>
      <c r="B3271" t="str">
        <f>T("   POUR LA FILTRATION OU L'EPURATION DES EAUX")</f>
        <v xml:space="preserve">   POUR LA FILTRATION OU L'EPURATION DES EAUX</v>
      </c>
      <c r="C3271" s="4">
        <v>145</v>
      </c>
      <c r="D3271" s="4">
        <v>17264434</v>
      </c>
    </row>
    <row r="3272" spans="1:4" x14ac:dyDescent="0.25">
      <c r="A3272" t="str">
        <f>T("   842123")</f>
        <v xml:space="preserve">   842123</v>
      </c>
      <c r="B3272" t="str">
        <f>T("   POUR LA FILTRATION DES HUILES MINERALES DANS LES MOTEURS A ALLUMAGE PAR ETINCELLES O")</f>
        <v xml:space="preserve">   POUR LA FILTRATION DES HUILES MINERALES DANS LES MOTEURS A ALLUMAGE PAR ETINCELLES O</v>
      </c>
      <c r="C3272" s="4">
        <v>34</v>
      </c>
      <c r="D3272" s="4">
        <v>3296350</v>
      </c>
    </row>
    <row r="3273" spans="1:4" x14ac:dyDescent="0.25">
      <c r="A3273" t="str">
        <f>T("   842129")</f>
        <v xml:space="preserve">   842129</v>
      </c>
      <c r="B3273" t="str">
        <f>T("   AUTRES")</f>
        <v xml:space="preserve">   AUTRES</v>
      </c>
      <c r="C3273" s="4">
        <v>350</v>
      </c>
      <c r="D3273" s="4">
        <v>3017416</v>
      </c>
    </row>
    <row r="3274" spans="1:4" x14ac:dyDescent="0.25">
      <c r="A3274" t="str">
        <f>T("   842139")</f>
        <v xml:space="preserve">   842139</v>
      </c>
      <c r="B3274" t="str">
        <f>T("   AUTRES")</f>
        <v xml:space="preserve">   AUTRES</v>
      </c>
      <c r="C3274" s="4">
        <v>319.75</v>
      </c>
      <c r="D3274" s="4">
        <v>14586104</v>
      </c>
    </row>
    <row r="3275" spans="1:4" x14ac:dyDescent="0.25">
      <c r="A3275" t="str">
        <f>T("   842191")</f>
        <v xml:space="preserve">   842191</v>
      </c>
      <c r="B3275" t="str">
        <f>T("   DE CENTRIFUGEUSES, Y COMPRIS D'ESSOREUSES CENTRIFUGES")</f>
        <v xml:space="preserve">   DE CENTRIFUGEUSES, Y COMPRIS D'ESSOREUSES CENTRIFUGES</v>
      </c>
      <c r="C3275" s="4">
        <v>266.89999999999998</v>
      </c>
      <c r="D3275" s="4">
        <v>5485190</v>
      </c>
    </row>
    <row r="3276" spans="1:4" x14ac:dyDescent="0.25">
      <c r="A3276" t="str">
        <f>T("   842199")</f>
        <v xml:space="preserve">   842199</v>
      </c>
      <c r="B3276" t="str">
        <f>T("   AUTRES")</f>
        <v xml:space="preserve">   AUTRES</v>
      </c>
      <c r="C3276" s="4">
        <v>1131.25</v>
      </c>
      <c r="D3276" s="4">
        <v>26563750</v>
      </c>
    </row>
    <row r="3277" spans="1:4" x14ac:dyDescent="0.25">
      <c r="A3277" t="str">
        <f>T("   842219")</f>
        <v xml:space="preserve">   842219</v>
      </c>
      <c r="B3277" t="str">
        <f>T("   AUTRES")</f>
        <v xml:space="preserve">   AUTRES</v>
      </c>
      <c r="C3277" s="4">
        <v>10</v>
      </c>
      <c r="D3277" s="4">
        <v>3310230</v>
      </c>
    </row>
    <row r="3278" spans="1:4" x14ac:dyDescent="0.25">
      <c r="A3278" t="str">
        <f>T("   842290")</f>
        <v xml:space="preserve">   842290</v>
      </c>
      <c r="B3278" t="str">
        <f>T("   PARTIES")</f>
        <v xml:space="preserve">   PARTIES</v>
      </c>
      <c r="C3278" s="4">
        <v>1631.05</v>
      </c>
      <c r="D3278" s="4">
        <v>268410097</v>
      </c>
    </row>
    <row r="3279" spans="1:4" x14ac:dyDescent="0.25">
      <c r="A3279" t="str">
        <f>T("   842310")</f>
        <v xml:space="preserve">   842310</v>
      </c>
      <c r="B3279" t="str">
        <f>T("   PESEPERSONNES, Y COMPRIS LES PESEBEBES; BALANCES DE MENAGE")</f>
        <v xml:space="preserve">   PESEPERSONNES, Y COMPRIS LES PESEBEBES; BALANCES DE MENAGE</v>
      </c>
      <c r="C3279" s="4">
        <v>733.2</v>
      </c>
      <c r="D3279" s="4">
        <v>5258169</v>
      </c>
    </row>
    <row r="3280" spans="1:4" x14ac:dyDescent="0.25">
      <c r="A3280" t="str">
        <f>T("   842481")</f>
        <v xml:space="preserve">   842481</v>
      </c>
      <c r="B3280" t="str">
        <f>T("   POUR L'AGRICULTURE OU L'HORTICULTURE")</f>
        <v xml:space="preserve">   POUR L'AGRICULTURE OU L'HORTICULTURE</v>
      </c>
      <c r="C3280" s="4">
        <v>18</v>
      </c>
      <c r="D3280" s="4">
        <v>855044</v>
      </c>
    </row>
    <row r="3281" spans="1:4" x14ac:dyDescent="0.25">
      <c r="A3281" t="str">
        <f>T("   842489")</f>
        <v xml:space="preserve">   842489</v>
      </c>
      <c r="B3281" t="str">
        <f>T("   AUTRES")</f>
        <v xml:space="preserve">   AUTRES</v>
      </c>
      <c r="C3281" s="4">
        <v>390</v>
      </c>
      <c r="D3281" s="4">
        <v>7094652</v>
      </c>
    </row>
    <row r="3282" spans="1:4" x14ac:dyDescent="0.25">
      <c r="A3282" t="str">
        <f>T("   842549")</f>
        <v xml:space="preserve">   842549</v>
      </c>
      <c r="B3282" t="str">
        <f>T("   AUTRES")</f>
        <v xml:space="preserve">   AUTRES</v>
      </c>
      <c r="C3282" s="4">
        <v>0.25</v>
      </c>
      <c r="D3282" s="4">
        <v>481206</v>
      </c>
    </row>
    <row r="3283" spans="1:4" x14ac:dyDescent="0.25">
      <c r="A3283" t="str">
        <f>T("   842620")</f>
        <v xml:space="preserve">   842620</v>
      </c>
      <c r="B3283" t="str">
        <f>T("   Grues a tour")</f>
        <v xml:space="preserve">   Grues a tour</v>
      </c>
      <c r="C3283" s="4">
        <v>52716</v>
      </c>
      <c r="D3283" s="4">
        <v>242545802</v>
      </c>
    </row>
    <row r="3284" spans="1:4" x14ac:dyDescent="0.25">
      <c r="A3284" t="str">
        <f>T("   842790")</f>
        <v xml:space="preserve">   842790</v>
      </c>
      <c r="B3284" t="str">
        <f>T("   AUTRES CHARIOTS")</f>
        <v xml:space="preserve">   AUTRES CHARIOTS</v>
      </c>
      <c r="C3284" s="4">
        <v>55801.4</v>
      </c>
      <c r="D3284" s="4">
        <v>249598991</v>
      </c>
    </row>
    <row r="3285" spans="1:4" x14ac:dyDescent="0.25">
      <c r="A3285" t="str">
        <f>T("   842839")</f>
        <v xml:space="preserve">   842839</v>
      </c>
      <c r="B3285" t="str">
        <f>T("   AUTRES")</f>
        <v xml:space="preserve">   AUTRES</v>
      </c>
      <c r="C3285" s="4">
        <v>10</v>
      </c>
      <c r="D3285" s="4">
        <v>459060</v>
      </c>
    </row>
    <row r="3286" spans="1:4" x14ac:dyDescent="0.25">
      <c r="A3286" t="str">
        <f>T("   842890")</f>
        <v xml:space="preserve">   842890</v>
      </c>
      <c r="B3286" t="str">
        <f>T("   AUTRES MACHINES ET APPAREILS")</f>
        <v xml:space="preserve">   AUTRES MACHINES ET APPAREILS</v>
      </c>
      <c r="C3286" s="4">
        <v>4600</v>
      </c>
      <c r="D3286" s="4">
        <v>11506444</v>
      </c>
    </row>
    <row r="3287" spans="1:4" x14ac:dyDescent="0.25">
      <c r="A3287" t="str">
        <f>T("   842911")</f>
        <v xml:space="preserve">   842911</v>
      </c>
      <c r="B3287" t="str">
        <f>T("   A CHENILLES")</f>
        <v xml:space="preserve">   A CHENILLES</v>
      </c>
      <c r="C3287" s="4">
        <v>13500</v>
      </c>
      <c r="D3287" s="4">
        <v>5352000</v>
      </c>
    </row>
    <row r="3288" spans="1:4" x14ac:dyDescent="0.25">
      <c r="A3288" t="str">
        <f>T("   843120")</f>
        <v xml:space="preserve">   843120</v>
      </c>
      <c r="B3288" t="str">
        <f>T("   DE MACHINES OU APPAREILS DU N° 84.27")</f>
        <v xml:space="preserve">   DE MACHINES OU APPAREILS DU N° 84.27</v>
      </c>
      <c r="C3288" s="4">
        <v>1487</v>
      </c>
      <c r="D3288" s="4">
        <v>11052572</v>
      </c>
    </row>
    <row r="3289" spans="1:4" x14ac:dyDescent="0.25">
      <c r="A3289" t="str">
        <f>T("   843139")</f>
        <v xml:space="preserve">   843139</v>
      </c>
      <c r="B3289" t="str">
        <f>T("   AUTRES")</f>
        <v xml:space="preserve">   AUTRES</v>
      </c>
      <c r="C3289" s="4">
        <v>22990</v>
      </c>
      <c r="D3289" s="4">
        <v>34735279</v>
      </c>
    </row>
    <row r="3290" spans="1:4" x14ac:dyDescent="0.25">
      <c r="A3290" t="str">
        <f>T("   843141")</f>
        <v xml:space="preserve">   843141</v>
      </c>
      <c r="B3290" t="str">
        <f>T("   GODETS, BENNES, BENNESPRENEUSES, PELLES, GRAPPINS ET PINCES")</f>
        <v xml:space="preserve">   GODETS, BENNES, BENNESPRENEUSES, PELLES, GRAPPINS ET PINCES</v>
      </c>
      <c r="C3290" s="4">
        <v>2495</v>
      </c>
      <c r="D3290" s="4">
        <v>31164325</v>
      </c>
    </row>
    <row r="3291" spans="1:4" x14ac:dyDescent="0.25">
      <c r="A3291" t="str">
        <f>T("   843143")</f>
        <v xml:space="preserve">   843143</v>
      </c>
      <c r="B3291" t="str">
        <f>T("   PARTIES DE MACHINES DE SONDAGE OU DE FORAGE DES N°S 8430.41 OU 8430.49")</f>
        <v xml:space="preserve">   PARTIES DE MACHINES DE SONDAGE OU DE FORAGE DES N°S 8430.41 OU 8430.49</v>
      </c>
      <c r="C3291" s="4">
        <v>3197</v>
      </c>
      <c r="D3291" s="4">
        <v>59142525</v>
      </c>
    </row>
    <row r="3292" spans="1:4" x14ac:dyDescent="0.25">
      <c r="A3292" t="str">
        <f>T("   843149")</f>
        <v xml:space="preserve">   843149</v>
      </c>
      <c r="B3292" t="str">
        <f>T("   AUTRES")</f>
        <v xml:space="preserve">   AUTRES</v>
      </c>
      <c r="C3292" s="4">
        <v>1659</v>
      </c>
      <c r="D3292" s="4">
        <v>27513633</v>
      </c>
    </row>
    <row r="3293" spans="1:4" x14ac:dyDescent="0.25">
      <c r="A3293" t="str">
        <f>T("   843621")</f>
        <v xml:space="preserve">   843621</v>
      </c>
      <c r="B3293" t="str">
        <f>T("   Couveuses et eleveuses")</f>
        <v xml:space="preserve">   Couveuses et eleveuses</v>
      </c>
      <c r="C3293" s="4">
        <v>84</v>
      </c>
      <c r="D3293" s="4">
        <v>374418</v>
      </c>
    </row>
    <row r="3294" spans="1:4" x14ac:dyDescent="0.25">
      <c r="A3294" t="str">
        <f>T("   843840")</f>
        <v xml:space="preserve">   843840</v>
      </c>
      <c r="B3294" t="str">
        <f>T("   Machines et appareils pour la brasserie")</f>
        <v xml:space="preserve">   Machines et appareils pour la brasserie</v>
      </c>
      <c r="C3294" s="4">
        <v>220</v>
      </c>
      <c r="D3294" s="4">
        <v>15915878</v>
      </c>
    </row>
    <row r="3295" spans="1:4" x14ac:dyDescent="0.25">
      <c r="A3295" t="str">
        <f>T("   843890")</f>
        <v xml:space="preserve">   843890</v>
      </c>
      <c r="B3295" t="str">
        <f>T("   PARTIES")</f>
        <v xml:space="preserve">   PARTIES</v>
      </c>
      <c r="C3295" s="4">
        <v>45</v>
      </c>
      <c r="D3295" s="4">
        <v>6029107</v>
      </c>
    </row>
    <row r="3296" spans="1:4" x14ac:dyDescent="0.25">
      <c r="A3296" t="str">
        <f>T("   843910")</f>
        <v xml:space="preserve">   843910</v>
      </c>
      <c r="B3296" t="str">
        <f>T("   MACHINES ET APPAREILS POUR LA FABRICATION DE LA PATE DE MATIERES FIBREUSES CELLULOSIQ")</f>
        <v xml:space="preserve">   MACHINES ET APPAREILS POUR LA FABRICATION DE LA PATE DE MATIERES FIBREUSES CELLULOSIQ</v>
      </c>
      <c r="C3296" s="4">
        <v>380</v>
      </c>
      <c r="D3296" s="4">
        <v>1974636</v>
      </c>
    </row>
    <row r="3297" spans="1:4" x14ac:dyDescent="0.25">
      <c r="A3297" t="str">
        <f>T("   843999")</f>
        <v xml:space="preserve">   843999</v>
      </c>
      <c r="B3297" t="str">
        <f>T("   AUTRES")</f>
        <v xml:space="preserve">   AUTRES</v>
      </c>
      <c r="C3297" s="4">
        <v>834</v>
      </c>
      <c r="D3297" s="4">
        <v>2033905</v>
      </c>
    </row>
    <row r="3298" spans="1:4" x14ac:dyDescent="0.25">
      <c r="A3298" t="str">
        <f>T("   844311")</f>
        <v xml:space="preserve">   844311</v>
      </c>
      <c r="B3298" t="str">
        <f>T("   MACHINES ET APPAREILS A IMPRIMER OFFSET, ALIMENTES EN BOBINES")</f>
        <v xml:space="preserve">   MACHINES ET APPAREILS A IMPRIMER OFFSET, ALIMENTES EN BOBINES</v>
      </c>
      <c r="C3298" s="4">
        <v>6100</v>
      </c>
      <c r="D3298" s="4">
        <v>8180726</v>
      </c>
    </row>
    <row r="3299" spans="1:4" x14ac:dyDescent="0.25">
      <c r="A3299" t="str">
        <f>T("   844391")</f>
        <v xml:space="preserve">   844391</v>
      </c>
      <c r="B3299" t="str">
        <f>T("   PARTIES ET ACCESSOIRES DE MACHINES ET D’APPAREILS SERVANT A L’IMPRESSION AU MOYEN DE")</f>
        <v xml:space="preserve">   PARTIES ET ACCESSOIRES DE MACHINES ET D’APPAREILS SERVANT A L’IMPRESSION AU MOYEN DE</v>
      </c>
      <c r="C3299" s="4">
        <v>18631</v>
      </c>
      <c r="D3299" s="4">
        <v>25194767</v>
      </c>
    </row>
    <row r="3300" spans="1:4" x14ac:dyDescent="0.25">
      <c r="A3300" t="str">
        <f>T("   844399")</f>
        <v xml:space="preserve">   844399</v>
      </c>
      <c r="B3300" t="str">
        <f>T("   AUTRES")</f>
        <v xml:space="preserve">   AUTRES</v>
      </c>
      <c r="C3300" s="4">
        <v>3</v>
      </c>
      <c r="D3300" s="4">
        <v>83733</v>
      </c>
    </row>
    <row r="3301" spans="1:4" x14ac:dyDescent="0.25">
      <c r="A3301" t="str">
        <f>T("   844832")</f>
        <v xml:space="preserve">   844832</v>
      </c>
      <c r="B3301" t="str">
        <f>T("   DE MACHINES POUR LA PREPARATION DES MATIERES TEXTILES, AUTRES QUE LES GARNITURES DE")</f>
        <v xml:space="preserve">   DE MACHINES POUR LA PREPARATION DES MATIERES TEXTILES, AUTRES QUE LES GARNITURES DE</v>
      </c>
      <c r="C3301" s="4">
        <v>1029</v>
      </c>
      <c r="D3301" s="4">
        <v>16106796</v>
      </c>
    </row>
    <row r="3302" spans="1:4" x14ac:dyDescent="0.25">
      <c r="A3302" t="str">
        <f>T("   845019")</f>
        <v xml:space="preserve">   845019</v>
      </c>
      <c r="B3302" t="str">
        <f>T("   AUTRES")</f>
        <v xml:space="preserve">   AUTRES</v>
      </c>
      <c r="C3302" s="4">
        <v>310</v>
      </c>
      <c r="D3302" s="4">
        <v>216467</v>
      </c>
    </row>
    <row r="3303" spans="1:4" x14ac:dyDescent="0.25">
      <c r="A3303" t="str">
        <f>T("   845129")</f>
        <v xml:space="preserve">   845129</v>
      </c>
      <c r="B3303" t="str">
        <f>T("   AUTRES")</f>
        <v xml:space="preserve">   AUTRES</v>
      </c>
      <c r="C3303" s="4">
        <v>245</v>
      </c>
      <c r="D3303" s="4">
        <v>610043</v>
      </c>
    </row>
    <row r="3304" spans="1:4" x14ac:dyDescent="0.25">
      <c r="A3304" t="str">
        <f>T("   845180")</f>
        <v xml:space="preserve">   845180</v>
      </c>
      <c r="B3304" t="str">
        <f>T("   AUTRES MACHINES ET APPAREILS")</f>
        <v xml:space="preserve">   AUTRES MACHINES ET APPAREILS</v>
      </c>
      <c r="C3304" s="4">
        <v>6540</v>
      </c>
      <c r="D3304" s="4">
        <v>60969514</v>
      </c>
    </row>
    <row r="3305" spans="1:4" x14ac:dyDescent="0.25">
      <c r="A3305" t="str">
        <f>T("   845229")</f>
        <v xml:space="preserve">   845229</v>
      </c>
      <c r="B3305" t="str">
        <f>T("   AUTRES")</f>
        <v xml:space="preserve">   AUTRES</v>
      </c>
      <c r="C3305" s="4">
        <v>1002</v>
      </c>
      <c r="D3305" s="4">
        <v>676583</v>
      </c>
    </row>
    <row r="3306" spans="1:4" x14ac:dyDescent="0.25">
      <c r="A3306" t="str">
        <f>T("   846591")</f>
        <v xml:space="preserve">   846591</v>
      </c>
      <c r="B3306" t="str">
        <f>T("   MACHINES A SCIER")</f>
        <v xml:space="preserve">   MACHINES A SCIER</v>
      </c>
      <c r="C3306" s="4">
        <v>19400</v>
      </c>
      <c r="D3306" s="4">
        <v>7544958</v>
      </c>
    </row>
    <row r="3307" spans="1:4" x14ac:dyDescent="0.25">
      <c r="A3307" t="str">
        <f>T("   846599")</f>
        <v xml:space="preserve">   846599</v>
      </c>
      <c r="B3307" t="str">
        <f>T("   AUTRES")</f>
        <v xml:space="preserve">   AUTRES</v>
      </c>
      <c r="C3307" s="4">
        <v>300</v>
      </c>
      <c r="D3307" s="4">
        <v>300430</v>
      </c>
    </row>
    <row r="3308" spans="1:4" x14ac:dyDescent="0.25">
      <c r="A3308" t="str">
        <f>T("   846610")</f>
        <v xml:space="preserve">   846610</v>
      </c>
      <c r="B3308" t="str">
        <f>T("   PORTEOUTILS ET FILIERES A DECLENCHEMENT AUTOMATIQUE")</f>
        <v xml:space="preserve">   PORTEOUTILS ET FILIERES A DECLENCHEMENT AUTOMATIQUE</v>
      </c>
      <c r="C3308" s="4">
        <v>2</v>
      </c>
      <c r="D3308" s="4">
        <v>403140</v>
      </c>
    </row>
    <row r="3309" spans="1:4" x14ac:dyDescent="0.25">
      <c r="A3309" t="str">
        <f>T("   846721")</f>
        <v xml:space="preserve">   846721</v>
      </c>
      <c r="B3309" t="str">
        <f>T("   PERCEUSES DE TOUS GENRES, Y COMPRIS LES PERFORATRICES ROTATIVES")</f>
        <v xml:space="preserve">   PERCEUSES DE TOUS GENRES, Y COMPRIS LES PERFORATRICES ROTATIVES</v>
      </c>
      <c r="C3309" s="4">
        <v>129</v>
      </c>
      <c r="D3309" s="4">
        <v>1262890</v>
      </c>
    </row>
    <row r="3310" spans="1:4" x14ac:dyDescent="0.25">
      <c r="A3310" t="str">
        <f>T("   847130")</f>
        <v xml:space="preserve">   847130</v>
      </c>
      <c r="B3310" t="str">
        <f>T("   MACHINES AUTOMATIQUES DE TRAITEMENT DE L'INFORMATION PORTATIVES, D'UN POIDS N'EXCEDAN")</f>
        <v xml:space="preserve">   MACHINES AUTOMATIQUES DE TRAITEMENT DE L'INFORMATION PORTATIVES, D'UN POIDS N'EXCEDAN</v>
      </c>
      <c r="C3310" s="4">
        <v>150</v>
      </c>
      <c r="D3310" s="4">
        <v>200000</v>
      </c>
    </row>
    <row r="3311" spans="1:4" x14ac:dyDescent="0.25">
      <c r="A3311" t="str">
        <f>T("   847141")</f>
        <v xml:space="preserve">   847141</v>
      </c>
      <c r="B3311" t="str">
        <f>T("   COMPORTANT, SOUS UNE MEME ENVELOPPE, AU MOINS UNE UNITE CENTRALE DE TRAITEMENT ET, Q")</f>
        <v xml:space="preserve">   COMPORTANT, SOUS UNE MEME ENVELOPPE, AU MOINS UNE UNITE CENTRALE DE TRAITEMENT ET, Q</v>
      </c>
      <c r="C3311" s="4">
        <v>300</v>
      </c>
      <c r="D3311" s="4">
        <v>900000</v>
      </c>
    </row>
    <row r="3312" spans="1:4" x14ac:dyDescent="0.25">
      <c r="A3312" t="str">
        <f>T("   847149")</f>
        <v xml:space="preserve">   847149</v>
      </c>
      <c r="B3312" t="str">
        <f>T("   AUTRES, SE PRESENTANT SOUS FORME DE SYSTEMES")</f>
        <v xml:space="preserve">   AUTRES, SE PRESENTANT SOUS FORME DE SYSTEMES</v>
      </c>
      <c r="C3312" s="4">
        <v>300</v>
      </c>
      <c r="D3312" s="4">
        <v>1105293</v>
      </c>
    </row>
    <row r="3313" spans="1:4" x14ac:dyDescent="0.25">
      <c r="A3313" t="str">
        <f>T("   847180")</f>
        <v xml:space="preserve">   847180</v>
      </c>
      <c r="B3313" t="str">
        <f>T("   AUTRES UNITES DE MACHINES AUTOMATIQUES DE TRAITEMENT DE L'INFORMATION")</f>
        <v xml:space="preserve">   AUTRES UNITES DE MACHINES AUTOMATIQUES DE TRAITEMENT DE L'INFORMATION</v>
      </c>
      <c r="C3313" s="4">
        <v>38.35</v>
      </c>
      <c r="D3313" s="4">
        <v>2121895</v>
      </c>
    </row>
    <row r="3314" spans="1:4" x14ac:dyDescent="0.25">
      <c r="A3314" t="str">
        <f>T("   847190")</f>
        <v xml:space="preserve">   847190</v>
      </c>
      <c r="B3314" t="str">
        <f>T("   AUTRES")</f>
        <v xml:space="preserve">   AUTRES</v>
      </c>
      <c r="C3314" s="4">
        <v>3189</v>
      </c>
      <c r="D3314" s="4">
        <v>49812506</v>
      </c>
    </row>
    <row r="3315" spans="1:4" x14ac:dyDescent="0.25">
      <c r="A3315" t="str">
        <f>T("   847290")</f>
        <v xml:space="preserve">   847290</v>
      </c>
      <c r="B3315" t="str">
        <f>T("   AUTRES")</f>
        <v xml:space="preserve">   AUTRES</v>
      </c>
      <c r="C3315" s="4">
        <v>13600</v>
      </c>
      <c r="D3315" s="4">
        <v>104489078</v>
      </c>
    </row>
    <row r="3316" spans="1:4" x14ac:dyDescent="0.25">
      <c r="A3316" t="str">
        <f>T("   847330")</f>
        <v xml:space="preserve">   847330</v>
      </c>
      <c r="B3316" t="str">
        <f>T("   PARTIES ET ACCESSOIRES DES MACHINES DU N° 84.71")</f>
        <v xml:space="preserve">   PARTIES ET ACCESSOIRES DES MACHINES DU N° 84.71</v>
      </c>
      <c r="C3316" s="4">
        <v>136</v>
      </c>
      <c r="D3316" s="4">
        <v>1303492</v>
      </c>
    </row>
    <row r="3317" spans="1:4" x14ac:dyDescent="0.25">
      <c r="A3317" t="str">
        <f>T("   847490")</f>
        <v xml:space="preserve">   847490</v>
      </c>
      <c r="B3317" t="str">
        <f>T("   PARTIES")</f>
        <v xml:space="preserve">   PARTIES</v>
      </c>
      <c r="C3317" s="4">
        <v>4256.5</v>
      </c>
      <c r="D3317" s="4">
        <v>33139165</v>
      </c>
    </row>
    <row r="3318" spans="1:4" x14ac:dyDescent="0.25">
      <c r="A3318" t="str">
        <f>T("   847790")</f>
        <v xml:space="preserve">   847790</v>
      </c>
      <c r="B3318" t="str">
        <f>T("   PARTIES")</f>
        <v xml:space="preserve">   PARTIES</v>
      </c>
      <c r="C3318" s="4">
        <v>124</v>
      </c>
      <c r="D3318" s="4">
        <v>6107040</v>
      </c>
    </row>
    <row r="3319" spans="1:4" x14ac:dyDescent="0.25">
      <c r="A3319" t="str">
        <f>T("   847981")</f>
        <v xml:space="preserve">   847981</v>
      </c>
      <c r="B3319" t="str">
        <f>T("   POUR LE TRAITEMENT DES METAUX, Y COMPRIS LES BOBINEUSES POUR ENROULEMENTS ELECTRIQUE")</f>
        <v xml:space="preserve">   POUR LE TRAITEMENT DES METAUX, Y COMPRIS LES BOBINEUSES POUR ENROULEMENTS ELECTRIQUE</v>
      </c>
      <c r="C3319" s="4">
        <v>850</v>
      </c>
      <c r="D3319" s="4">
        <v>1294530</v>
      </c>
    </row>
    <row r="3320" spans="1:4" x14ac:dyDescent="0.25">
      <c r="A3320" t="str">
        <f>T("   847989")</f>
        <v xml:space="preserve">   847989</v>
      </c>
      <c r="B3320" t="str">
        <f>T("   AUTRES")</f>
        <v xml:space="preserve">   AUTRES</v>
      </c>
      <c r="C3320" s="4">
        <v>26673</v>
      </c>
      <c r="D3320" s="4">
        <v>48544411</v>
      </c>
    </row>
    <row r="3321" spans="1:4" x14ac:dyDescent="0.25">
      <c r="A3321" t="str">
        <f>T("   847990")</f>
        <v xml:space="preserve">   847990</v>
      </c>
      <c r="B3321" t="str">
        <f>T("   PARTIES")</f>
        <v xml:space="preserve">   PARTIES</v>
      </c>
      <c r="C3321" s="4">
        <v>1452</v>
      </c>
      <c r="D3321" s="4">
        <v>3345396</v>
      </c>
    </row>
    <row r="3322" spans="1:4" x14ac:dyDescent="0.25">
      <c r="A3322" t="str">
        <f>T("   848110")</f>
        <v xml:space="preserve">   848110</v>
      </c>
      <c r="B3322" t="str">
        <f>T("   DETENDEURS")</f>
        <v xml:space="preserve">   DETENDEURS</v>
      </c>
      <c r="C3322" s="4">
        <v>20</v>
      </c>
      <c r="D3322" s="4">
        <v>847586</v>
      </c>
    </row>
    <row r="3323" spans="1:4" x14ac:dyDescent="0.25">
      <c r="A3323" t="str">
        <f>T("   848120")</f>
        <v xml:space="preserve">   848120</v>
      </c>
      <c r="B3323" t="str">
        <f>T("   VALVES POUR TRANSMISSIONS OLEOHYDRAULIQUES OU PNEUMATIQUES")</f>
        <v xml:space="preserve">   VALVES POUR TRANSMISSIONS OLEOHYDRAULIQUES OU PNEUMATIQUES</v>
      </c>
      <c r="C3323" s="4">
        <v>135</v>
      </c>
      <c r="D3323" s="4">
        <v>10858394</v>
      </c>
    </row>
    <row r="3324" spans="1:4" x14ac:dyDescent="0.25">
      <c r="A3324" t="str">
        <f>T("   848130")</f>
        <v xml:space="preserve">   848130</v>
      </c>
      <c r="B3324" t="str">
        <f>T("   Clapets et soupapes de retenue")</f>
        <v xml:space="preserve">   Clapets et soupapes de retenue</v>
      </c>
      <c r="C3324" s="4">
        <v>16</v>
      </c>
      <c r="D3324" s="4">
        <v>1177200</v>
      </c>
    </row>
    <row r="3325" spans="1:4" x14ac:dyDescent="0.25">
      <c r="A3325" t="str">
        <f>T("   848140")</f>
        <v xml:space="preserve">   848140</v>
      </c>
      <c r="B3325" t="str">
        <f>T("   SOUPAPES DE TROPPLEIN OU DE SURETE")</f>
        <v xml:space="preserve">   SOUPAPES DE TROPPLEIN OU DE SURETE</v>
      </c>
      <c r="C3325" s="4">
        <v>19</v>
      </c>
      <c r="D3325" s="4">
        <v>1762323</v>
      </c>
    </row>
    <row r="3326" spans="1:4" x14ac:dyDescent="0.25">
      <c r="A3326" t="str">
        <f>T("   848180")</f>
        <v xml:space="preserve">   848180</v>
      </c>
      <c r="B3326" t="str">
        <f>T("   Autres articles de robinetterie et organes similaires")</f>
        <v xml:space="preserve">   Autres articles de robinetterie et organes similaires</v>
      </c>
      <c r="C3326" s="4">
        <v>4966</v>
      </c>
      <c r="D3326" s="4">
        <v>100915657</v>
      </c>
    </row>
    <row r="3327" spans="1:4" x14ac:dyDescent="0.25">
      <c r="A3327" t="str">
        <f>T("   848190")</f>
        <v xml:space="preserve">   848190</v>
      </c>
      <c r="B3327" t="str">
        <f>T("   PARTIES")</f>
        <v xml:space="preserve">   PARTIES</v>
      </c>
      <c r="C3327" s="4">
        <v>11.4</v>
      </c>
      <c r="D3327" s="4">
        <v>1340363</v>
      </c>
    </row>
    <row r="3328" spans="1:4" x14ac:dyDescent="0.25">
      <c r="A3328" t="str">
        <f>T("   848210")</f>
        <v xml:space="preserve">   848210</v>
      </c>
      <c r="B3328" t="str">
        <f>T("   ROULEMENTS A BILLES")</f>
        <v xml:space="preserve">   ROULEMENTS A BILLES</v>
      </c>
      <c r="C3328" s="4">
        <v>1</v>
      </c>
      <c r="D3328" s="4">
        <v>88312</v>
      </c>
    </row>
    <row r="3329" spans="1:4" x14ac:dyDescent="0.25">
      <c r="A3329" t="str">
        <f>T("   848291")</f>
        <v xml:space="preserve">   848291</v>
      </c>
      <c r="B3329" t="str">
        <f>T("   BILLES, GALETS, ROULEAUX ET AIGUILLES")</f>
        <v xml:space="preserve">   BILLES, GALETS, ROULEAUX ET AIGUILLES</v>
      </c>
      <c r="C3329" s="4">
        <v>10</v>
      </c>
      <c r="D3329" s="4">
        <v>525424</v>
      </c>
    </row>
    <row r="3330" spans="1:4" x14ac:dyDescent="0.25">
      <c r="A3330" t="str">
        <f>T("   848330")</f>
        <v xml:space="preserve">   848330</v>
      </c>
      <c r="B3330" t="str">
        <f>T("   PALIERS, AUTRES QU'A ROULEMENTS INCORPORES; COUSSINETS")</f>
        <v xml:space="preserve">   PALIERS, AUTRES QU'A ROULEMENTS INCORPORES; COUSSINETS</v>
      </c>
      <c r="C3330" s="4">
        <v>14</v>
      </c>
      <c r="D3330" s="4">
        <v>2259670</v>
      </c>
    </row>
    <row r="3331" spans="1:4" x14ac:dyDescent="0.25">
      <c r="A3331" t="str">
        <f>T("   848390")</f>
        <v xml:space="preserve">   848390</v>
      </c>
      <c r="B3331" t="str">
        <f>T("   ROUES DENTEES ET AUTRES ORGANES ELEMENTAIRES DE TRANSMISSION PRESENTES SEPAREMENT; PA")</f>
        <v xml:space="preserve">   ROUES DENTEES ET AUTRES ORGANES ELEMENTAIRES DE TRANSMISSION PRESENTES SEPAREMENT; PA</v>
      </c>
      <c r="C3331" s="4">
        <v>59.97</v>
      </c>
      <c r="D3331" s="4">
        <v>3446062</v>
      </c>
    </row>
    <row r="3332" spans="1:4" x14ac:dyDescent="0.25">
      <c r="A3332" t="str">
        <f>T("   848420")</f>
        <v xml:space="preserve">   848420</v>
      </c>
      <c r="B3332" t="str">
        <f>T("   JOINTS D'ETANCHEITE MECANIQUES")</f>
        <v xml:space="preserve">   JOINTS D'ETANCHEITE MECANIQUES</v>
      </c>
      <c r="C3332" s="4">
        <v>49.03</v>
      </c>
      <c r="D3332" s="4">
        <v>32174531</v>
      </c>
    </row>
    <row r="3333" spans="1:4" x14ac:dyDescent="0.25">
      <c r="A3333" t="str">
        <f>T("   848490")</f>
        <v xml:space="preserve">   848490</v>
      </c>
      <c r="B3333" t="str">
        <f>T("   AUTRES")</f>
        <v xml:space="preserve">   AUTRES</v>
      </c>
      <c r="C3333" s="4">
        <v>50.8</v>
      </c>
      <c r="D3333" s="4">
        <v>10459427</v>
      </c>
    </row>
    <row r="3334" spans="1:4" x14ac:dyDescent="0.25">
      <c r="A3334" t="str">
        <f>T("   850110")</f>
        <v xml:space="preserve">   850110</v>
      </c>
      <c r="B3334" t="str">
        <f>T("   MOTEURS D'UNE PUISSANCE N'EXCEDANT PAS 37,5 W")</f>
        <v xml:space="preserve">   MOTEURS D'UNE PUISSANCE N'EXCEDANT PAS 37,5 W</v>
      </c>
      <c r="C3334" s="4">
        <v>2</v>
      </c>
      <c r="D3334" s="4">
        <v>1010913</v>
      </c>
    </row>
    <row r="3335" spans="1:4" x14ac:dyDescent="0.25">
      <c r="A3335" t="str">
        <f>T("   850151")</f>
        <v xml:space="preserve">   850151</v>
      </c>
      <c r="B3335" t="str">
        <f>T("   D'UNE PUISSANCE N'EXCEDANT PAS 750 W")</f>
        <v xml:space="preserve">   D'UNE PUISSANCE N'EXCEDANT PAS 750 W</v>
      </c>
      <c r="C3335" s="4">
        <v>25.8</v>
      </c>
      <c r="D3335" s="4">
        <v>397800</v>
      </c>
    </row>
    <row r="3336" spans="1:4" x14ac:dyDescent="0.25">
      <c r="A3336" t="str">
        <f>T("   850152")</f>
        <v xml:space="preserve">   850152</v>
      </c>
      <c r="B3336" t="str">
        <f>T("   D'UNE PUISSANCE EXCEDANT 750 W MAIS N'EXCEDANT PAS 75 KW")</f>
        <v xml:space="preserve">   D'UNE PUISSANCE EXCEDANT 750 W MAIS N'EXCEDANT PAS 75 KW</v>
      </c>
      <c r="C3336" s="4">
        <v>1873</v>
      </c>
      <c r="D3336" s="4">
        <v>16059134</v>
      </c>
    </row>
    <row r="3337" spans="1:4" x14ac:dyDescent="0.25">
      <c r="A3337" t="str">
        <f>T("   850211")</f>
        <v xml:space="preserve">   850211</v>
      </c>
      <c r="B3337" t="str">
        <f>T("   D'UNE PUISSANCE N'EXCEDANT PAS 75 KVA")</f>
        <v xml:space="preserve">   D'UNE PUISSANCE N'EXCEDANT PAS 75 KVA</v>
      </c>
      <c r="C3337" s="4">
        <v>95</v>
      </c>
      <c r="D3337" s="4">
        <v>360000</v>
      </c>
    </row>
    <row r="3338" spans="1:4" x14ac:dyDescent="0.25">
      <c r="A3338" t="str">
        <f>T("   850239")</f>
        <v xml:space="preserve">   850239</v>
      </c>
      <c r="B3338" t="str">
        <f>T("   AUTRES")</f>
        <v xml:space="preserve">   AUTRES</v>
      </c>
      <c r="C3338" s="4">
        <v>18600</v>
      </c>
      <c r="D3338" s="4">
        <v>11664977</v>
      </c>
    </row>
    <row r="3339" spans="1:4" x14ac:dyDescent="0.25">
      <c r="A3339" t="str">
        <f>T("   850300")</f>
        <v xml:space="preserve">   850300</v>
      </c>
      <c r="B3339" t="str">
        <f>T("   PARTIES RECONNAISSABLES COMME ETANT EXCLUSIVEMENT OU PRINCIPALEMENT DESTINEES AUX MACHI")</f>
        <v xml:space="preserve">   PARTIES RECONNAISSABLES COMME ETANT EXCLUSIVEMENT OU PRINCIPALEMENT DESTINEES AUX MACHI</v>
      </c>
      <c r="C3339" s="4">
        <v>56</v>
      </c>
      <c r="D3339" s="4">
        <v>32847656</v>
      </c>
    </row>
    <row r="3340" spans="1:4" x14ac:dyDescent="0.25">
      <c r="A3340" t="str">
        <f>T("   850431")</f>
        <v xml:space="preserve">   850431</v>
      </c>
      <c r="B3340" t="str">
        <f>T("   D'UNE PUISSANCE N'EXCEDANT PAS 1 KVA")</f>
        <v xml:space="preserve">   D'UNE PUISSANCE N'EXCEDANT PAS 1 KVA</v>
      </c>
      <c r="C3340" s="4">
        <v>25</v>
      </c>
      <c r="D3340" s="4">
        <v>12350507</v>
      </c>
    </row>
    <row r="3341" spans="1:4" x14ac:dyDescent="0.25">
      <c r="A3341" t="str">
        <f>T("   850440")</f>
        <v xml:space="preserve">   850440</v>
      </c>
      <c r="B3341" t="str">
        <f>T("   CONVERTISSEURS STATIQUES")</f>
        <v xml:space="preserve">   CONVERTISSEURS STATIQUES</v>
      </c>
      <c r="C3341" s="4">
        <v>17470</v>
      </c>
      <c r="D3341" s="4">
        <v>11217861</v>
      </c>
    </row>
    <row r="3342" spans="1:4" x14ac:dyDescent="0.25">
      <c r="A3342" t="str">
        <f>T("   850490")</f>
        <v xml:space="preserve">   850490</v>
      </c>
      <c r="B3342" t="str">
        <f>T("   PARTIES")</f>
        <v xml:space="preserve">   PARTIES</v>
      </c>
      <c r="C3342" s="4">
        <v>687</v>
      </c>
      <c r="D3342" s="4">
        <v>16997395</v>
      </c>
    </row>
    <row r="3343" spans="1:4" x14ac:dyDescent="0.25">
      <c r="A3343" t="str">
        <f>T("   850520")</f>
        <v xml:space="preserve">   850520</v>
      </c>
      <c r="B3343" t="str">
        <f>T("   ACCOUPLEMENTS, EMBRAYAGES, VARIATEURS DE VITESSE ET FREINS ELECTROMAGNETIQUES")</f>
        <v xml:space="preserve">   ACCOUPLEMENTS, EMBRAYAGES, VARIATEURS DE VITESSE ET FREINS ELECTROMAGNETIQUES</v>
      </c>
      <c r="C3343" s="4">
        <v>14.94</v>
      </c>
      <c r="D3343" s="4">
        <v>558419</v>
      </c>
    </row>
    <row r="3344" spans="1:4" x14ac:dyDescent="0.25">
      <c r="A3344" t="str">
        <f>T("   850590")</f>
        <v xml:space="preserve">   850590</v>
      </c>
      <c r="B3344" t="str">
        <f>T("   AUTRES, Y COMPRIS LES PARTIES")</f>
        <v xml:space="preserve">   AUTRES, Y COMPRIS LES PARTIES</v>
      </c>
      <c r="C3344" s="4">
        <v>1</v>
      </c>
      <c r="D3344" s="4">
        <v>265106</v>
      </c>
    </row>
    <row r="3345" spans="1:4" x14ac:dyDescent="0.25">
      <c r="A3345" t="str">
        <f>T("   850650")</f>
        <v xml:space="preserve">   850650</v>
      </c>
      <c r="B3345" t="str">
        <f>T("   AU LITHIUM")</f>
        <v xml:space="preserve">   AU LITHIUM</v>
      </c>
      <c r="C3345" s="4">
        <v>0.4</v>
      </c>
      <c r="D3345" s="4">
        <v>142999</v>
      </c>
    </row>
    <row r="3346" spans="1:4" x14ac:dyDescent="0.25">
      <c r="A3346" t="str">
        <f>T("   850710")</f>
        <v xml:space="preserve">   850710</v>
      </c>
      <c r="B3346" t="str">
        <f>T("   AU PLOMB, DES TYPES UTILISES POUR LE DEMARRAGE DES MOTEURS A PISTON")</f>
        <v xml:space="preserve">   AU PLOMB, DES TYPES UTILISES POUR LE DEMARRAGE DES MOTEURS A PISTON</v>
      </c>
      <c r="C3346" s="4">
        <v>24</v>
      </c>
      <c r="D3346" s="4">
        <v>170280</v>
      </c>
    </row>
    <row r="3347" spans="1:4" x14ac:dyDescent="0.25">
      <c r="A3347" t="str">
        <f>T("   850860")</f>
        <v xml:space="preserve">   850860</v>
      </c>
      <c r="B3347" t="str">
        <f>T("   AUTRES ASPIRATEURS")</f>
        <v xml:space="preserve">   AUTRES ASPIRATEURS</v>
      </c>
      <c r="C3347" s="4">
        <v>1220</v>
      </c>
      <c r="D3347" s="4">
        <v>4358000</v>
      </c>
    </row>
    <row r="3348" spans="1:4" x14ac:dyDescent="0.25">
      <c r="A3348" t="str">
        <f>T("   850980")</f>
        <v xml:space="preserve">   850980</v>
      </c>
      <c r="B3348" t="str">
        <f>T("   AUTRES APPAREILS")</f>
        <v xml:space="preserve">   AUTRES APPAREILS</v>
      </c>
      <c r="C3348" s="4">
        <v>2000</v>
      </c>
      <c r="D3348" s="4">
        <v>1900000</v>
      </c>
    </row>
    <row r="3349" spans="1:4" x14ac:dyDescent="0.25">
      <c r="A3349" t="str">
        <f>T("   851310")</f>
        <v xml:space="preserve">   851310</v>
      </c>
      <c r="B3349" t="str">
        <f>T("   LAMPES")</f>
        <v xml:space="preserve">   LAMPES</v>
      </c>
      <c r="C3349" s="4">
        <v>2154</v>
      </c>
      <c r="D3349" s="4">
        <v>5565179</v>
      </c>
    </row>
    <row r="3350" spans="1:4" x14ac:dyDescent="0.25">
      <c r="A3350" t="str">
        <f>T("   851640")</f>
        <v xml:space="preserve">   851640</v>
      </c>
      <c r="B3350" t="str">
        <f>T("   Fers a repasser electriques")</f>
        <v xml:space="preserve">   Fers a repasser electriques</v>
      </c>
      <c r="C3350" s="4">
        <v>2000</v>
      </c>
      <c r="D3350" s="4">
        <v>764610</v>
      </c>
    </row>
    <row r="3351" spans="1:4" x14ac:dyDescent="0.25">
      <c r="A3351" t="str">
        <f>T("   851650")</f>
        <v xml:space="preserve">   851650</v>
      </c>
      <c r="B3351" t="str">
        <f>T("   FOURS A MICROONDES")</f>
        <v xml:space="preserve">   FOURS A MICROONDES</v>
      </c>
      <c r="C3351" s="4">
        <v>80</v>
      </c>
      <c r="D3351" s="4">
        <v>555548</v>
      </c>
    </row>
    <row r="3352" spans="1:4" x14ac:dyDescent="0.25">
      <c r="A3352" t="str">
        <f>T("   851660")</f>
        <v xml:space="preserve">   851660</v>
      </c>
      <c r="B3352" t="str">
        <f>T("   AUTRES FOURS; CUISINIERES, RECHAUDS (Y COMPRIS LES TABLES DE CUISSON), GRILS ET ROTIS")</f>
        <v xml:space="preserve">   AUTRES FOURS; CUISINIERES, RECHAUDS (Y COMPRIS LES TABLES DE CUISSON), GRILS ET ROTIS</v>
      </c>
      <c r="C3352" s="4">
        <v>1596</v>
      </c>
      <c r="D3352" s="4">
        <v>3786129</v>
      </c>
    </row>
    <row r="3353" spans="1:4" x14ac:dyDescent="0.25">
      <c r="A3353" t="str">
        <f>T("   851679")</f>
        <v xml:space="preserve">   851679</v>
      </c>
      <c r="B3353" t="str">
        <f>T("   AUTRES")</f>
        <v xml:space="preserve">   AUTRES</v>
      </c>
      <c r="C3353" s="4">
        <v>5020</v>
      </c>
      <c r="D3353" s="4">
        <v>3352335</v>
      </c>
    </row>
    <row r="3354" spans="1:4" x14ac:dyDescent="0.25">
      <c r="A3354" t="str">
        <f>T("   851712")</f>
        <v xml:space="preserve">   851712</v>
      </c>
      <c r="B3354" t="str">
        <f>T("   TELEPHONES POUR RESEAUX CELLULAIRES ET POUR AUTRES RESEAUX SANS FIL")</f>
        <v xml:space="preserve">   TELEPHONES POUR RESEAUX CELLULAIRES ET POUR AUTRES RESEAUX SANS FIL</v>
      </c>
      <c r="C3354" s="4">
        <v>0.75</v>
      </c>
      <c r="D3354" s="4">
        <v>131192</v>
      </c>
    </row>
    <row r="3355" spans="1:4" x14ac:dyDescent="0.25">
      <c r="A3355" t="str">
        <f>T("   851762")</f>
        <v xml:space="preserve">   851762</v>
      </c>
      <c r="B3355" t="str">
        <f>T("   APPAREILS POUR LA RECEPTION, LA CONVERSION ET L'EMISSION, LA TRANSMISSION OU LA REGE")</f>
        <v xml:space="preserve">   APPAREILS POUR LA RECEPTION, LA CONVERSION ET L'EMISSION, LA TRANSMISSION OU LA REGE</v>
      </c>
      <c r="C3355" s="4">
        <v>1</v>
      </c>
      <c r="D3355" s="4">
        <v>697175</v>
      </c>
    </row>
    <row r="3356" spans="1:4" x14ac:dyDescent="0.25">
      <c r="A3356" t="str">
        <f>T("   851770")</f>
        <v xml:space="preserve">   851770</v>
      </c>
      <c r="B3356" t="str">
        <f>T("   PARTIES")</f>
        <v xml:space="preserve">   PARTIES</v>
      </c>
      <c r="C3356" s="4">
        <v>132.69999999999999</v>
      </c>
      <c r="D3356" s="4">
        <v>869725</v>
      </c>
    </row>
    <row r="3357" spans="1:4" x14ac:dyDescent="0.25">
      <c r="A3357" t="str">
        <f>T("   852190")</f>
        <v xml:space="preserve">   852190</v>
      </c>
      <c r="B3357" t="str">
        <f>T("   AUTRES")</f>
        <v xml:space="preserve">   AUTRES</v>
      </c>
      <c r="C3357" s="4">
        <v>150</v>
      </c>
      <c r="D3357" s="4">
        <v>750000</v>
      </c>
    </row>
    <row r="3358" spans="1:4" x14ac:dyDescent="0.25">
      <c r="A3358" t="str">
        <f>T("   852380")</f>
        <v xml:space="preserve">   852380</v>
      </c>
      <c r="B3358" t="str">
        <f>T("   AUTRES")</f>
        <v xml:space="preserve">   AUTRES</v>
      </c>
      <c r="C3358" s="4">
        <v>3</v>
      </c>
      <c r="D3358" s="4">
        <v>3608</v>
      </c>
    </row>
    <row r="3359" spans="1:4" x14ac:dyDescent="0.25">
      <c r="A3359" t="str">
        <f>T("   852550")</f>
        <v xml:space="preserve">   852550</v>
      </c>
      <c r="B3359" t="str">
        <f>T("   APPAREILS D'EMISSION")</f>
        <v xml:space="preserve">   APPAREILS D'EMISSION</v>
      </c>
      <c r="C3359" s="4">
        <v>208</v>
      </c>
      <c r="D3359" s="4">
        <v>738437</v>
      </c>
    </row>
    <row r="3360" spans="1:4" x14ac:dyDescent="0.25">
      <c r="A3360" t="str">
        <f>T("   852580")</f>
        <v xml:space="preserve">   852580</v>
      </c>
      <c r="B3360" t="str">
        <f>T("   CAMERAS DE TELEVISION, APPAREILS PHOTOGRAPHIQUES NUMERIQUES ET CAMESCOPES")</f>
        <v xml:space="preserve">   CAMERAS DE TELEVISION, APPAREILS PHOTOGRAPHIQUES NUMERIQUES ET CAMESCOPES</v>
      </c>
      <c r="C3360" s="4">
        <v>11</v>
      </c>
      <c r="D3360" s="4">
        <v>658868</v>
      </c>
    </row>
    <row r="3361" spans="1:4" x14ac:dyDescent="0.25">
      <c r="A3361" t="str">
        <f>T("   852799")</f>
        <v xml:space="preserve">   852799</v>
      </c>
      <c r="B3361" t="str">
        <f>T("   AUTRES")</f>
        <v xml:space="preserve">   AUTRES</v>
      </c>
      <c r="C3361" s="4">
        <v>60</v>
      </c>
      <c r="D3361" s="4">
        <v>205000</v>
      </c>
    </row>
    <row r="3362" spans="1:4" x14ac:dyDescent="0.25">
      <c r="A3362" t="str">
        <f>T("   852849")</f>
        <v xml:space="preserve">   852849</v>
      </c>
      <c r="B3362" t="str">
        <f>T("   AUTRES")</f>
        <v xml:space="preserve">   AUTRES</v>
      </c>
      <c r="C3362" s="4">
        <v>70</v>
      </c>
      <c r="D3362" s="4">
        <v>140000</v>
      </c>
    </row>
    <row r="3363" spans="1:4" x14ac:dyDescent="0.25">
      <c r="A3363" t="str">
        <f>T("   852859")</f>
        <v xml:space="preserve">   852859</v>
      </c>
      <c r="B3363" t="str">
        <f>T("   AUTRES")</f>
        <v xml:space="preserve">   AUTRES</v>
      </c>
      <c r="C3363" s="4">
        <v>170</v>
      </c>
      <c r="D3363" s="4">
        <v>295329</v>
      </c>
    </row>
    <row r="3364" spans="1:4" x14ac:dyDescent="0.25">
      <c r="A3364" t="str">
        <f>T("   852873")</f>
        <v xml:space="preserve">   852873</v>
      </c>
      <c r="B3364" t="str">
        <f>T("   AUTRES, EN MONOCHROMES")</f>
        <v xml:space="preserve">   AUTRES, EN MONOCHROMES</v>
      </c>
      <c r="C3364" s="4">
        <v>1500</v>
      </c>
      <c r="D3364" s="4">
        <v>295422</v>
      </c>
    </row>
    <row r="3365" spans="1:4" x14ac:dyDescent="0.25">
      <c r="A3365" t="str">
        <f>T("   852910")</f>
        <v xml:space="preserve">   852910</v>
      </c>
      <c r="B3365" t="str">
        <f>T("   ANTENNES ET REFLECTEURS D’ANTENNES DE TOUS TYPES; PARTIES RECONNAISSABLES COMME ETANT")</f>
        <v xml:space="preserve">   ANTENNES ET REFLECTEURS D’ANTENNES DE TOUS TYPES; PARTIES RECONNAISSABLES COMME ETANT</v>
      </c>
      <c r="C3365" s="4">
        <v>2352</v>
      </c>
      <c r="D3365" s="4">
        <v>14905014</v>
      </c>
    </row>
    <row r="3366" spans="1:4" x14ac:dyDescent="0.25">
      <c r="A3366" t="str">
        <f>T("   853590")</f>
        <v xml:space="preserve">   853590</v>
      </c>
      <c r="B3366" t="str">
        <f>T("   AUTRES")</f>
        <v xml:space="preserve">   AUTRES</v>
      </c>
      <c r="C3366" s="4">
        <v>2.5</v>
      </c>
      <c r="D3366" s="4">
        <v>72392</v>
      </c>
    </row>
    <row r="3367" spans="1:4" x14ac:dyDescent="0.25">
      <c r="A3367" t="str">
        <f>T("   853610")</f>
        <v xml:space="preserve">   853610</v>
      </c>
      <c r="B3367" t="str">
        <f>T("   FUSIBLES ET COUPECIRCUIT A FUSIBLES")</f>
        <v xml:space="preserve">   FUSIBLES ET COUPECIRCUIT A FUSIBLES</v>
      </c>
      <c r="C3367" s="4">
        <v>25.5</v>
      </c>
      <c r="D3367" s="4">
        <v>780848</v>
      </c>
    </row>
    <row r="3368" spans="1:4" x14ac:dyDescent="0.25">
      <c r="A3368" t="str">
        <f>T("   853630")</f>
        <v xml:space="preserve">   853630</v>
      </c>
      <c r="B3368" t="str">
        <f>T("   AUTRES APPAREILS POUR LA PROTECTION DES CIRCUITS ELECTRIQUES")</f>
        <v xml:space="preserve">   AUTRES APPAREILS POUR LA PROTECTION DES CIRCUITS ELECTRIQUES</v>
      </c>
      <c r="C3368" s="4">
        <v>4.9000000000000004</v>
      </c>
      <c r="D3368" s="4">
        <v>389758</v>
      </c>
    </row>
    <row r="3369" spans="1:4" x14ac:dyDescent="0.25">
      <c r="A3369" t="str">
        <f>T("   853650")</f>
        <v xml:space="preserve">   853650</v>
      </c>
      <c r="B3369" t="str">
        <f>T("   AUTRES INTERRUPTEURS, SECTIONNEURS ET COMMUTATEURS")</f>
        <v xml:space="preserve">   AUTRES INTERRUPTEURS, SECTIONNEURS ET COMMUTATEURS</v>
      </c>
      <c r="C3369" s="4">
        <v>1860.8</v>
      </c>
      <c r="D3369" s="4">
        <v>39025380</v>
      </c>
    </row>
    <row r="3370" spans="1:4" x14ac:dyDescent="0.25">
      <c r="A3370" t="str">
        <f>T("   853669")</f>
        <v xml:space="preserve">   853669</v>
      </c>
      <c r="B3370" t="str">
        <f>T("   AUTRES")</f>
        <v xml:space="preserve">   AUTRES</v>
      </c>
      <c r="C3370" s="4">
        <v>1</v>
      </c>
      <c r="D3370" s="4">
        <v>89578</v>
      </c>
    </row>
    <row r="3371" spans="1:4" x14ac:dyDescent="0.25">
      <c r="A3371" t="str">
        <f>T("   853690")</f>
        <v xml:space="preserve">   853690</v>
      </c>
      <c r="B3371" t="str">
        <f>T("   AUTRES APPAREILS")</f>
        <v xml:space="preserve">   AUTRES APPAREILS</v>
      </c>
      <c r="C3371" s="4">
        <v>634</v>
      </c>
      <c r="D3371" s="4">
        <v>4426341</v>
      </c>
    </row>
    <row r="3372" spans="1:4" x14ac:dyDescent="0.25">
      <c r="A3372" t="str">
        <f>T("   853720")</f>
        <v xml:space="preserve">   853720</v>
      </c>
      <c r="B3372" t="str">
        <f>T("   POUR UNE TENSION EXCEDANT 1.000 V")</f>
        <v xml:space="preserve">   POUR UNE TENSION EXCEDANT 1.000 V</v>
      </c>
      <c r="C3372" s="4">
        <v>824</v>
      </c>
      <c r="D3372" s="4">
        <v>4644840</v>
      </c>
    </row>
    <row r="3373" spans="1:4" x14ac:dyDescent="0.25">
      <c r="A3373" t="str">
        <f>T("   853890")</f>
        <v xml:space="preserve">   853890</v>
      </c>
      <c r="B3373" t="str">
        <f>T("   AUTRES")</f>
        <v xml:space="preserve">   AUTRES</v>
      </c>
      <c r="C3373" s="4">
        <v>15574</v>
      </c>
      <c r="D3373" s="4">
        <v>168862230</v>
      </c>
    </row>
    <row r="3374" spans="1:4" x14ac:dyDescent="0.25">
      <c r="A3374" t="str">
        <f>T("   853929")</f>
        <v xml:space="preserve">   853929</v>
      </c>
      <c r="B3374" t="str">
        <f>T("   AUTRES")</f>
        <v xml:space="preserve">   AUTRES</v>
      </c>
      <c r="C3374" s="4">
        <v>0.75</v>
      </c>
      <c r="D3374" s="4">
        <v>2297585</v>
      </c>
    </row>
    <row r="3375" spans="1:4" x14ac:dyDescent="0.25">
      <c r="A3375" t="str">
        <f>T("   853939")</f>
        <v xml:space="preserve">   853939</v>
      </c>
      <c r="B3375" t="str">
        <f>T("   AUTRES")</f>
        <v xml:space="preserve">   AUTRES</v>
      </c>
      <c r="C3375" s="4">
        <v>19</v>
      </c>
      <c r="D3375" s="4">
        <v>163465</v>
      </c>
    </row>
    <row r="3376" spans="1:4" x14ac:dyDescent="0.25">
      <c r="A3376" t="str">
        <f>T("   853990")</f>
        <v xml:space="preserve">   853990</v>
      </c>
      <c r="B3376" t="str">
        <f>T("   PARTIES")</f>
        <v xml:space="preserve">   PARTIES</v>
      </c>
      <c r="C3376" s="4">
        <v>68</v>
      </c>
      <c r="D3376" s="4">
        <v>17970366</v>
      </c>
    </row>
    <row r="3377" spans="1:4" x14ac:dyDescent="0.25">
      <c r="A3377" t="str">
        <f>T("   854140")</f>
        <v xml:space="preserve">   854140</v>
      </c>
      <c r="B3377" t="str">
        <f>T("   DISPOSITIFS PHOTOSENSIBLES A SEMICONDUCTEUR, Y COMPRIS LES CELLULES PHOTOVOLTAIQUES")</f>
        <v xml:space="preserve">   DISPOSITIFS PHOTOSENSIBLES A SEMICONDUCTEUR, Y COMPRIS LES CELLULES PHOTOVOLTAIQUES</v>
      </c>
      <c r="C3377" s="4">
        <v>2530</v>
      </c>
      <c r="D3377" s="4">
        <v>7368976</v>
      </c>
    </row>
    <row r="3378" spans="1:4" x14ac:dyDescent="0.25">
      <c r="A3378" t="str">
        <f>T("   854390")</f>
        <v xml:space="preserve">   854390</v>
      </c>
      <c r="B3378" t="str">
        <f>T("   PARTIES")</f>
        <v xml:space="preserve">   PARTIES</v>
      </c>
      <c r="C3378" s="4">
        <v>6.8</v>
      </c>
      <c r="D3378" s="4">
        <v>15000</v>
      </c>
    </row>
    <row r="3379" spans="1:4" x14ac:dyDescent="0.25">
      <c r="A3379" t="str">
        <f>T("   854420")</f>
        <v xml:space="preserve">   854420</v>
      </c>
      <c r="B3379" t="str">
        <f>T("   Cables coaxiaux et autres conducteurs electriques coaxiaux")</f>
        <v xml:space="preserve">   Cables coaxiaux et autres conducteurs electriques coaxiaux</v>
      </c>
      <c r="C3379" s="4">
        <v>5468</v>
      </c>
      <c r="D3379" s="4">
        <v>9357584</v>
      </c>
    </row>
    <row r="3380" spans="1:4" x14ac:dyDescent="0.25">
      <c r="A3380" t="str">
        <f>T("   854442")</f>
        <v xml:space="preserve">   854442</v>
      </c>
      <c r="B3380" t="str">
        <f>T("   MUNIS DE PIECES DE CONNEXION")</f>
        <v xml:space="preserve">   MUNIS DE PIECES DE CONNEXION</v>
      </c>
      <c r="C3380" s="4">
        <v>208.3</v>
      </c>
      <c r="D3380" s="4">
        <v>12510391</v>
      </c>
    </row>
    <row r="3381" spans="1:4" x14ac:dyDescent="0.25">
      <c r="A3381" t="str">
        <f>T("   854449")</f>
        <v xml:space="preserve">   854449</v>
      </c>
      <c r="B3381" t="str">
        <f>T("   AUTRES")</f>
        <v xml:space="preserve">   AUTRES</v>
      </c>
      <c r="C3381" s="4">
        <v>1</v>
      </c>
      <c r="D3381" s="4">
        <v>81673</v>
      </c>
    </row>
    <row r="3382" spans="1:4" x14ac:dyDescent="0.25">
      <c r="A3382" t="str">
        <f>T("   854520")</f>
        <v xml:space="preserve">   854520</v>
      </c>
      <c r="B3382" t="str">
        <f>T("   BALAIS")</f>
        <v xml:space="preserve">   BALAIS</v>
      </c>
      <c r="C3382" s="4">
        <v>6.8</v>
      </c>
      <c r="D3382" s="4">
        <v>2274148</v>
      </c>
    </row>
    <row r="3383" spans="1:4" x14ac:dyDescent="0.25">
      <c r="A3383" t="str">
        <f>T("   854590")</f>
        <v xml:space="preserve">   854590</v>
      </c>
      <c r="B3383" t="str">
        <f>T("   AUTRES")</f>
        <v xml:space="preserve">   AUTRES</v>
      </c>
      <c r="C3383" s="4">
        <v>5</v>
      </c>
      <c r="D3383" s="4">
        <v>4132988</v>
      </c>
    </row>
    <row r="3384" spans="1:4" x14ac:dyDescent="0.25">
      <c r="A3384" t="str">
        <f>T("   870120")</f>
        <v xml:space="preserve">   870120</v>
      </c>
      <c r="B3384" t="str">
        <f>T("   TRACTEURS ROUTIERS POUR SEMIREMORQUES")</f>
        <v xml:space="preserve">   TRACTEURS ROUTIERS POUR SEMIREMORQUES</v>
      </c>
      <c r="C3384" s="4">
        <v>413066</v>
      </c>
      <c r="D3384" s="4">
        <v>130592235</v>
      </c>
    </row>
    <row r="3385" spans="1:4" x14ac:dyDescent="0.25">
      <c r="A3385" t="str">
        <f>T("   870210")</f>
        <v xml:space="preserve">   870210</v>
      </c>
      <c r="B3385" t="str">
        <f>T("   A MOTEUR A PISTON A ALLUMAGE PAR COMPRESSION (DIESEL OU SEMIDIESEL)")</f>
        <v xml:space="preserve">   A MOTEUR A PISTON A ALLUMAGE PAR COMPRESSION (DIESEL OU SEMIDIESEL)</v>
      </c>
      <c r="C3385" s="4">
        <v>10125</v>
      </c>
      <c r="D3385" s="4">
        <v>6483908</v>
      </c>
    </row>
    <row r="3386" spans="1:4" x14ac:dyDescent="0.25">
      <c r="A3386" t="str">
        <f>T("   870290")</f>
        <v xml:space="preserve">   870290</v>
      </c>
      <c r="B3386" t="str">
        <f>T("   AUTRES")</f>
        <v xml:space="preserve">   AUTRES</v>
      </c>
      <c r="C3386" s="4">
        <v>23944</v>
      </c>
      <c r="D3386" s="4">
        <v>20486212</v>
      </c>
    </row>
    <row r="3387" spans="1:4" x14ac:dyDescent="0.25">
      <c r="A3387" t="str">
        <f>T("   870322")</f>
        <v xml:space="preserve">   870322</v>
      </c>
      <c r="B3387" t="str">
        <f>T("   D’UNE CYLINDREE EXCEDANT 1.000 CM³ MAIS N’EXCEDANT PAS 1.500 CM³")</f>
        <v xml:space="preserve">   D’UNE CYLINDREE EXCEDANT 1.000 CM³ MAIS N’EXCEDANT PAS 1.500 CM³</v>
      </c>
      <c r="C3387" s="4">
        <v>451883</v>
      </c>
      <c r="D3387" s="4">
        <v>563383561</v>
      </c>
    </row>
    <row r="3388" spans="1:4" x14ac:dyDescent="0.25">
      <c r="A3388" t="str">
        <f>T("   870323")</f>
        <v xml:space="preserve">   870323</v>
      </c>
      <c r="B3388" t="str">
        <f>T("   D’UNE CYLINDREE EXCEDANT 1.500 CM³ MAIS N’EXCEDANT PAS 3.000 CM³")</f>
        <v xml:space="preserve">   D’UNE CYLINDREE EXCEDANT 1.500 CM³ MAIS N’EXCEDANT PAS 3.000 CM³</v>
      </c>
      <c r="C3388" s="4">
        <v>1751481</v>
      </c>
      <c r="D3388" s="4">
        <v>2069298577</v>
      </c>
    </row>
    <row r="3389" spans="1:4" x14ac:dyDescent="0.25">
      <c r="A3389" t="str">
        <f>T("   870324")</f>
        <v xml:space="preserve">   870324</v>
      </c>
      <c r="B3389" t="str">
        <f>T("   D’UNE CYLINDREE EXCEDANT 3.000 CM³")</f>
        <v xml:space="preserve">   D’UNE CYLINDREE EXCEDANT 3.000 CM³</v>
      </c>
      <c r="C3389" s="4">
        <v>47257</v>
      </c>
      <c r="D3389" s="4">
        <v>177882324</v>
      </c>
    </row>
    <row r="3390" spans="1:4" x14ac:dyDescent="0.25">
      <c r="A3390" t="str">
        <f>T("   870332")</f>
        <v xml:space="preserve">   870332</v>
      </c>
      <c r="B3390" t="str">
        <f>T("   D'UNE CYLINDREE EXCEDANT 1.500 CM³ MAIS N'EXCEDANT PAS 2.500 CM³")</f>
        <v xml:space="preserve">   D'UNE CYLINDREE EXCEDANT 1.500 CM³ MAIS N'EXCEDANT PAS 2.500 CM³</v>
      </c>
      <c r="C3390" s="4">
        <v>14580</v>
      </c>
      <c r="D3390" s="4">
        <v>20320190</v>
      </c>
    </row>
    <row r="3391" spans="1:4" x14ac:dyDescent="0.25">
      <c r="A3391" t="str">
        <f>T("   870333")</f>
        <v xml:space="preserve">   870333</v>
      </c>
      <c r="B3391" t="str">
        <f>T("   D'UNE CYLINDREE EXCEDANT 2.500 CM³")</f>
        <v xml:space="preserve">   D'UNE CYLINDREE EXCEDANT 2.500 CM³</v>
      </c>
      <c r="C3391" s="4">
        <v>36942</v>
      </c>
      <c r="D3391" s="4">
        <v>84679870</v>
      </c>
    </row>
    <row r="3392" spans="1:4" x14ac:dyDescent="0.25">
      <c r="A3392" t="str">
        <f>T("   870421")</f>
        <v xml:space="preserve">   870421</v>
      </c>
      <c r="B3392" t="str">
        <f>T("   D'UN POIDS EN CHARGE MAXIMAL N'EXCEDANT PAS 5 TONNES")</f>
        <v xml:space="preserve">   D'UN POIDS EN CHARGE MAXIMAL N'EXCEDANT PAS 5 TONNES</v>
      </c>
      <c r="C3392" s="4">
        <v>165091</v>
      </c>
      <c r="D3392" s="4">
        <v>275994782</v>
      </c>
    </row>
    <row r="3393" spans="1:4" x14ac:dyDescent="0.25">
      <c r="A3393" t="str">
        <f>T("   870422")</f>
        <v xml:space="preserve">   870422</v>
      </c>
      <c r="B3393" t="str">
        <f>T("   D'UN POIDS EN CHARGE MAXIMAL EXCEDANT 5 TONNES MAIS N'EXCEDANT PAS 20 TONNES")</f>
        <v xml:space="preserve">   D'UN POIDS EN CHARGE MAXIMAL EXCEDANT 5 TONNES MAIS N'EXCEDANT PAS 20 TONNES</v>
      </c>
      <c r="C3393" s="4">
        <v>47940</v>
      </c>
      <c r="D3393" s="4">
        <v>16834884</v>
      </c>
    </row>
    <row r="3394" spans="1:4" x14ac:dyDescent="0.25">
      <c r="A3394" t="str">
        <f>T("   870423")</f>
        <v xml:space="preserve">   870423</v>
      </c>
      <c r="B3394" t="str">
        <f>T("   D'UN POIDS EN CHARGE MAXIMAL EXCEDANT 20 TONNES")</f>
        <v xml:space="preserve">   D'UN POIDS EN CHARGE MAXIMAL EXCEDANT 20 TONNES</v>
      </c>
      <c r="C3394" s="4">
        <v>44870</v>
      </c>
      <c r="D3394" s="4">
        <v>12898132</v>
      </c>
    </row>
    <row r="3395" spans="1:4" x14ac:dyDescent="0.25">
      <c r="A3395" t="str">
        <f>T("   870431")</f>
        <v xml:space="preserve">   870431</v>
      </c>
      <c r="B3395" t="str">
        <f>T("   D'UN POIDS EN CHARGE MAXIMAL N'EXCEDANT PAS 5 TONNES")</f>
        <v xml:space="preserve">   D'UN POIDS EN CHARGE MAXIMAL N'EXCEDANT PAS 5 TONNES</v>
      </c>
      <c r="C3395" s="4">
        <v>100278</v>
      </c>
      <c r="D3395" s="4">
        <v>80481312</v>
      </c>
    </row>
    <row r="3396" spans="1:4" x14ac:dyDescent="0.25">
      <c r="A3396" t="str">
        <f>T("   870432")</f>
        <v xml:space="preserve">   870432</v>
      </c>
      <c r="B3396" t="str">
        <f>T("   D'UN POIDS EN CHARGE MAXIMAL EXCEDANT 5 TONNES")</f>
        <v xml:space="preserve">   D'UN POIDS EN CHARGE MAXIMAL EXCEDANT 5 TONNES</v>
      </c>
      <c r="C3396" s="4">
        <v>8600</v>
      </c>
      <c r="D3396" s="4">
        <v>3411914</v>
      </c>
    </row>
    <row r="3397" spans="1:4" x14ac:dyDescent="0.25">
      <c r="A3397" t="str">
        <f>T("   870490")</f>
        <v xml:space="preserve">   870490</v>
      </c>
      <c r="B3397" t="str">
        <f>T("   AUTRES")</f>
        <v xml:space="preserve">   AUTRES</v>
      </c>
      <c r="C3397" s="4">
        <v>6916</v>
      </c>
      <c r="D3397" s="4">
        <v>5252860</v>
      </c>
    </row>
    <row r="3398" spans="1:4" x14ac:dyDescent="0.25">
      <c r="A3398" t="str">
        <f>T("   870810")</f>
        <v xml:space="preserve">   870810</v>
      </c>
      <c r="B3398" t="str">
        <f>T("   PARECHOCS ET LEURS PARTIES")</f>
        <v xml:space="preserve">   PARECHOCS ET LEURS PARTIES</v>
      </c>
      <c r="C3398" s="4">
        <v>300</v>
      </c>
      <c r="D3398" s="4">
        <v>1015000</v>
      </c>
    </row>
    <row r="3399" spans="1:4" x14ac:dyDescent="0.25">
      <c r="A3399" t="str">
        <f>T("   870891")</f>
        <v xml:space="preserve">   870891</v>
      </c>
      <c r="B3399" t="str">
        <f>T("   RADIATEURS ET LEURS PARTIES")</f>
        <v xml:space="preserve">   RADIATEURS ET LEURS PARTIES</v>
      </c>
      <c r="C3399" s="4">
        <v>590</v>
      </c>
      <c r="D3399" s="4">
        <v>9321697</v>
      </c>
    </row>
    <row r="3400" spans="1:4" x14ac:dyDescent="0.25">
      <c r="A3400" t="str">
        <f>T("   870899")</f>
        <v xml:space="preserve">   870899</v>
      </c>
      <c r="B3400" t="str">
        <f>T("   AUTRES")</f>
        <v xml:space="preserve">   AUTRES</v>
      </c>
      <c r="C3400" s="4">
        <v>21945</v>
      </c>
      <c r="D3400" s="4">
        <v>9768792</v>
      </c>
    </row>
    <row r="3401" spans="1:4" x14ac:dyDescent="0.25">
      <c r="A3401" t="str">
        <f>T("   870919")</f>
        <v xml:space="preserve">   870919</v>
      </c>
      <c r="B3401" t="str">
        <f>T("   AUTRES")</f>
        <v xml:space="preserve">   AUTRES</v>
      </c>
      <c r="C3401" s="4">
        <v>1700</v>
      </c>
      <c r="D3401" s="4">
        <v>3394246</v>
      </c>
    </row>
    <row r="3402" spans="1:4" x14ac:dyDescent="0.25">
      <c r="A3402" t="str">
        <f>T("   871120")</f>
        <v xml:space="preserve">   871120</v>
      </c>
      <c r="B3402" t="str">
        <f>T("   A MOTEUR A PISTON ALTERNATIF, D'UNE CYLINDREE EXCEDANT 50 CM³ MAIS N'EXCEDANT PAS 250")</f>
        <v xml:space="preserve">   A MOTEUR A PISTON ALTERNATIF, D'UNE CYLINDREE EXCEDANT 50 CM³ MAIS N'EXCEDANT PAS 250</v>
      </c>
      <c r="C3402" s="4">
        <v>420</v>
      </c>
      <c r="D3402" s="4">
        <v>1050201</v>
      </c>
    </row>
    <row r="3403" spans="1:4" x14ac:dyDescent="0.25">
      <c r="A3403" t="str">
        <f>T("   871130")</f>
        <v xml:space="preserve">   871130</v>
      </c>
      <c r="B3403" t="str">
        <f>T("   A MOTEUR A PISTON ALTERNATIF, D'UNE CYLINDREE EXCEDANT 250 CM³ MAIS N'EXCEDANT PAS 50")</f>
        <v xml:space="preserve">   A MOTEUR A PISTON ALTERNATIF, D'UNE CYLINDREE EXCEDANT 250 CM³ MAIS N'EXCEDANT PAS 50</v>
      </c>
      <c r="C3403" s="4">
        <v>800</v>
      </c>
      <c r="D3403" s="4">
        <v>165000</v>
      </c>
    </row>
    <row r="3404" spans="1:4" x14ac:dyDescent="0.25">
      <c r="A3404" t="str">
        <f>T("   871190")</f>
        <v xml:space="preserve">   871190</v>
      </c>
      <c r="B3404" t="str">
        <f>T("   AUTRES")</f>
        <v xml:space="preserve">   AUTRES</v>
      </c>
      <c r="C3404" s="4">
        <v>478</v>
      </c>
      <c r="D3404" s="4">
        <v>2337677</v>
      </c>
    </row>
    <row r="3405" spans="1:4" x14ac:dyDescent="0.25">
      <c r="A3405" t="str">
        <f>T("   871200")</f>
        <v xml:space="preserve">   871200</v>
      </c>
      <c r="B3405" t="str">
        <f>T("   BICYCLETTES ET AUTRES CYCLES (Y COMPRIS LES TRIPORTEURS), SANS MOTEUR.")</f>
        <v xml:space="preserve">   BICYCLETTES ET AUTRES CYCLES (Y COMPRIS LES TRIPORTEURS), SANS MOTEUR.</v>
      </c>
      <c r="C3405" s="4">
        <v>23282</v>
      </c>
      <c r="D3405" s="4">
        <v>18859877</v>
      </c>
    </row>
    <row r="3406" spans="1:4" x14ac:dyDescent="0.25">
      <c r="A3406" t="str">
        <f>T("   871411")</f>
        <v xml:space="preserve">   871411</v>
      </c>
      <c r="B3406" t="str">
        <f>T("   SELLES")</f>
        <v xml:space="preserve">   SELLES</v>
      </c>
      <c r="C3406" s="4">
        <v>43135</v>
      </c>
      <c r="D3406" s="4">
        <v>20960000</v>
      </c>
    </row>
    <row r="3407" spans="1:4" x14ac:dyDescent="0.25">
      <c r="A3407" t="str">
        <f>T("   871492")</f>
        <v xml:space="preserve">   871492</v>
      </c>
      <c r="B3407" t="str">
        <f>T("   Jantes et rayons")</f>
        <v xml:space="preserve">   Jantes et rayons</v>
      </c>
      <c r="C3407" s="4">
        <v>1500</v>
      </c>
      <c r="D3407" s="4">
        <v>32000</v>
      </c>
    </row>
    <row r="3408" spans="1:4" x14ac:dyDescent="0.25">
      <c r="A3408" t="str">
        <f>T("   871631")</f>
        <v xml:space="preserve">   871631</v>
      </c>
      <c r="B3408" t="str">
        <f>T("   CITERNES")</f>
        <v xml:space="preserve">   CITERNES</v>
      </c>
      <c r="C3408" s="4">
        <v>12800</v>
      </c>
      <c r="D3408" s="4">
        <v>1200000</v>
      </c>
    </row>
    <row r="3409" spans="1:4" x14ac:dyDescent="0.25">
      <c r="A3409" t="str">
        <f>T("   871639")</f>
        <v xml:space="preserve">   871639</v>
      </c>
      <c r="B3409" t="str">
        <f>T("   AUTRES")</f>
        <v xml:space="preserve">   AUTRES</v>
      </c>
      <c r="C3409" s="4">
        <v>39810</v>
      </c>
      <c r="D3409" s="4">
        <v>14145313</v>
      </c>
    </row>
    <row r="3410" spans="1:4" x14ac:dyDescent="0.25">
      <c r="A3410" t="str">
        <f>T("   871640")</f>
        <v xml:space="preserve">   871640</v>
      </c>
      <c r="B3410" t="str">
        <f>T("   AUTRES REMORQUES ET SEMIREMORQUES")</f>
        <v xml:space="preserve">   AUTRES REMORQUES ET SEMIREMORQUES</v>
      </c>
      <c r="C3410" s="4">
        <v>53385</v>
      </c>
      <c r="D3410" s="4">
        <v>20211914</v>
      </c>
    </row>
    <row r="3411" spans="1:4" x14ac:dyDescent="0.25">
      <c r="A3411" t="str">
        <f>T("   871680")</f>
        <v xml:space="preserve">   871680</v>
      </c>
      <c r="B3411" t="str">
        <f>T("   AUTRES VEHICULES")</f>
        <v xml:space="preserve">   AUTRES VEHICULES</v>
      </c>
      <c r="C3411" s="4">
        <v>83</v>
      </c>
      <c r="D3411" s="4">
        <v>1456644</v>
      </c>
    </row>
    <row r="3412" spans="1:4" x14ac:dyDescent="0.25">
      <c r="A3412" t="str">
        <f>T("   890590")</f>
        <v xml:space="preserve">   890590</v>
      </c>
      <c r="B3412" t="str">
        <f>T("   AUTRES")</f>
        <v xml:space="preserve">   AUTRES</v>
      </c>
      <c r="C3412" s="4">
        <v>41258</v>
      </c>
      <c r="D3412" s="4">
        <v>70602850</v>
      </c>
    </row>
    <row r="3413" spans="1:4" x14ac:dyDescent="0.25">
      <c r="A3413" t="str">
        <f>T("   900190")</f>
        <v xml:space="preserve">   900190</v>
      </c>
      <c r="B3413" t="str">
        <f>T("   AUTRES")</f>
        <v xml:space="preserve">   AUTRES</v>
      </c>
      <c r="C3413" s="4">
        <v>0.2</v>
      </c>
      <c r="D3413" s="4">
        <v>304202</v>
      </c>
    </row>
    <row r="3414" spans="1:4" x14ac:dyDescent="0.25">
      <c r="A3414" t="str">
        <f>T("   900290")</f>
        <v xml:space="preserve">   900290</v>
      </c>
      <c r="B3414" t="str">
        <f>T("   AUTRES")</f>
        <v xml:space="preserve">   AUTRES</v>
      </c>
      <c r="C3414" s="4">
        <v>0.5</v>
      </c>
      <c r="D3414" s="4">
        <v>350256</v>
      </c>
    </row>
    <row r="3415" spans="1:4" x14ac:dyDescent="0.25">
      <c r="A3415" t="str">
        <f>T("   900719")</f>
        <v xml:space="preserve">   900719</v>
      </c>
      <c r="B3415" t="str">
        <f>T("   AUTRES CAMERAS MEME AVEC PRISE ET REPRODUCTION DU SON")</f>
        <v xml:space="preserve">   AUTRES CAMERAS MEME AVEC PRISE ET REPRODUCTION DU SON</v>
      </c>
      <c r="C3415" s="4">
        <v>15.6</v>
      </c>
      <c r="D3415" s="4">
        <v>4479446</v>
      </c>
    </row>
    <row r="3416" spans="1:4" x14ac:dyDescent="0.25">
      <c r="A3416" t="str">
        <f>T("   901180")</f>
        <v xml:space="preserve">   901180</v>
      </c>
      <c r="B3416" t="str">
        <f>T("   Autres microscopes")</f>
        <v xml:space="preserve">   Autres microscopes</v>
      </c>
      <c r="C3416" s="4">
        <v>118</v>
      </c>
      <c r="D3416" s="4">
        <v>312893</v>
      </c>
    </row>
    <row r="3417" spans="1:4" x14ac:dyDescent="0.25">
      <c r="A3417" t="str">
        <f>T("   901819")</f>
        <v xml:space="preserve">   901819</v>
      </c>
      <c r="B3417" t="str">
        <f>T("   AUTRES")</f>
        <v xml:space="preserve">   AUTRES</v>
      </c>
      <c r="C3417" s="4">
        <v>88</v>
      </c>
      <c r="D3417" s="4">
        <v>2968282</v>
      </c>
    </row>
    <row r="3418" spans="1:4" x14ac:dyDescent="0.25">
      <c r="A3418" t="str">
        <f>T("   901831")</f>
        <v xml:space="preserve">   901831</v>
      </c>
      <c r="B3418" t="str">
        <f>T("   SERINGUES, AVEC OU SANS AIGUILLES")</f>
        <v xml:space="preserve">   SERINGUES, AVEC OU SANS AIGUILLES</v>
      </c>
      <c r="C3418" s="4">
        <v>457</v>
      </c>
      <c r="D3418" s="4">
        <v>2430331</v>
      </c>
    </row>
    <row r="3419" spans="1:4" x14ac:dyDescent="0.25">
      <c r="A3419" t="str">
        <f>T("   901839")</f>
        <v xml:space="preserve">   901839</v>
      </c>
      <c r="B3419" t="str">
        <f>T("   AUTRES")</f>
        <v xml:space="preserve">   AUTRES</v>
      </c>
      <c r="C3419" s="4">
        <v>58536</v>
      </c>
      <c r="D3419" s="4">
        <v>302233958</v>
      </c>
    </row>
    <row r="3420" spans="1:4" x14ac:dyDescent="0.25">
      <c r="A3420" t="str">
        <f>T("   901890")</f>
        <v xml:space="preserve">   901890</v>
      </c>
      <c r="B3420" t="str">
        <f>T("   AUTRES INSTRUMENTS ET APPAREILS")</f>
        <v xml:space="preserve">   AUTRES INSTRUMENTS ET APPAREILS</v>
      </c>
      <c r="C3420" s="4">
        <v>8809.0400000000009</v>
      </c>
      <c r="D3420" s="4">
        <v>72408934</v>
      </c>
    </row>
    <row r="3421" spans="1:4" x14ac:dyDescent="0.25">
      <c r="A3421" t="str">
        <f>T("   902214")</f>
        <v xml:space="preserve">   902214</v>
      </c>
      <c r="B3421" t="str">
        <f>T("   AUTRES, POUR USAGES MEDICAUX, CHIRURGICAUX OU VETERINAIRES")</f>
        <v xml:space="preserve">   AUTRES, POUR USAGES MEDICAUX, CHIRURGICAUX OU VETERINAIRES</v>
      </c>
      <c r="C3421" s="4">
        <v>5250</v>
      </c>
      <c r="D3421" s="4">
        <v>1803890</v>
      </c>
    </row>
    <row r="3422" spans="1:4" x14ac:dyDescent="0.25">
      <c r="A3422" t="str">
        <f>T("   902290")</f>
        <v xml:space="preserve">   902290</v>
      </c>
      <c r="B3422" t="str">
        <f>T("   AUTRES, Y COMPRIS LES PARTIES ET ACCESSOIRES")</f>
        <v xml:space="preserve">   AUTRES, Y COMPRIS LES PARTIES ET ACCESSOIRES</v>
      </c>
      <c r="C3422" s="4">
        <v>1475</v>
      </c>
      <c r="D3422" s="4">
        <v>8893028</v>
      </c>
    </row>
    <row r="3423" spans="1:4" x14ac:dyDescent="0.25">
      <c r="A3423" t="str">
        <f>T("   902511")</f>
        <v xml:space="preserve">   902511</v>
      </c>
      <c r="B3423" t="str">
        <f>T("   A LIQUIDE, A LECTURE DIRECTE")</f>
        <v xml:space="preserve">   A LIQUIDE, A LECTURE DIRECTE</v>
      </c>
      <c r="C3423" s="4">
        <v>1</v>
      </c>
      <c r="D3423" s="4">
        <v>486178</v>
      </c>
    </row>
    <row r="3424" spans="1:4" x14ac:dyDescent="0.25">
      <c r="A3424" t="str">
        <f>T("   902519")</f>
        <v xml:space="preserve">   902519</v>
      </c>
      <c r="B3424" t="str">
        <f>T("   AUTRES")</f>
        <v xml:space="preserve">   AUTRES</v>
      </c>
      <c r="C3424" s="4">
        <v>5</v>
      </c>
      <c r="D3424" s="4">
        <v>1263170</v>
      </c>
    </row>
    <row r="3425" spans="1:4" x14ac:dyDescent="0.25">
      <c r="A3425" t="str">
        <f>T("   902580")</f>
        <v xml:space="preserve">   902580</v>
      </c>
      <c r="B3425" t="str">
        <f>T("   AUTRES INSTRUMENTS")</f>
        <v xml:space="preserve">   AUTRES INSTRUMENTS</v>
      </c>
      <c r="C3425" s="4">
        <v>4</v>
      </c>
      <c r="D3425" s="4">
        <v>5248</v>
      </c>
    </row>
    <row r="3426" spans="1:4" x14ac:dyDescent="0.25">
      <c r="A3426" t="str">
        <f>T("   902610")</f>
        <v xml:space="preserve">   902610</v>
      </c>
      <c r="B3426" t="str">
        <f>T("   POUR LA MESURE OU LE CONTROLE DU DEBIT OU DU NIVEAU DES LIQUIDES")</f>
        <v xml:space="preserve">   POUR LA MESURE OU LE CONTROLE DU DEBIT OU DU NIVEAU DES LIQUIDES</v>
      </c>
      <c r="C3426" s="4">
        <v>162.30000000000001</v>
      </c>
      <c r="D3426" s="4">
        <v>30198443</v>
      </c>
    </row>
    <row r="3427" spans="1:4" x14ac:dyDescent="0.25">
      <c r="A3427" t="str">
        <f>T("   902620")</f>
        <v xml:space="preserve">   902620</v>
      </c>
      <c r="B3427" t="str">
        <f>T("   POUR LA MESURE OU LE CONTROLE DE LA PRESSION")</f>
        <v xml:space="preserve">   POUR LA MESURE OU LE CONTROLE DE LA PRESSION</v>
      </c>
      <c r="C3427" s="4">
        <v>109.2</v>
      </c>
      <c r="D3427" s="4">
        <v>18169820</v>
      </c>
    </row>
    <row r="3428" spans="1:4" x14ac:dyDescent="0.25">
      <c r="A3428" t="str">
        <f>T("   902680")</f>
        <v xml:space="preserve">   902680</v>
      </c>
      <c r="B3428" t="str">
        <f>T("   AUTRES INSTRUMENTS ET APPAREILS")</f>
        <v xml:space="preserve">   AUTRES INSTRUMENTS ET APPAREILS</v>
      </c>
      <c r="C3428" s="4">
        <v>73</v>
      </c>
      <c r="D3428" s="4">
        <v>2688799</v>
      </c>
    </row>
    <row r="3429" spans="1:4" x14ac:dyDescent="0.25">
      <c r="A3429" t="str">
        <f>T("   902690")</f>
        <v xml:space="preserve">   902690</v>
      </c>
      <c r="B3429" t="str">
        <f>T("   PARTIES ET ACCESSOIRES")</f>
        <v xml:space="preserve">   PARTIES ET ACCESSOIRES</v>
      </c>
      <c r="C3429" s="4">
        <v>26.45</v>
      </c>
      <c r="D3429" s="4">
        <v>8968659</v>
      </c>
    </row>
    <row r="3430" spans="1:4" x14ac:dyDescent="0.25">
      <c r="A3430" t="str">
        <f>T("   902730")</f>
        <v xml:space="preserve">   902730</v>
      </c>
      <c r="B3430" t="str">
        <f>T("   SPECTROMETRES, SPECTROPHOTOMETRES ET SPECTROGRAPHES UTILISANT LES RAYONNEMENTS OPTIQU")</f>
        <v xml:space="preserve">   SPECTROMETRES, SPECTROPHOTOMETRES ET SPECTROGRAPHES UTILISANT LES RAYONNEMENTS OPTIQU</v>
      </c>
      <c r="C3430" s="4">
        <v>17</v>
      </c>
      <c r="D3430" s="4">
        <v>5096222</v>
      </c>
    </row>
    <row r="3431" spans="1:4" x14ac:dyDescent="0.25">
      <c r="A3431" t="str">
        <f>T("   902780")</f>
        <v xml:space="preserve">   902780</v>
      </c>
      <c r="B3431" t="str">
        <f>T("   AUTRES INSTRUMENTS ET APPAREILS")</f>
        <v xml:space="preserve">   AUTRES INSTRUMENTS ET APPAREILS</v>
      </c>
      <c r="C3431" s="4">
        <v>1475.7</v>
      </c>
      <c r="D3431" s="4">
        <v>14215147</v>
      </c>
    </row>
    <row r="3432" spans="1:4" x14ac:dyDescent="0.25">
      <c r="A3432" t="str">
        <f>T("   902790")</f>
        <v xml:space="preserve">   902790</v>
      </c>
      <c r="B3432" t="str">
        <f>T("   MICROTOMES; PARTIES ET ACCESSOIRES")</f>
        <v xml:space="preserve">   MICROTOMES; PARTIES ET ACCESSOIRES</v>
      </c>
      <c r="C3432" s="4">
        <v>19</v>
      </c>
      <c r="D3432" s="4">
        <v>4503769</v>
      </c>
    </row>
    <row r="3433" spans="1:4" x14ac:dyDescent="0.25">
      <c r="A3433" t="str">
        <f>T("   902830")</f>
        <v xml:space="preserve">   902830</v>
      </c>
      <c r="B3433" t="str">
        <f>T("   COMPTEURS D'ELECTRICITE")</f>
        <v xml:space="preserve">   COMPTEURS D'ELECTRICITE</v>
      </c>
      <c r="C3433" s="4">
        <v>52</v>
      </c>
      <c r="D3433" s="4">
        <v>1287217</v>
      </c>
    </row>
    <row r="3434" spans="1:4" x14ac:dyDescent="0.25">
      <c r="A3434" t="str">
        <f>T("   903149")</f>
        <v xml:space="preserve">   903149</v>
      </c>
      <c r="B3434" t="str">
        <f>T("   AUTRES")</f>
        <v xml:space="preserve">   AUTRES</v>
      </c>
      <c r="C3434" s="4">
        <v>157</v>
      </c>
      <c r="D3434" s="4">
        <v>14525925</v>
      </c>
    </row>
    <row r="3435" spans="1:4" x14ac:dyDescent="0.25">
      <c r="A3435" t="str">
        <f>T("   903180")</f>
        <v xml:space="preserve">   903180</v>
      </c>
      <c r="B3435" t="str">
        <f>T("   AUTRES INSTRUMENTS, APPAREILS ET MACHINES")</f>
        <v xml:space="preserve">   AUTRES INSTRUMENTS, APPAREILS ET MACHINES</v>
      </c>
      <c r="C3435" s="4">
        <v>12</v>
      </c>
      <c r="D3435" s="4">
        <v>3049296</v>
      </c>
    </row>
    <row r="3436" spans="1:4" x14ac:dyDescent="0.25">
      <c r="A3436" t="str">
        <f>T("   903190")</f>
        <v xml:space="preserve">   903190</v>
      </c>
      <c r="B3436" t="str">
        <f>T("   PARTIES ET ACCESSOIRES")</f>
        <v xml:space="preserve">   PARTIES ET ACCESSOIRES</v>
      </c>
      <c r="C3436" s="4">
        <v>95.8</v>
      </c>
      <c r="D3436" s="4">
        <v>31657701</v>
      </c>
    </row>
    <row r="3437" spans="1:4" x14ac:dyDescent="0.25">
      <c r="A3437" t="str">
        <f>T("   903281")</f>
        <v xml:space="preserve">   903281</v>
      </c>
      <c r="B3437" t="str">
        <f>T("   HYDRAULIQUES OU PNEUMATIQUES")</f>
        <v xml:space="preserve">   HYDRAULIQUES OU PNEUMATIQUES</v>
      </c>
      <c r="C3437" s="4">
        <v>12</v>
      </c>
      <c r="D3437" s="4">
        <v>3018322</v>
      </c>
    </row>
    <row r="3438" spans="1:4" x14ac:dyDescent="0.25">
      <c r="A3438" t="str">
        <f>T("   903289")</f>
        <v xml:space="preserve">   903289</v>
      </c>
      <c r="B3438" t="str">
        <f>T("   AUTRES")</f>
        <v xml:space="preserve">   AUTRES</v>
      </c>
      <c r="C3438" s="4">
        <v>14</v>
      </c>
      <c r="D3438" s="4">
        <v>8152219</v>
      </c>
    </row>
    <row r="3439" spans="1:4" x14ac:dyDescent="0.25">
      <c r="A3439" t="str">
        <f>T("   903290")</f>
        <v xml:space="preserve">   903290</v>
      </c>
      <c r="B3439" t="str">
        <f>T("   PARTIES ET ACCESSOIRES")</f>
        <v xml:space="preserve">   PARTIES ET ACCESSOIRES</v>
      </c>
      <c r="C3439" s="4">
        <v>1675</v>
      </c>
      <c r="D3439" s="4">
        <v>5365484</v>
      </c>
    </row>
    <row r="3440" spans="1:4" x14ac:dyDescent="0.25">
      <c r="A3440" t="str">
        <f>T("   940130")</f>
        <v xml:space="preserve">   940130</v>
      </c>
      <c r="B3440" t="str">
        <f>T("   SIEGES PIVOTANTS, AJUSTABLES EN HAUTEUR")</f>
        <v xml:space="preserve">   SIEGES PIVOTANTS, AJUSTABLES EN HAUTEUR</v>
      </c>
      <c r="C3440" s="4">
        <v>356</v>
      </c>
      <c r="D3440" s="4">
        <v>4905341</v>
      </c>
    </row>
    <row r="3441" spans="1:4" x14ac:dyDescent="0.25">
      <c r="A3441" t="str">
        <f>T("   940180")</f>
        <v xml:space="preserve">   940180</v>
      </c>
      <c r="B3441" t="str">
        <f>T("   AUTRES SIEGES")</f>
        <v xml:space="preserve">   AUTRES SIEGES</v>
      </c>
      <c r="C3441" s="4">
        <v>6275</v>
      </c>
      <c r="D3441" s="4">
        <v>1500817</v>
      </c>
    </row>
    <row r="3442" spans="1:4" x14ac:dyDescent="0.25">
      <c r="A3442" t="str">
        <f>T("   940210")</f>
        <v xml:space="preserve">   940210</v>
      </c>
      <c r="B3442" t="str">
        <f>T("   FAUTEUILS DE DENTISTES, FAUTEUILS POUR SALONS DE COIFFURE ET FAUTEUILS SIMILAIRES, ET")</f>
        <v xml:space="preserve">   FAUTEUILS DE DENTISTES, FAUTEUILS POUR SALONS DE COIFFURE ET FAUTEUILS SIMILAIRES, ET</v>
      </c>
      <c r="C3442" s="4">
        <v>3323</v>
      </c>
      <c r="D3442" s="4">
        <v>8856772</v>
      </c>
    </row>
    <row r="3443" spans="1:4" x14ac:dyDescent="0.25">
      <c r="A3443" t="str">
        <f>T("   940320")</f>
        <v xml:space="preserve">   940320</v>
      </c>
      <c r="B3443" t="str">
        <f>T("   AUTRES MEUBLES EN METAL")</f>
        <v xml:space="preserve">   AUTRES MEUBLES EN METAL</v>
      </c>
      <c r="C3443" s="4">
        <v>1471</v>
      </c>
      <c r="D3443" s="4">
        <v>3105264</v>
      </c>
    </row>
    <row r="3444" spans="1:4" x14ac:dyDescent="0.25">
      <c r="A3444" t="str">
        <f>T("   940330")</f>
        <v xml:space="preserve">   940330</v>
      </c>
      <c r="B3444" t="str">
        <f>T("   MEUBLES EN BOIS DES TYPES UTILISES DANS LES BUREAUX")</f>
        <v xml:space="preserve">   MEUBLES EN BOIS DES TYPES UTILISES DANS LES BUREAUX</v>
      </c>
      <c r="C3444" s="4">
        <v>200</v>
      </c>
      <c r="D3444" s="4">
        <v>457860</v>
      </c>
    </row>
    <row r="3445" spans="1:4" x14ac:dyDescent="0.25">
      <c r="A3445" t="str">
        <f>T("   940340")</f>
        <v xml:space="preserve">   940340</v>
      </c>
      <c r="B3445" t="str">
        <f>T("   MEUBLES EN BOIS DES TYPES UTILISES DANS LES CUISINES")</f>
        <v xml:space="preserve">   MEUBLES EN BOIS DES TYPES UTILISES DANS LES CUISINES</v>
      </c>
      <c r="C3445" s="4">
        <v>8504</v>
      </c>
      <c r="D3445" s="4">
        <v>14251369</v>
      </c>
    </row>
    <row r="3446" spans="1:4" x14ac:dyDescent="0.25">
      <c r="A3446" t="str">
        <f>T("   940350")</f>
        <v xml:space="preserve">   940350</v>
      </c>
      <c r="B3446" t="str">
        <f>T("   MEUBLES EN BOIS DES TYPES UTILISES DANS LES CHAMBRES A COUCHER")</f>
        <v xml:space="preserve">   MEUBLES EN BOIS DES TYPES UTILISES DANS LES CHAMBRES A COUCHER</v>
      </c>
      <c r="C3446" s="4">
        <v>12550</v>
      </c>
      <c r="D3446" s="4">
        <v>11749537</v>
      </c>
    </row>
    <row r="3447" spans="1:4" x14ac:dyDescent="0.25">
      <c r="A3447" t="str">
        <f>T("   940360")</f>
        <v xml:space="preserve">   940360</v>
      </c>
      <c r="B3447" t="str">
        <f>T("   Autres meubles en bois")</f>
        <v xml:space="preserve">   Autres meubles en bois</v>
      </c>
      <c r="C3447" s="4">
        <v>57412</v>
      </c>
      <c r="D3447" s="4">
        <v>15630911</v>
      </c>
    </row>
    <row r="3448" spans="1:4" x14ac:dyDescent="0.25">
      <c r="A3448" t="str">
        <f>T("   940381")</f>
        <v xml:space="preserve">   940381</v>
      </c>
      <c r="B3448" t="str">
        <f>T("   EN BAMBOU OU EN ROTIN")</f>
        <v xml:space="preserve">   EN BAMBOU OU EN ROTIN</v>
      </c>
      <c r="C3448" s="4">
        <v>1545</v>
      </c>
      <c r="D3448" s="4">
        <v>200000</v>
      </c>
    </row>
    <row r="3449" spans="1:4" x14ac:dyDescent="0.25">
      <c r="A3449" t="str">
        <f>T("   940389")</f>
        <v xml:space="preserve">   940389</v>
      </c>
      <c r="B3449" t="str">
        <f>T("   AUTRES")</f>
        <v xml:space="preserve">   AUTRES</v>
      </c>
      <c r="C3449" s="4">
        <v>49310</v>
      </c>
      <c r="D3449" s="4">
        <v>34844853</v>
      </c>
    </row>
    <row r="3450" spans="1:4" x14ac:dyDescent="0.25">
      <c r="A3450" t="str">
        <f>T("   940429")</f>
        <v xml:space="preserve">   940429</v>
      </c>
      <c r="B3450" t="str">
        <f>T("   EN AUTRES MATIERES")</f>
        <v xml:space="preserve">   EN AUTRES MATIERES</v>
      </c>
      <c r="C3450" s="4">
        <v>10910</v>
      </c>
      <c r="D3450" s="4">
        <v>4054816</v>
      </c>
    </row>
    <row r="3451" spans="1:4" x14ac:dyDescent="0.25">
      <c r="A3451" t="str">
        <f>T("   940490")</f>
        <v xml:space="preserve">   940490</v>
      </c>
      <c r="B3451" t="str">
        <f>T("   AUTRES")</f>
        <v xml:space="preserve">   AUTRES</v>
      </c>
      <c r="C3451" s="4">
        <v>30</v>
      </c>
      <c r="D3451" s="4">
        <v>20000</v>
      </c>
    </row>
    <row r="3452" spans="1:4" x14ac:dyDescent="0.25">
      <c r="A3452" t="str">
        <f>T("   950300")</f>
        <v xml:space="preserve">   950300</v>
      </c>
      <c r="B3452" t="str">
        <f>T("   TRICYCLES, TROTTINETTES, AUTOS A PEDALES ET JOUETS A ROUES SIMILAIRES; LANDAUS ET POUSS")</f>
        <v xml:space="preserve">   TRICYCLES, TROTTINETTES, AUTOS A PEDALES ET JOUETS A ROUES SIMILAIRES; LANDAUS ET POUSS</v>
      </c>
      <c r="C3452" s="4">
        <v>3067</v>
      </c>
      <c r="D3452" s="4">
        <v>699909</v>
      </c>
    </row>
    <row r="3453" spans="1:4" x14ac:dyDescent="0.25">
      <c r="A3453" t="str">
        <f>T("   950490")</f>
        <v xml:space="preserve">   950490</v>
      </c>
      <c r="B3453" t="str">
        <f>T("   AUTRES")</f>
        <v xml:space="preserve">   AUTRES</v>
      </c>
      <c r="C3453" s="4">
        <v>400</v>
      </c>
      <c r="D3453" s="4">
        <v>258448</v>
      </c>
    </row>
    <row r="3454" spans="1:4" x14ac:dyDescent="0.25">
      <c r="A3454" t="str">
        <f>T("   950510")</f>
        <v xml:space="preserve">   950510</v>
      </c>
      <c r="B3454" t="str">
        <f>T("   ARTICLES POUR FETES DE NOëL")</f>
        <v xml:space="preserve">   ARTICLES POUR FETES DE NOëL</v>
      </c>
      <c r="C3454" s="4">
        <v>500</v>
      </c>
      <c r="D3454" s="4">
        <v>60000</v>
      </c>
    </row>
    <row r="3455" spans="1:4" x14ac:dyDescent="0.25">
      <c r="A3455" t="str">
        <f>T("   950699")</f>
        <v xml:space="preserve">   950699</v>
      </c>
      <c r="B3455" t="str">
        <f>T("   AUTRES")</f>
        <v xml:space="preserve">   AUTRES</v>
      </c>
      <c r="C3455" s="4">
        <v>2345</v>
      </c>
      <c r="D3455" s="4">
        <v>426406</v>
      </c>
    </row>
    <row r="3456" spans="1:4" x14ac:dyDescent="0.25">
      <c r="A3456" t="str">
        <f>T("   960629")</f>
        <v xml:space="preserve">   960629</v>
      </c>
      <c r="B3456" t="str">
        <f>T("   AUTRES")</f>
        <v xml:space="preserve">   AUTRES</v>
      </c>
      <c r="C3456" s="4">
        <v>10130</v>
      </c>
      <c r="D3456" s="4">
        <v>3230342</v>
      </c>
    </row>
    <row r="3457" spans="1:4" x14ac:dyDescent="0.25">
      <c r="A3457" t="str">
        <f>T("   960810")</f>
        <v xml:space="preserve">   960810</v>
      </c>
      <c r="B3457" t="str">
        <f>T("   STYLOS ET CRAYONS A BILLE")</f>
        <v xml:space="preserve">   STYLOS ET CRAYONS A BILLE</v>
      </c>
      <c r="C3457" s="4">
        <v>11719</v>
      </c>
      <c r="D3457" s="4">
        <v>4573350</v>
      </c>
    </row>
    <row r="3458" spans="1:4" x14ac:dyDescent="0.25">
      <c r="A3458" t="str">
        <f>T("   961210")</f>
        <v xml:space="preserve">   961210</v>
      </c>
      <c r="B3458" t="str">
        <f>T("   Rubans encreurs")</f>
        <v xml:space="preserve">   Rubans encreurs</v>
      </c>
      <c r="C3458" s="4">
        <v>17</v>
      </c>
      <c r="D3458" s="4">
        <v>3033068</v>
      </c>
    </row>
    <row r="3459" spans="1:4" x14ac:dyDescent="0.25">
      <c r="A3459" t="str">
        <f>T("   961380")</f>
        <v xml:space="preserve">   961380</v>
      </c>
      <c r="B3459" t="str">
        <f>T("   Autres briquets et allumeurs")</f>
        <v xml:space="preserve">   Autres briquets et allumeurs</v>
      </c>
      <c r="C3459" s="4">
        <v>1</v>
      </c>
      <c r="D3459" s="4">
        <v>55574</v>
      </c>
    </row>
    <row r="3460" spans="1:4" s="5" customFormat="1" x14ac:dyDescent="0.25">
      <c r="A3460" s="5" t="str">
        <f>T("   ZZ_Total_Produit_SH6")</f>
        <v xml:space="preserve">   ZZ_Total_Produit_SH6</v>
      </c>
      <c r="B3460" s="5" t="str">
        <f>T("   ZZ_Total_Produit_SH6")</f>
        <v xml:space="preserve">   ZZ_Total_Produit_SH6</v>
      </c>
      <c r="C3460" s="1">
        <v>26821291.879999999</v>
      </c>
      <c r="D3460" s="1">
        <v>17704729547.226002</v>
      </c>
    </row>
    <row r="3461" spans="1:4" s="5" customFormat="1" x14ac:dyDescent="0.25">
      <c r="B3461" s="5" t="str">
        <f>T("Djibouti")</f>
        <v>Djibouti</v>
      </c>
      <c r="C3461" s="1"/>
      <c r="D3461" s="1"/>
    </row>
    <row r="3462" spans="1:4" x14ac:dyDescent="0.25">
      <c r="A3462" t="str">
        <f>T("   220410")</f>
        <v xml:space="preserve">   220410</v>
      </c>
      <c r="B3462" t="str">
        <f>T("   Vins mousseux")</f>
        <v xml:space="preserve">   Vins mousseux</v>
      </c>
      <c r="C3462" s="4">
        <v>311</v>
      </c>
      <c r="D3462" s="4">
        <v>125000</v>
      </c>
    </row>
    <row r="3463" spans="1:4" x14ac:dyDescent="0.25">
      <c r="A3463" t="str">
        <f>T("   490199")</f>
        <v xml:space="preserve">   490199</v>
      </c>
      <c r="B3463" t="str">
        <f>T("   AUTRES")</f>
        <v xml:space="preserve">   AUTRES</v>
      </c>
      <c r="C3463" s="4">
        <v>153</v>
      </c>
      <c r="D3463" s="4">
        <v>200000</v>
      </c>
    </row>
    <row r="3464" spans="1:4" x14ac:dyDescent="0.25">
      <c r="A3464" t="str">
        <f>T("   621040")</f>
        <v xml:space="preserve">   621040</v>
      </c>
      <c r="B3464" t="str">
        <f>T("   AUTRES VETEMENTS POUR HOMMES OU GARCONNETS")</f>
        <v xml:space="preserve">   AUTRES VETEMENTS POUR HOMMES OU GARCONNETS</v>
      </c>
      <c r="C3464" s="4">
        <v>858</v>
      </c>
      <c r="D3464" s="4">
        <v>970897</v>
      </c>
    </row>
    <row r="3465" spans="1:4" x14ac:dyDescent="0.25">
      <c r="A3465" t="str">
        <f>T("   621050")</f>
        <v xml:space="preserve">   621050</v>
      </c>
      <c r="B3465" t="str">
        <f>T("   AUTRES VETEMENTS POUR FEMMES OU FILLETTES")</f>
        <v xml:space="preserve">   AUTRES VETEMENTS POUR FEMMES OU FILLETTES</v>
      </c>
      <c r="C3465" s="4">
        <v>938</v>
      </c>
      <c r="D3465" s="4">
        <v>507482</v>
      </c>
    </row>
    <row r="3466" spans="1:4" x14ac:dyDescent="0.25">
      <c r="A3466" t="str">
        <f>T("   621111")</f>
        <v xml:space="preserve">   621111</v>
      </c>
      <c r="B3466" t="str">
        <f>T("   POUR HOMMES OU GARCONNETS")</f>
        <v xml:space="preserve">   POUR HOMMES OU GARCONNETS</v>
      </c>
      <c r="C3466" s="4">
        <v>57</v>
      </c>
      <c r="D3466" s="4">
        <v>20000</v>
      </c>
    </row>
    <row r="3467" spans="1:4" x14ac:dyDescent="0.25">
      <c r="A3467" t="str">
        <f>T("   640590")</f>
        <v xml:space="preserve">   640590</v>
      </c>
      <c r="B3467" t="str">
        <f>T("   AUTRES")</f>
        <v xml:space="preserve">   AUTRES</v>
      </c>
      <c r="C3467" s="4">
        <v>90</v>
      </c>
      <c r="D3467" s="4">
        <v>80000</v>
      </c>
    </row>
    <row r="3468" spans="1:4" x14ac:dyDescent="0.25">
      <c r="A3468" t="str">
        <f>T("   701349")</f>
        <v xml:space="preserve">   701349</v>
      </c>
      <c r="B3468" t="str">
        <f>T("   AUTRES")</f>
        <v xml:space="preserve">   AUTRES</v>
      </c>
      <c r="C3468" s="4">
        <v>1034</v>
      </c>
      <c r="D3468" s="4">
        <v>1170055</v>
      </c>
    </row>
    <row r="3469" spans="1:4" x14ac:dyDescent="0.25">
      <c r="A3469" t="str">
        <f>T("   841090")</f>
        <v xml:space="preserve">   841090</v>
      </c>
      <c r="B3469" t="str">
        <f>T("   PARTIES, Y COMPRIS LES REGULATEURS")</f>
        <v xml:space="preserve">   PARTIES, Y COMPRIS LES REGULATEURS</v>
      </c>
      <c r="C3469" s="4">
        <v>23</v>
      </c>
      <c r="D3469" s="4">
        <v>139037</v>
      </c>
    </row>
    <row r="3470" spans="1:4" x14ac:dyDescent="0.25">
      <c r="A3470" t="str">
        <f>T("   847180")</f>
        <v xml:space="preserve">   847180</v>
      </c>
      <c r="B3470" t="str">
        <f>T("   AUTRES UNITES DE MACHINES AUTOMATIQUES DE TRAITEMENT DE L'INFORMATION")</f>
        <v xml:space="preserve">   AUTRES UNITES DE MACHINES AUTOMATIQUES DE TRAITEMENT DE L'INFORMATION</v>
      </c>
      <c r="C3470" s="4">
        <v>2</v>
      </c>
      <c r="D3470" s="4">
        <v>100000</v>
      </c>
    </row>
    <row r="3471" spans="1:4" x14ac:dyDescent="0.25">
      <c r="A3471" t="str">
        <f>T("   852849")</f>
        <v xml:space="preserve">   852849</v>
      </c>
      <c r="B3471" t="str">
        <f>T("   AUTRES")</f>
        <v xml:space="preserve">   AUTRES</v>
      </c>
      <c r="C3471" s="4">
        <v>1034</v>
      </c>
      <c r="D3471" s="4">
        <v>1170055</v>
      </c>
    </row>
    <row r="3472" spans="1:4" x14ac:dyDescent="0.25">
      <c r="A3472" t="str">
        <f>T("   901490")</f>
        <v xml:space="preserve">   901490</v>
      </c>
      <c r="B3472" t="str">
        <f>T("   PARTIES ET ACCESSOIRES")</f>
        <v xml:space="preserve">   PARTIES ET ACCESSOIRES</v>
      </c>
      <c r="C3472" s="4">
        <v>15</v>
      </c>
      <c r="D3472" s="4">
        <v>280000</v>
      </c>
    </row>
    <row r="3473" spans="1:4" x14ac:dyDescent="0.25">
      <c r="A3473" t="str">
        <f>T("   901890")</f>
        <v xml:space="preserve">   901890</v>
      </c>
      <c r="B3473" t="str">
        <f>T("   AUTRES INSTRUMENTS ET APPAREILS")</f>
        <v xml:space="preserve">   AUTRES INSTRUMENTS ET APPAREILS</v>
      </c>
      <c r="C3473" s="4">
        <v>10</v>
      </c>
      <c r="D3473" s="4">
        <v>1497000</v>
      </c>
    </row>
    <row r="3474" spans="1:4" x14ac:dyDescent="0.25">
      <c r="A3474" t="str">
        <f>T("   940389")</f>
        <v xml:space="preserve">   940389</v>
      </c>
      <c r="B3474" t="str">
        <f>T("   AUTRES")</f>
        <v xml:space="preserve">   AUTRES</v>
      </c>
      <c r="C3474" s="4">
        <v>1474</v>
      </c>
      <c r="D3474" s="4">
        <v>1667952</v>
      </c>
    </row>
    <row r="3475" spans="1:4" s="5" customFormat="1" x14ac:dyDescent="0.25">
      <c r="A3475" s="5" t="str">
        <f>T("   ZZ_Total_Produit_SH6")</f>
        <v xml:space="preserve">   ZZ_Total_Produit_SH6</v>
      </c>
      <c r="B3475" s="5" t="str">
        <f>T("   ZZ_Total_Produit_SH6")</f>
        <v xml:space="preserve">   ZZ_Total_Produit_SH6</v>
      </c>
      <c r="C3475" s="1">
        <v>5999</v>
      </c>
      <c r="D3475" s="1">
        <v>7927478</v>
      </c>
    </row>
    <row r="3476" spans="1:4" s="5" customFormat="1" x14ac:dyDescent="0.25">
      <c r="B3476" s="5" t="str">
        <f>T("Danemark")</f>
        <v>Danemark</v>
      </c>
      <c r="C3476" s="1"/>
      <c r="D3476" s="1"/>
    </row>
    <row r="3477" spans="1:4" x14ac:dyDescent="0.25">
      <c r="A3477" t="str">
        <f>T("   020712")</f>
        <v xml:space="preserve">   020712</v>
      </c>
      <c r="B3477" t="str">
        <f>T("   NON DECOUPES EN MORCEAUX, CONGELES")</f>
        <v xml:space="preserve">   NON DECOUPES EN MORCEAUX, CONGELES</v>
      </c>
      <c r="C3477" s="4">
        <v>2081540</v>
      </c>
      <c r="D3477" s="4">
        <v>1293140688</v>
      </c>
    </row>
    <row r="3478" spans="1:4" x14ac:dyDescent="0.25">
      <c r="A3478" t="str">
        <f>T("   020714")</f>
        <v xml:space="preserve">   020714</v>
      </c>
      <c r="B3478" t="str">
        <f>T("   MORCEAUX ET ABATS, CONGELES")</f>
        <v xml:space="preserve">   MORCEAUX ET ABATS, CONGELES</v>
      </c>
      <c r="C3478" s="4">
        <v>1946668</v>
      </c>
      <c r="D3478" s="4">
        <v>1204194481</v>
      </c>
    </row>
    <row r="3479" spans="1:4" x14ac:dyDescent="0.25">
      <c r="A3479" t="str">
        <f>T("   020725")</f>
        <v xml:space="preserve">   020725</v>
      </c>
      <c r="B3479" t="str">
        <f>T("   NON DECOUPES EN MORCEAUX, CONGELES")</f>
        <v xml:space="preserve">   NON DECOUPES EN MORCEAUX, CONGELES</v>
      </c>
      <c r="C3479" s="4">
        <v>25000</v>
      </c>
      <c r="D3479" s="4">
        <v>15550188</v>
      </c>
    </row>
    <row r="3480" spans="1:4" x14ac:dyDescent="0.25">
      <c r="A3480" t="str">
        <f>T("   020727")</f>
        <v xml:space="preserve">   020727</v>
      </c>
      <c r="B3480" t="str">
        <f>T("   MORCEAUX ET ABATS, CONGELES")</f>
        <v xml:space="preserve">   MORCEAUX ET ABATS, CONGELES</v>
      </c>
      <c r="C3480" s="4">
        <v>2803692</v>
      </c>
      <c r="D3480" s="4">
        <v>1730893860</v>
      </c>
    </row>
    <row r="3481" spans="1:4" x14ac:dyDescent="0.25">
      <c r="A3481" t="str">
        <f>T("   030219")</f>
        <v xml:space="preserve">   030219</v>
      </c>
      <c r="B3481" t="str">
        <f>T("   AUTRES")</f>
        <v xml:space="preserve">   AUTRES</v>
      </c>
      <c r="C3481" s="4">
        <v>429000</v>
      </c>
      <c r="D3481" s="4">
        <v>171600000</v>
      </c>
    </row>
    <row r="3482" spans="1:4" x14ac:dyDescent="0.25">
      <c r="A3482" t="str">
        <f>T("   030269")</f>
        <v xml:space="preserve">   030269</v>
      </c>
      <c r="B3482" t="str">
        <f>T("   Autres poissons entiers,frais ou refrigeres.(foies,oeufs laitances exclus)")</f>
        <v xml:space="preserve">   Autres poissons entiers,frais ou refrigeres.(foies,oeufs laitances exclus)</v>
      </c>
      <c r="C3482" s="4">
        <v>28000</v>
      </c>
      <c r="D3482" s="4">
        <v>11200000</v>
      </c>
    </row>
    <row r="3483" spans="1:4" x14ac:dyDescent="0.25">
      <c r="A3483" t="str">
        <f>T("   030379")</f>
        <v xml:space="preserve">   030379</v>
      </c>
      <c r="B3483" t="str">
        <f>T("   AUTRES POISSONS ENTIERS CONGELES.(FOIES,OEUFS,LAITANCES EXCLUS)")</f>
        <v xml:space="preserve">   AUTRES POISSONS ENTIERS CONGELES.(FOIES,OEUFS,LAITANCES EXCLUS)</v>
      </c>
      <c r="C3483" s="4">
        <v>216090</v>
      </c>
      <c r="D3483" s="4">
        <v>73025000</v>
      </c>
    </row>
    <row r="3484" spans="1:4" x14ac:dyDescent="0.25">
      <c r="A3484" t="str">
        <f>T("   050400")</f>
        <v xml:space="preserve">   050400</v>
      </c>
      <c r="B3484" t="str">
        <f>T("   BOYAUX, VESSIES ET ESTOMACS D'ANIMAUX, ENTIERS OU EN MORCEAUX, AUTRES QUE CEUX DE POISS")</f>
        <v xml:space="preserve">   BOYAUX, VESSIES ET ESTOMACS D'ANIMAUX, ENTIERS OU EN MORCEAUX, AUTRES QUE CEUX DE POISS</v>
      </c>
      <c r="C3484" s="4">
        <v>333286</v>
      </c>
      <c r="D3484" s="4">
        <v>396984000</v>
      </c>
    </row>
    <row r="3485" spans="1:4" x14ac:dyDescent="0.25">
      <c r="A3485" t="str">
        <f>T("   160100")</f>
        <v xml:space="preserve">   160100</v>
      </c>
      <c r="B3485" t="str">
        <f>T("   SAUCISSES, SAUCISSONS ET PRODUITS SIMILAIRES, DE VIANDE, D'ABATS OU DE SANG; PREPARATIO")</f>
        <v xml:space="preserve">   SAUCISSES, SAUCISSONS ET PRODUITS SIMILAIRES, DE VIANDE, D'ABATS OU DE SANG; PREPARATIO</v>
      </c>
      <c r="C3485" s="4">
        <v>684980</v>
      </c>
      <c r="D3485" s="4">
        <v>501991266</v>
      </c>
    </row>
    <row r="3486" spans="1:4" x14ac:dyDescent="0.25">
      <c r="A3486" t="str">
        <f>T("   190531")</f>
        <v xml:space="preserve">   190531</v>
      </c>
      <c r="B3486" t="str">
        <f>T("   BISCUITS ADDITIONNES D’EDULCORANTS")</f>
        <v xml:space="preserve">   BISCUITS ADDITIONNES D’EDULCORANTS</v>
      </c>
      <c r="C3486" s="4">
        <v>2511</v>
      </c>
      <c r="D3486" s="4">
        <v>6487674</v>
      </c>
    </row>
    <row r="3487" spans="1:4" x14ac:dyDescent="0.25">
      <c r="A3487" t="str">
        <f>T("   190590")</f>
        <v xml:space="preserve">   190590</v>
      </c>
      <c r="B3487" t="str">
        <f>T("   AUTRES")</f>
        <v xml:space="preserve">   AUTRES</v>
      </c>
      <c r="C3487" s="4">
        <v>453</v>
      </c>
      <c r="D3487" s="4">
        <v>2360789</v>
      </c>
    </row>
    <row r="3488" spans="1:4" x14ac:dyDescent="0.25">
      <c r="A3488" t="str">
        <f>T("   200799")</f>
        <v xml:space="preserve">   200799</v>
      </c>
      <c r="B3488" t="str">
        <f>T("   AUTRES")</f>
        <v xml:space="preserve">   AUTRES</v>
      </c>
      <c r="C3488" s="4">
        <v>20</v>
      </c>
      <c r="D3488" s="4">
        <v>40000</v>
      </c>
    </row>
    <row r="3489" spans="1:4" x14ac:dyDescent="0.25">
      <c r="A3489" t="str">
        <f>T("   220290")</f>
        <v xml:space="preserve">   220290</v>
      </c>
      <c r="B3489" t="str">
        <f>T("   AUTRES")</f>
        <v xml:space="preserve">   AUTRES</v>
      </c>
      <c r="C3489" s="4">
        <v>20000</v>
      </c>
      <c r="D3489" s="4">
        <v>2646974</v>
      </c>
    </row>
    <row r="3490" spans="1:4" x14ac:dyDescent="0.25">
      <c r="A3490" t="str">
        <f>T("   220300")</f>
        <v xml:space="preserve">   220300</v>
      </c>
      <c r="B3490" t="str">
        <f>T("   BIERES DE MALT.")</f>
        <v xml:space="preserve">   BIERES DE MALT.</v>
      </c>
      <c r="C3490" s="4">
        <v>231252</v>
      </c>
      <c r="D3490" s="4">
        <v>57347421</v>
      </c>
    </row>
    <row r="3491" spans="1:4" x14ac:dyDescent="0.25">
      <c r="A3491" t="str">
        <f>T("   300220")</f>
        <v xml:space="preserve">   300220</v>
      </c>
      <c r="B3491" t="str">
        <f>T("   Vaccins pour la medecine humaine")</f>
        <v xml:space="preserve">   Vaccins pour la medecine humaine</v>
      </c>
      <c r="C3491" s="4">
        <v>13743.2</v>
      </c>
      <c r="D3491" s="4">
        <v>154521264</v>
      </c>
    </row>
    <row r="3492" spans="1:4" x14ac:dyDescent="0.25">
      <c r="A3492" t="str">
        <f>T("   300490")</f>
        <v xml:space="preserve">   300490</v>
      </c>
      <c r="B3492" t="str">
        <f>T("   AUTRES")</f>
        <v xml:space="preserve">   AUTRES</v>
      </c>
      <c r="C3492" s="4">
        <v>38</v>
      </c>
      <c r="D3492" s="4">
        <v>1808944</v>
      </c>
    </row>
    <row r="3493" spans="1:4" x14ac:dyDescent="0.25">
      <c r="A3493" t="str">
        <f>T("   321511")</f>
        <v xml:space="preserve">   321511</v>
      </c>
      <c r="B3493" t="str">
        <f>T("   NOIRES")</f>
        <v xml:space="preserve">   NOIRES</v>
      </c>
      <c r="C3493" s="4">
        <v>48</v>
      </c>
      <c r="D3493" s="4">
        <v>2218684</v>
      </c>
    </row>
    <row r="3494" spans="1:4" x14ac:dyDescent="0.25">
      <c r="A3494" t="str">
        <f>T("   330499")</f>
        <v xml:space="preserve">   330499</v>
      </c>
      <c r="B3494" t="str">
        <f>T("   AUTRES")</f>
        <v xml:space="preserve">   AUTRES</v>
      </c>
      <c r="C3494" s="4">
        <v>970</v>
      </c>
      <c r="D3494" s="4">
        <v>473001</v>
      </c>
    </row>
    <row r="3495" spans="1:4" x14ac:dyDescent="0.25">
      <c r="A3495" t="str">
        <f>T("   381600")</f>
        <v xml:space="preserve">   381600</v>
      </c>
      <c r="B3495" t="str">
        <f>T("   CIMENTS, MORTIERS, BETONS ET COMPOSITIONS SIMILAIRES REFRACTAIRES, AUTRES QUE LES PRODU")</f>
        <v xml:space="preserve">   CIMENTS, MORTIERS, BETONS ET COMPOSITIONS SIMILAIRES REFRACTAIRES, AUTRES QUE LES PRODU</v>
      </c>
      <c r="C3495" s="4">
        <v>23660</v>
      </c>
      <c r="D3495" s="4">
        <v>18744057</v>
      </c>
    </row>
    <row r="3496" spans="1:4" x14ac:dyDescent="0.25">
      <c r="A3496" t="str">
        <f>T("   382200")</f>
        <v xml:space="preserve">   382200</v>
      </c>
      <c r="B3496" t="str">
        <f>T("   REACTIFS DE DIAGNOSTIC OU DE LABORATOIRE SUR TOUT SUPPORT ET REACTIFS DE DIAGNOSTIC OU")</f>
        <v xml:space="preserve">   REACTIFS DE DIAGNOSTIC OU DE LABORATOIRE SUR TOUT SUPPORT ET REACTIFS DE DIAGNOSTIC OU</v>
      </c>
      <c r="C3496" s="4">
        <v>1326.7</v>
      </c>
      <c r="D3496" s="4">
        <v>29399763</v>
      </c>
    </row>
    <row r="3497" spans="1:4" x14ac:dyDescent="0.25">
      <c r="A3497" t="str">
        <f>T("   400911")</f>
        <v xml:space="preserve">   400911</v>
      </c>
      <c r="B3497" t="str">
        <f>T("   SANS ACCESSOIRES")</f>
        <v xml:space="preserve">   SANS ACCESSOIRES</v>
      </c>
      <c r="C3497" s="4">
        <v>42</v>
      </c>
      <c r="D3497" s="4">
        <v>3770458</v>
      </c>
    </row>
    <row r="3498" spans="1:4" x14ac:dyDescent="0.25">
      <c r="A3498" t="str">
        <f>T("   401220")</f>
        <v xml:space="preserve">   401220</v>
      </c>
      <c r="B3498" t="str">
        <f>T("   PNEUMATIQUES USAGES")</f>
        <v xml:space="preserve">   PNEUMATIQUES USAGES</v>
      </c>
      <c r="C3498" s="4">
        <v>58750</v>
      </c>
      <c r="D3498" s="4">
        <v>16556334</v>
      </c>
    </row>
    <row r="3499" spans="1:4" x14ac:dyDescent="0.25">
      <c r="A3499" t="str">
        <f>T("   401310")</f>
        <v xml:space="preserve">   401310</v>
      </c>
      <c r="B3499" t="str">
        <f>T("   DES TYPES UTILISES POUR LES VOITURES DE TOURISME (Y COMPRIS LES VOITURES DU TYPE «BRE")</f>
        <v xml:space="preserve">   DES TYPES UTILISES POUR LES VOITURES DE TOURISME (Y COMPRIS LES VOITURES DU TYPE «BRE</v>
      </c>
      <c r="C3499" s="4">
        <v>3750</v>
      </c>
      <c r="D3499" s="4">
        <v>224000</v>
      </c>
    </row>
    <row r="3500" spans="1:4" x14ac:dyDescent="0.25">
      <c r="A3500" t="str">
        <f>T("   401390")</f>
        <v xml:space="preserve">   401390</v>
      </c>
      <c r="B3500" t="str">
        <f>T("   AUTRES")</f>
        <v xml:space="preserve">   AUTRES</v>
      </c>
      <c r="C3500" s="4">
        <v>15970</v>
      </c>
      <c r="D3500" s="4">
        <v>1553625</v>
      </c>
    </row>
    <row r="3501" spans="1:4" x14ac:dyDescent="0.25">
      <c r="A3501" t="str">
        <f>T("   401699")</f>
        <v xml:space="preserve">   401699</v>
      </c>
      <c r="B3501" t="str">
        <f>T("   AUTRES")</f>
        <v xml:space="preserve">   AUTRES</v>
      </c>
      <c r="C3501" s="4">
        <v>180</v>
      </c>
      <c r="D3501" s="4">
        <v>10185747</v>
      </c>
    </row>
    <row r="3502" spans="1:4" x14ac:dyDescent="0.25">
      <c r="A3502" t="str">
        <f>T("   481920")</f>
        <v xml:space="preserve">   481920</v>
      </c>
      <c r="B3502" t="str">
        <f>T("   BOITES ET CARTONNAGES, PLIANTS, EN PAPIER OU CARTON NON ONDULE")</f>
        <v xml:space="preserve">   BOITES ET CARTONNAGES, PLIANTS, EN PAPIER OU CARTON NON ONDULE</v>
      </c>
      <c r="C3502" s="4">
        <v>5923</v>
      </c>
      <c r="D3502" s="4">
        <v>9013546</v>
      </c>
    </row>
    <row r="3503" spans="1:4" x14ac:dyDescent="0.25">
      <c r="A3503" t="str">
        <f>T("   482010")</f>
        <v xml:space="preserve">   482010</v>
      </c>
      <c r="B3503" t="str">
        <f>T("   REGISTRES, LIVRES COMPTABLES, CARNETS (DE NOTES, DE COMMANDES, DE QUITTANCES), BLOCS")</f>
        <v xml:space="preserve">   REGISTRES, LIVRES COMPTABLES, CARNETS (DE NOTES, DE COMMANDES, DE QUITTANCES), BLOCS</v>
      </c>
      <c r="C3503" s="4">
        <v>505</v>
      </c>
      <c r="D3503" s="4">
        <v>676090</v>
      </c>
    </row>
    <row r="3504" spans="1:4" x14ac:dyDescent="0.25">
      <c r="A3504" t="str">
        <f>T("   482190")</f>
        <v xml:space="preserve">   482190</v>
      </c>
      <c r="B3504" t="str">
        <f>T("   AUTRES")</f>
        <v xml:space="preserve">   AUTRES</v>
      </c>
      <c r="C3504" s="4">
        <v>237.25</v>
      </c>
      <c r="D3504" s="4">
        <v>115000</v>
      </c>
    </row>
    <row r="3505" spans="1:4" x14ac:dyDescent="0.25">
      <c r="A3505" t="str">
        <f>T("   490199")</f>
        <v xml:space="preserve">   490199</v>
      </c>
      <c r="B3505" t="str">
        <f>T("   AUTRES")</f>
        <v xml:space="preserve">   AUTRES</v>
      </c>
      <c r="C3505" s="4">
        <v>315</v>
      </c>
      <c r="D3505" s="4">
        <v>2539754</v>
      </c>
    </row>
    <row r="3506" spans="1:4" x14ac:dyDescent="0.25">
      <c r="A3506" t="str">
        <f>T("   491000")</f>
        <v xml:space="preserve">   491000</v>
      </c>
      <c r="B3506" t="str">
        <f>T("   CALENDRIERS DE TOUS GENRES, IMPRIMES, Y COMPRIS LES BLOCS DE CALENDRIERS A EFFEUILLER.")</f>
        <v xml:space="preserve">   CALENDRIERS DE TOUS GENRES, IMPRIMES, Y COMPRIS LES BLOCS DE CALENDRIERS A EFFEUILLER.</v>
      </c>
      <c r="C3506" s="4">
        <v>2602</v>
      </c>
      <c r="D3506" s="4">
        <v>8959277</v>
      </c>
    </row>
    <row r="3507" spans="1:4" x14ac:dyDescent="0.25">
      <c r="A3507" t="str">
        <f>T("   491110")</f>
        <v xml:space="preserve">   491110</v>
      </c>
      <c r="B3507" t="str">
        <f>T("   IMPRIMES PUBLICITAIRES, CATALOGUES COMMERCIAUX ET SIMILAIRES")</f>
        <v xml:space="preserve">   IMPRIMES PUBLICITAIRES, CATALOGUES COMMERCIAUX ET SIMILAIRES</v>
      </c>
      <c r="C3507" s="4">
        <v>10</v>
      </c>
      <c r="D3507" s="4">
        <v>42825</v>
      </c>
    </row>
    <row r="3508" spans="1:4" x14ac:dyDescent="0.25">
      <c r="A3508" t="str">
        <f>T("   610910")</f>
        <v xml:space="preserve">   610910</v>
      </c>
      <c r="B3508" t="str">
        <f>T("   DE COTON")</f>
        <v xml:space="preserve">   DE COTON</v>
      </c>
      <c r="C3508" s="4">
        <v>15</v>
      </c>
      <c r="D3508" s="4">
        <v>262889</v>
      </c>
    </row>
    <row r="3509" spans="1:4" x14ac:dyDescent="0.25">
      <c r="A3509" t="str">
        <f>T("   611300")</f>
        <v xml:space="preserve">   611300</v>
      </c>
      <c r="B3509" t="str">
        <f>T("   VETEMENTS CONFECTIONNES EN ETOFFES DE BONNETERIE DES N°S 59.03, 59.06 OU 59.07.")</f>
        <v xml:space="preserve">   VETEMENTS CONFECTIONNES EN ETOFFES DE BONNETERIE DES N°S 59.03, 59.06 OU 59.07.</v>
      </c>
      <c r="C3509" s="4">
        <v>2635</v>
      </c>
      <c r="D3509" s="4">
        <v>1412000</v>
      </c>
    </row>
    <row r="3510" spans="1:4" x14ac:dyDescent="0.25">
      <c r="A3510" t="str">
        <f>T("   620199")</f>
        <v xml:space="preserve">   620199</v>
      </c>
      <c r="B3510" t="str">
        <f>T("   D'AUTRES MATIERES TEXTILES")</f>
        <v xml:space="preserve">   D'AUTRES MATIERES TEXTILES</v>
      </c>
      <c r="C3510" s="4">
        <v>178</v>
      </c>
      <c r="D3510" s="4">
        <v>631600</v>
      </c>
    </row>
    <row r="3511" spans="1:4" x14ac:dyDescent="0.25">
      <c r="A3511" t="str">
        <f>T("   620329")</f>
        <v xml:space="preserve">   620329</v>
      </c>
      <c r="B3511" t="str">
        <f>T("   D'AUTRES MATIERES TEXTILES")</f>
        <v xml:space="preserve">   D'AUTRES MATIERES TEXTILES</v>
      </c>
      <c r="C3511" s="4">
        <v>1250</v>
      </c>
      <c r="D3511" s="4">
        <v>525000</v>
      </c>
    </row>
    <row r="3512" spans="1:4" x14ac:dyDescent="0.25">
      <c r="A3512" t="str">
        <f>T("   620590")</f>
        <v xml:space="preserve">   620590</v>
      </c>
      <c r="B3512" t="str">
        <f>T("   D'AUTRES MATIERES TEXTILES")</f>
        <v xml:space="preserve">   D'AUTRES MATIERES TEXTILES</v>
      </c>
      <c r="C3512" s="4">
        <v>1988</v>
      </c>
      <c r="D3512" s="4">
        <v>498393</v>
      </c>
    </row>
    <row r="3513" spans="1:4" x14ac:dyDescent="0.25">
      <c r="A3513" t="str">
        <f>T("   621040")</f>
        <v xml:space="preserve">   621040</v>
      </c>
      <c r="B3513" t="str">
        <f>T("   AUTRES VETEMENTS POUR HOMMES OU GARCONNETS")</f>
        <v xml:space="preserve">   AUTRES VETEMENTS POUR HOMMES OU GARCONNETS</v>
      </c>
      <c r="C3513" s="4">
        <v>59</v>
      </c>
      <c r="D3513" s="4">
        <v>100000</v>
      </c>
    </row>
    <row r="3514" spans="1:4" x14ac:dyDescent="0.25">
      <c r="A3514" t="str">
        <f>T("   621590")</f>
        <v xml:space="preserve">   621590</v>
      </c>
      <c r="B3514" t="str">
        <f>T("   D'AUTRES MATIERES TEXTILES")</f>
        <v xml:space="preserve">   D'AUTRES MATIERES TEXTILES</v>
      </c>
      <c r="C3514" s="4">
        <v>1210</v>
      </c>
      <c r="D3514" s="4">
        <v>505000</v>
      </c>
    </row>
    <row r="3515" spans="1:4" x14ac:dyDescent="0.25">
      <c r="A3515" t="str">
        <f>T("   621710")</f>
        <v xml:space="preserve">   621710</v>
      </c>
      <c r="B3515" t="str">
        <f>T("   ACCESSOIRES")</f>
        <v xml:space="preserve">   ACCESSOIRES</v>
      </c>
      <c r="C3515" s="4">
        <v>2405</v>
      </c>
      <c r="D3515" s="4">
        <v>1021000</v>
      </c>
    </row>
    <row r="3516" spans="1:4" x14ac:dyDescent="0.25">
      <c r="A3516" t="str">
        <f>T("   630491")</f>
        <v xml:space="preserve">   630491</v>
      </c>
      <c r="B3516" t="str">
        <f>T("   EN BONNETERIE")</f>
        <v xml:space="preserve">   EN BONNETERIE</v>
      </c>
      <c r="C3516" s="4">
        <v>3756728</v>
      </c>
      <c r="D3516" s="4">
        <v>10739482468</v>
      </c>
    </row>
    <row r="3517" spans="1:4" x14ac:dyDescent="0.25">
      <c r="A3517" t="str">
        <f>T("   630699")</f>
        <v xml:space="preserve">   630699</v>
      </c>
      <c r="B3517" t="str">
        <f>T("   AUTRES ARTICLES DU 63.06 D'AUTRES MATIERES TEXTILES")</f>
        <v xml:space="preserve">   AUTRES ARTICLES DU 63.06 D'AUTRES MATIERES TEXTILES</v>
      </c>
      <c r="C3517" s="4">
        <v>2210</v>
      </c>
      <c r="D3517" s="4">
        <v>1190000</v>
      </c>
    </row>
    <row r="3518" spans="1:4" x14ac:dyDescent="0.25">
      <c r="A3518" t="str">
        <f>T("   630720")</f>
        <v xml:space="preserve">   630720</v>
      </c>
      <c r="B3518" t="str">
        <f>T("   CEINTURES ET GILETS DE SAUVETAGE")</f>
        <v xml:space="preserve">   CEINTURES ET GILETS DE SAUVETAGE</v>
      </c>
      <c r="C3518" s="4">
        <v>33</v>
      </c>
      <c r="D3518" s="4">
        <v>416764</v>
      </c>
    </row>
    <row r="3519" spans="1:4" x14ac:dyDescent="0.25">
      <c r="A3519" t="str">
        <f>T("   630900")</f>
        <v xml:space="preserve">   630900</v>
      </c>
      <c r="B3519" t="str">
        <f>T("   ARTICLES DE FRIPERIE.")</f>
        <v xml:space="preserve">   ARTICLES DE FRIPERIE.</v>
      </c>
      <c r="C3519" s="4">
        <v>22000</v>
      </c>
      <c r="D3519" s="4">
        <v>9818240</v>
      </c>
    </row>
    <row r="3520" spans="1:4" x14ac:dyDescent="0.25">
      <c r="A3520" t="str">
        <f>T("   640340")</f>
        <v xml:space="preserve">   640340</v>
      </c>
      <c r="B3520" t="str">
        <f>T("   AUTRES CHAUSSURES, COMPORTANT, A L'AVANT, UNE COQUILLE DE PROTECTION EN METAL")</f>
        <v xml:space="preserve">   AUTRES CHAUSSURES, COMPORTANT, A L'AVANT, UNE COQUILLE DE PROTECTION EN METAL</v>
      </c>
      <c r="C3520" s="4">
        <v>4836</v>
      </c>
      <c r="D3520" s="4">
        <v>60395818</v>
      </c>
    </row>
    <row r="3521" spans="1:4" x14ac:dyDescent="0.25">
      <c r="A3521" t="str">
        <f>T("   640590")</f>
        <v xml:space="preserve">   640590</v>
      </c>
      <c r="B3521" t="str">
        <f>T("   AUTRES")</f>
        <v xml:space="preserve">   AUTRES</v>
      </c>
      <c r="C3521" s="4">
        <v>14950</v>
      </c>
      <c r="D3521" s="4">
        <v>8740000</v>
      </c>
    </row>
    <row r="3522" spans="1:4" x14ac:dyDescent="0.25">
      <c r="A3522" t="str">
        <f>T("   650610")</f>
        <v xml:space="preserve">   650610</v>
      </c>
      <c r="B3522" t="str">
        <f>T("   COIFFURES DE SECURITE")</f>
        <v xml:space="preserve">   COIFFURES DE SECURITE</v>
      </c>
      <c r="C3522" s="4">
        <v>171</v>
      </c>
      <c r="D3522" s="4">
        <v>2131162</v>
      </c>
    </row>
    <row r="3523" spans="1:4" x14ac:dyDescent="0.25">
      <c r="A3523" t="str">
        <f>T("   660199")</f>
        <v xml:space="preserve">   660199</v>
      </c>
      <c r="B3523" t="str">
        <f>T("   AUTRES")</f>
        <v xml:space="preserve">   AUTRES</v>
      </c>
      <c r="C3523" s="4">
        <v>5</v>
      </c>
      <c r="D3523" s="4">
        <v>62376</v>
      </c>
    </row>
    <row r="3524" spans="1:4" x14ac:dyDescent="0.25">
      <c r="A3524" t="str">
        <f>T("   690890")</f>
        <v xml:space="preserve">   690890</v>
      </c>
      <c r="B3524" t="str">
        <f>T("   AUTRES")</f>
        <v xml:space="preserve">   AUTRES</v>
      </c>
      <c r="C3524" s="4">
        <v>22000</v>
      </c>
      <c r="D3524" s="4">
        <v>1835000</v>
      </c>
    </row>
    <row r="3525" spans="1:4" x14ac:dyDescent="0.25">
      <c r="A3525" t="str">
        <f>T("   730791")</f>
        <v xml:space="preserve">   730791</v>
      </c>
      <c r="B3525" t="str">
        <f>T("   BRIDES")</f>
        <v xml:space="preserve">   BRIDES</v>
      </c>
      <c r="C3525" s="4">
        <v>37</v>
      </c>
      <c r="D3525" s="4">
        <v>1250916</v>
      </c>
    </row>
    <row r="3526" spans="1:4" x14ac:dyDescent="0.25">
      <c r="A3526" t="str">
        <f>T("   731589")</f>
        <v xml:space="preserve">   731589</v>
      </c>
      <c r="B3526" t="str">
        <f>T("   AUTRES")</f>
        <v xml:space="preserve">   AUTRES</v>
      </c>
      <c r="C3526" s="4">
        <v>58</v>
      </c>
      <c r="D3526" s="4">
        <v>11000</v>
      </c>
    </row>
    <row r="3527" spans="1:4" x14ac:dyDescent="0.25">
      <c r="A3527" t="str">
        <f>T("   731590")</f>
        <v xml:space="preserve">   731590</v>
      </c>
      <c r="B3527" t="str">
        <f>T("   AUTRES PARTIES")</f>
        <v xml:space="preserve">   AUTRES PARTIES</v>
      </c>
      <c r="C3527" s="4">
        <v>3854</v>
      </c>
      <c r="D3527" s="4">
        <v>19785065</v>
      </c>
    </row>
    <row r="3528" spans="1:4" x14ac:dyDescent="0.25">
      <c r="A3528" t="str">
        <f>T("   731815")</f>
        <v xml:space="preserve">   731815</v>
      </c>
      <c r="B3528" t="str">
        <f>T("   AUTRES VIS ET BOULONS, MEME AVEC LEURS ECROUS OU RONDELLES")</f>
        <v xml:space="preserve">   AUTRES VIS ET BOULONS, MEME AVEC LEURS ECROUS OU RONDELLES</v>
      </c>
      <c r="C3528" s="4">
        <v>41.9</v>
      </c>
      <c r="D3528" s="4">
        <v>812625</v>
      </c>
    </row>
    <row r="3529" spans="1:4" x14ac:dyDescent="0.25">
      <c r="A3529" t="str">
        <f>T("   840999")</f>
        <v xml:space="preserve">   840999</v>
      </c>
      <c r="B3529" t="str">
        <f>T("   AUTRES")</f>
        <v xml:space="preserve">   AUTRES</v>
      </c>
      <c r="C3529" s="4">
        <v>108</v>
      </c>
      <c r="D3529" s="4">
        <v>1946017</v>
      </c>
    </row>
    <row r="3530" spans="1:4" x14ac:dyDescent="0.25">
      <c r="A3530" t="str">
        <f>T("   841430")</f>
        <v xml:space="preserve">   841430</v>
      </c>
      <c r="B3530" t="str">
        <f>T("   COMPRESSEURS DES TYPES UTILISES DANS LES EQUIPEMENTS FRIGORIFIQUES")</f>
        <v xml:space="preserve">   COMPRESSEURS DES TYPES UTILISES DANS LES EQUIPEMENTS FRIGORIFIQUES</v>
      </c>
      <c r="C3530" s="4">
        <v>58</v>
      </c>
      <c r="D3530" s="4">
        <v>1029156</v>
      </c>
    </row>
    <row r="3531" spans="1:4" x14ac:dyDescent="0.25">
      <c r="A3531" t="str">
        <f>T("   841490")</f>
        <v xml:space="preserve">   841490</v>
      </c>
      <c r="B3531" t="str">
        <f>T("   PARTIES")</f>
        <v xml:space="preserve">   PARTIES</v>
      </c>
      <c r="C3531" s="4">
        <v>1</v>
      </c>
      <c r="D3531" s="4">
        <v>355530</v>
      </c>
    </row>
    <row r="3532" spans="1:4" x14ac:dyDescent="0.25">
      <c r="A3532" t="str">
        <f>T("   841620")</f>
        <v xml:space="preserve">   841620</v>
      </c>
      <c r="B3532" t="str">
        <f>T("   AUTRES BRULEURS, Y COMPRIS LES BRULEURS MIXTES")</f>
        <v xml:space="preserve">   AUTRES BRULEURS, Y COMPRIS LES BRULEURS MIXTES</v>
      </c>
      <c r="C3532" s="4">
        <v>14</v>
      </c>
      <c r="D3532" s="4">
        <v>444932</v>
      </c>
    </row>
    <row r="3533" spans="1:4" x14ac:dyDescent="0.25">
      <c r="A3533" t="str">
        <f>T("   841790")</f>
        <v xml:space="preserve">   841790</v>
      </c>
      <c r="B3533" t="str">
        <f>T("   PARTIES")</f>
        <v xml:space="preserve">   PARTIES</v>
      </c>
      <c r="C3533" s="4">
        <v>94</v>
      </c>
      <c r="D3533" s="4">
        <v>3845894</v>
      </c>
    </row>
    <row r="3534" spans="1:4" x14ac:dyDescent="0.25">
      <c r="A3534" t="str">
        <f>T("   841829")</f>
        <v xml:space="preserve">   841829</v>
      </c>
      <c r="B3534" t="str">
        <f>T("   AUTRES")</f>
        <v xml:space="preserve">   AUTRES</v>
      </c>
      <c r="C3534" s="4">
        <v>338</v>
      </c>
      <c r="D3534" s="4">
        <v>7070750</v>
      </c>
    </row>
    <row r="3535" spans="1:4" x14ac:dyDescent="0.25">
      <c r="A3535" t="str">
        <f>T("   841869")</f>
        <v xml:space="preserve">   841869</v>
      </c>
      <c r="B3535" t="str">
        <f>T("   AUTRES")</f>
        <v xml:space="preserve">   AUTRES</v>
      </c>
      <c r="C3535" s="4">
        <v>4572</v>
      </c>
      <c r="D3535" s="4">
        <v>29725484</v>
      </c>
    </row>
    <row r="3536" spans="1:4" x14ac:dyDescent="0.25">
      <c r="A3536" t="str">
        <f>T("   842129")</f>
        <v xml:space="preserve">   842129</v>
      </c>
      <c r="B3536" t="str">
        <f>T("   AUTRES")</f>
        <v xml:space="preserve">   AUTRES</v>
      </c>
      <c r="C3536" s="4">
        <v>144</v>
      </c>
      <c r="D3536" s="4">
        <v>5147831</v>
      </c>
    </row>
    <row r="3537" spans="1:4" x14ac:dyDescent="0.25">
      <c r="A3537" t="str">
        <f>T("   842139")</f>
        <v xml:space="preserve">   842139</v>
      </c>
      <c r="B3537" t="str">
        <f>T("   AUTRES")</f>
        <v xml:space="preserve">   AUTRES</v>
      </c>
      <c r="C3537" s="4">
        <v>80</v>
      </c>
      <c r="D3537" s="4">
        <v>3454036</v>
      </c>
    </row>
    <row r="3538" spans="1:4" x14ac:dyDescent="0.25">
      <c r="A3538" t="str">
        <f>T("   842290")</f>
        <v xml:space="preserve">   842290</v>
      </c>
      <c r="B3538" t="str">
        <f>T("   PARTIES")</f>
        <v xml:space="preserve">   PARTIES</v>
      </c>
      <c r="C3538" s="4">
        <v>320</v>
      </c>
      <c r="D3538" s="4">
        <v>14513770</v>
      </c>
    </row>
    <row r="3539" spans="1:4" x14ac:dyDescent="0.25">
      <c r="A3539" t="str">
        <f>T("   842310")</f>
        <v xml:space="preserve">   842310</v>
      </c>
      <c r="B3539" t="str">
        <f>T("   PESEPERSONNES, Y COMPRIS LES PESEBEBES; BALANCES DE MENAGE")</f>
        <v xml:space="preserve">   PESEPERSONNES, Y COMPRIS LES PESEBEBES; BALANCES DE MENAGE</v>
      </c>
      <c r="C3539" s="4">
        <v>3770</v>
      </c>
      <c r="D3539" s="4">
        <v>38336314</v>
      </c>
    </row>
    <row r="3540" spans="1:4" x14ac:dyDescent="0.25">
      <c r="A3540" t="str">
        <f>T("   842951")</f>
        <v xml:space="preserve">   842951</v>
      </c>
      <c r="B3540" t="str">
        <f>T("   CHARGEUSES ET CHARGEUSESPELLETEUSES A CHARGEMENT FRONTAL")</f>
        <v xml:space="preserve">   CHARGEUSES ET CHARGEUSESPELLETEUSES A CHARGEMENT FRONTAL</v>
      </c>
      <c r="C3540" s="4">
        <v>2500</v>
      </c>
      <c r="D3540" s="4">
        <v>5479410</v>
      </c>
    </row>
    <row r="3541" spans="1:4" x14ac:dyDescent="0.25">
      <c r="A3541" t="str">
        <f>T("   843139")</f>
        <v xml:space="preserve">   843139</v>
      </c>
      <c r="B3541" t="str">
        <f>T("   AUTRES")</f>
        <v xml:space="preserve">   AUTRES</v>
      </c>
      <c r="C3541" s="4">
        <v>7475</v>
      </c>
      <c r="D3541" s="4">
        <v>24536184</v>
      </c>
    </row>
    <row r="3542" spans="1:4" x14ac:dyDescent="0.25">
      <c r="A3542" t="str">
        <f>T("   847030")</f>
        <v xml:space="preserve">   847030</v>
      </c>
      <c r="B3542" t="str">
        <f>T("   AUTRES MACHINES A CALCULER")</f>
        <v xml:space="preserve">   AUTRES MACHINES A CALCULER</v>
      </c>
      <c r="C3542" s="4">
        <v>15</v>
      </c>
      <c r="D3542" s="4">
        <v>7622255</v>
      </c>
    </row>
    <row r="3543" spans="1:4" x14ac:dyDescent="0.25">
      <c r="A3543" t="str">
        <f>T("   847180")</f>
        <v xml:space="preserve">   847180</v>
      </c>
      <c r="B3543" t="str">
        <f>T("   AUTRES UNITES DE MACHINES AUTOMATIQUES DE TRAITEMENT DE L'INFORMATION")</f>
        <v xml:space="preserve">   AUTRES UNITES DE MACHINES AUTOMATIQUES DE TRAITEMENT DE L'INFORMATION</v>
      </c>
      <c r="C3543" s="4">
        <v>49</v>
      </c>
      <c r="D3543" s="4">
        <v>367494</v>
      </c>
    </row>
    <row r="3544" spans="1:4" x14ac:dyDescent="0.25">
      <c r="A3544" t="str">
        <f>T("   847190")</f>
        <v xml:space="preserve">   847190</v>
      </c>
      <c r="B3544" t="str">
        <f>T("   AUTRES")</f>
        <v xml:space="preserve">   AUTRES</v>
      </c>
      <c r="C3544" s="4">
        <v>1017</v>
      </c>
      <c r="D3544" s="4">
        <v>26171702</v>
      </c>
    </row>
    <row r="3545" spans="1:4" x14ac:dyDescent="0.25">
      <c r="A3545" t="str">
        <f>T("   847310")</f>
        <v xml:space="preserve">   847310</v>
      </c>
      <c r="B3545" t="str">
        <f>T("   PARTIES ET ACCESSOIRES DES MACHINES DU N° 84.69")</f>
        <v xml:space="preserve">   PARTIES ET ACCESSOIRES DES MACHINES DU N° 84.69</v>
      </c>
      <c r="C3545" s="4">
        <v>800</v>
      </c>
      <c r="D3545" s="4">
        <v>1100000</v>
      </c>
    </row>
    <row r="3546" spans="1:4" x14ac:dyDescent="0.25">
      <c r="A3546" t="str">
        <f>T("   847330")</f>
        <v xml:space="preserve">   847330</v>
      </c>
      <c r="B3546" t="str">
        <f>T("   PARTIES ET ACCESSOIRES DES MACHINES DU N° 84.71")</f>
        <v xml:space="preserve">   PARTIES ET ACCESSOIRES DES MACHINES DU N° 84.71</v>
      </c>
      <c r="C3546" s="4">
        <v>5</v>
      </c>
      <c r="D3546" s="4">
        <v>147576</v>
      </c>
    </row>
    <row r="3547" spans="1:4" x14ac:dyDescent="0.25">
      <c r="A3547" t="str">
        <f>T("   847490")</f>
        <v xml:space="preserve">   847490</v>
      </c>
      <c r="B3547" t="str">
        <f>T("   PARTIES")</f>
        <v xml:space="preserve">   PARTIES</v>
      </c>
      <c r="C3547" s="4">
        <v>862</v>
      </c>
      <c r="D3547" s="4">
        <v>24747403</v>
      </c>
    </row>
    <row r="3548" spans="1:4" x14ac:dyDescent="0.25">
      <c r="A3548" t="str">
        <f>T("   847759")</f>
        <v xml:space="preserve">   847759</v>
      </c>
      <c r="B3548" t="str">
        <f>T("   AUTRES")</f>
        <v xml:space="preserve">   AUTRES</v>
      </c>
      <c r="C3548" s="4">
        <v>1.5</v>
      </c>
      <c r="D3548" s="4">
        <v>355996</v>
      </c>
    </row>
    <row r="3549" spans="1:4" x14ac:dyDescent="0.25">
      <c r="A3549" t="str">
        <f>T("   847910")</f>
        <v xml:space="preserve">   847910</v>
      </c>
      <c r="B3549" t="str">
        <f>T("   MACHINES ET APPAREILS POUR LES TRAVAUX PUBLICS, LE BATIMENT OU LES TRAVAUX ANALOGUES")</f>
        <v xml:space="preserve">   MACHINES ET APPAREILS POUR LES TRAVAUX PUBLICS, LE BATIMENT OU LES TRAVAUX ANALOGUES</v>
      </c>
      <c r="C3549" s="4">
        <v>20000</v>
      </c>
      <c r="D3549" s="4">
        <v>5739650</v>
      </c>
    </row>
    <row r="3550" spans="1:4" x14ac:dyDescent="0.25">
      <c r="A3550" t="str">
        <f>T("   848190")</f>
        <v xml:space="preserve">   848190</v>
      </c>
      <c r="B3550" t="str">
        <f>T("   PARTIES")</f>
        <v xml:space="preserve">   PARTIES</v>
      </c>
      <c r="C3550" s="4">
        <v>14</v>
      </c>
      <c r="D3550" s="4">
        <v>738851</v>
      </c>
    </row>
    <row r="3551" spans="1:4" x14ac:dyDescent="0.25">
      <c r="A3551" t="str">
        <f>T("   848390")</f>
        <v xml:space="preserve">   848390</v>
      </c>
      <c r="B3551" t="str">
        <f>T("   ROUES DENTEES ET AUTRES ORGANES ELEMENTAIRES DE TRANSMISSION PRESENTES SEPAREMENT; PA")</f>
        <v xml:space="preserve">   ROUES DENTEES ET AUTRES ORGANES ELEMENTAIRES DE TRANSMISSION PRESENTES SEPAREMENT; PA</v>
      </c>
      <c r="C3551" s="4">
        <v>229</v>
      </c>
      <c r="D3551" s="4">
        <v>6898075</v>
      </c>
    </row>
    <row r="3552" spans="1:4" x14ac:dyDescent="0.25">
      <c r="A3552" t="str">
        <f>T("   850432")</f>
        <v xml:space="preserve">   850432</v>
      </c>
      <c r="B3552" t="str">
        <f>T("   D'UNE PUISSANCE EXCEDANT 1 KVA MAIS N'EXCEDANT PAS 16 KVA")</f>
        <v xml:space="preserve">   D'UNE PUISSANCE EXCEDANT 1 KVA MAIS N'EXCEDANT PAS 16 KVA</v>
      </c>
      <c r="C3552" s="4">
        <v>700</v>
      </c>
      <c r="D3552" s="4">
        <v>5588132</v>
      </c>
    </row>
    <row r="3553" spans="1:4" x14ac:dyDescent="0.25">
      <c r="A3553" t="str">
        <f>T("   850440")</f>
        <v xml:space="preserve">   850440</v>
      </c>
      <c r="B3553" t="str">
        <f>T("   CONVERTISSEURS STATIQUES")</f>
        <v xml:space="preserve">   CONVERTISSEURS STATIQUES</v>
      </c>
      <c r="C3553" s="4">
        <v>24</v>
      </c>
      <c r="D3553" s="4">
        <v>429027</v>
      </c>
    </row>
    <row r="3554" spans="1:4" x14ac:dyDescent="0.25">
      <c r="A3554" t="str">
        <f>T("   850490")</f>
        <v xml:space="preserve">   850490</v>
      </c>
      <c r="B3554" t="str">
        <f>T("   PARTIES")</f>
        <v xml:space="preserve">   PARTIES</v>
      </c>
      <c r="C3554" s="4">
        <v>1</v>
      </c>
      <c r="D3554" s="4">
        <v>155535</v>
      </c>
    </row>
    <row r="3555" spans="1:4" x14ac:dyDescent="0.25">
      <c r="A3555" t="str">
        <f>T("   850520")</f>
        <v xml:space="preserve">   850520</v>
      </c>
      <c r="B3555" t="str">
        <f>T("   ACCOUPLEMENTS, EMBRAYAGES, VARIATEURS DE VITESSE ET FREINS ELECTROMAGNETIQUES")</f>
        <v xml:space="preserve">   ACCOUPLEMENTS, EMBRAYAGES, VARIATEURS DE VITESSE ET FREINS ELECTROMAGNETIQUES</v>
      </c>
      <c r="C3555" s="4">
        <v>90</v>
      </c>
      <c r="D3555" s="4">
        <v>75000</v>
      </c>
    </row>
    <row r="3556" spans="1:4" x14ac:dyDescent="0.25">
      <c r="A3556" t="str">
        <f>T("   850780")</f>
        <v xml:space="preserve">   850780</v>
      </c>
      <c r="B3556" t="str">
        <f>T("   AUTRES ACCUMULATEURS")</f>
        <v xml:space="preserve">   AUTRES ACCUMULATEURS</v>
      </c>
      <c r="C3556" s="4">
        <v>12</v>
      </c>
      <c r="D3556" s="4">
        <v>350083</v>
      </c>
    </row>
    <row r="3557" spans="1:4" x14ac:dyDescent="0.25">
      <c r="A3557" t="str">
        <f>T("   852190")</f>
        <v xml:space="preserve">   852190</v>
      </c>
      <c r="B3557" t="str">
        <f>T("   AUTRES")</f>
        <v xml:space="preserve">   AUTRES</v>
      </c>
      <c r="C3557" s="4">
        <v>500</v>
      </c>
      <c r="D3557" s="4">
        <v>540000</v>
      </c>
    </row>
    <row r="3558" spans="1:4" x14ac:dyDescent="0.25">
      <c r="A3558" t="str">
        <f>T("   853630")</f>
        <v xml:space="preserve">   853630</v>
      </c>
      <c r="B3558" t="str">
        <f>T("   AUTRES APPAREILS POUR LA PROTECTION DES CIRCUITS ELECTRIQUES")</f>
        <v xml:space="preserve">   AUTRES APPAREILS POUR LA PROTECTION DES CIRCUITS ELECTRIQUES</v>
      </c>
      <c r="C3558" s="4">
        <v>1</v>
      </c>
      <c r="D3558" s="4">
        <v>21853</v>
      </c>
    </row>
    <row r="3559" spans="1:4" x14ac:dyDescent="0.25">
      <c r="A3559" t="str">
        <f>T("   853949")</f>
        <v xml:space="preserve">   853949</v>
      </c>
      <c r="B3559" t="str">
        <f>T("   AUTRES")</f>
        <v xml:space="preserve">   AUTRES</v>
      </c>
      <c r="C3559" s="4">
        <v>150</v>
      </c>
      <c r="D3559" s="4">
        <v>124475</v>
      </c>
    </row>
    <row r="3560" spans="1:4" x14ac:dyDescent="0.25">
      <c r="A3560" t="str">
        <f>T("   854420")</f>
        <v xml:space="preserve">   854420</v>
      </c>
      <c r="B3560" t="str">
        <f>T("   Cables coaxiaux et autres conducteurs electriques coaxiaux")</f>
        <v xml:space="preserve">   Cables coaxiaux et autres conducteurs electriques coaxiaux</v>
      </c>
      <c r="C3560" s="4">
        <v>24</v>
      </c>
      <c r="D3560" s="4">
        <v>80000</v>
      </c>
    </row>
    <row r="3561" spans="1:4" x14ac:dyDescent="0.25">
      <c r="A3561" t="str">
        <f>T("   870120")</f>
        <v xml:space="preserve">   870120</v>
      </c>
      <c r="B3561" t="str">
        <f>T("   TRACTEURS ROUTIERS POUR SEMIREMORQUES")</f>
        <v xml:space="preserve">   TRACTEURS ROUTIERS POUR SEMIREMORQUES</v>
      </c>
      <c r="C3561" s="4">
        <v>112117</v>
      </c>
      <c r="D3561" s="4">
        <v>47811914</v>
      </c>
    </row>
    <row r="3562" spans="1:4" x14ac:dyDescent="0.25">
      <c r="A3562" t="str">
        <f>T("   870210")</f>
        <v xml:space="preserve">   870210</v>
      </c>
      <c r="B3562" t="str">
        <f>T("   A MOTEUR A PISTON A ALLUMAGE PAR COMPRESSION (DIESEL OU SEMIDIESEL)")</f>
        <v xml:space="preserve">   A MOTEUR A PISTON A ALLUMAGE PAR COMPRESSION (DIESEL OU SEMIDIESEL)</v>
      </c>
      <c r="C3562" s="4">
        <v>25800</v>
      </c>
      <c r="D3562" s="4">
        <v>4949732</v>
      </c>
    </row>
    <row r="3563" spans="1:4" x14ac:dyDescent="0.25">
      <c r="A3563" t="str">
        <f>T("   870290")</f>
        <v xml:space="preserve">   870290</v>
      </c>
      <c r="B3563" t="str">
        <f>T("   AUTRES")</f>
        <v xml:space="preserve">   AUTRES</v>
      </c>
      <c r="C3563" s="4">
        <v>1400</v>
      </c>
      <c r="D3563" s="4">
        <v>1200000</v>
      </c>
    </row>
    <row r="3564" spans="1:4" x14ac:dyDescent="0.25">
      <c r="A3564" t="str">
        <f>T("   870322")</f>
        <v xml:space="preserve">   870322</v>
      </c>
      <c r="B3564" t="str">
        <f>T("   D’UNE CYLINDREE EXCEDANT 1.000 CM³ MAIS N’EXCEDANT PAS 1.500 CM³")</f>
        <v xml:space="preserve">   D’UNE CYLINDREE EXCEDANT 1.000 CM³ MAIS N’EXCEDANT PAS 1.500 CM³</v>
      </c>
      <c r="C3564" s="4">
        <v>10800</v>
      </c>
      <c r="D3564" s="4">
        <v>14458645</v>
      </c>
    </row>
    <row r="3565" spans="1:4" x14ac:dyDescent="0.25">
      <c r="A3565" t="str">
        <f>T("   870323")</f>
        <v xml:space="preserve">   870323</v>
      </c>
      <c r="B3565" t="str">
        <f>T("   D’UNE CYLINDREE EXCEDANT 1.500 CM³ MAIS N’EXCEDANT PAS 3.000 CM³")</f>
        <v xml:space="preserve">   D’UNE CYLINDREE EXCEDANT 1.500 CM³ MAIS N’EXCEDANT PAS 3.000 CM³</v>
      </c>
      <c r="C3565" s="4">
        <v>49115</v>
      </c>
      <c r="D3565" s="4">
        <v>61578228</v>
      </c>
    </row>
    <row r="3566" spans="1:4" x14ac:dyDescent="0.25">
      <c r="A3566" t="str">
        <f>T("   870332")</f>
        <v xml:space="preserve">   870332</v>
      </c>
      <c r="B3566" t="str">
        <f>T("   D'UNE CYLINDREE EXCEDANT 1.500 CM³ MAIS N'EXCEDANT PAS 2.500 CM³")</f>
        <v xml:space="preserve">   D'UNE CYLINDREE EXCEDANT 1.500 CM³ MAIS N'EXCEDANT PAS 2.500 CM³</v>
      </c>
      <c r="C3566" s="4">
        <v>3525</v>
      </c>
      <c r="D3566" s="4">
        <v>4962396</v>
      </c>
    </row>
    <row r="3567" spans="1:4" x14ac:dyDescent="0.25">
      <c r="A3567" t="str">
        <f>T("   870333")</f>
        <v xml:space="preserve">   870333</v>
      </c>
      <c r="B3567" t="str">
        <f>T("   D'UNE CYLINDREE EXCEDANT 2.500 CM³")</f>
        <v xml:space="preserve">   D'UNE CYLINDREE EXCEDANT 2.500 CM³</v>
      </c>
      <c r="C3567" s="4">
        <v>2430</v>
      </c>
      <c r="D3567" s="4">
        <v>4438880</v>
      </c>
    </row>
    <row r="3568" spans="1:4" x14ac:dyDescent="0.25">
      <c r="A3568" t="str">
        <f>T("   870421")</f>
        <v xml:space="preserve">   870421</v>
      </c>
      <c r="B3568" t="str">
        <f>T("   D'UN POIDS EN CHARGE MAXIMAL N'EXCEDANT PAS 5 TONNES")</f>
        <v xml:space="preserve">   D'UN POIDS EN CHARGE MAXIMAL N'EXCEDANT PAS 5 TONNES</v>
      </c>
      <c r="C3568" s="4">
        <v>20667</v>
      </c>
      <c r="D3568" s="4">
        <v>68535568</v>
      </c>
    </row>
    <row r="3569" spans="1:4" x14ac:dyDescent="0.25">
      <c r="A3569" t="str">
        <f>T("   870422")</f>
        <v xml:space="preserve">   870422</v>
      </c>
      <c r="B3569" t="str">
        <f>T("   D'UN POIDS EN CHARGE MAXIMAL EXCEDANT 5 TONNES MAIS N'EXCEDANT PAS 20 TONNES")</f>
        <v xml:space="preserve">   D'UN POIDS EN CHARGE MAXIMAL EXCEDANT 5 TONNES MAIS N'EXCEDANT PAS 20 TONNES</v>
      </c>
      <c r="C3569" s="4">
        <v>37816</v>
      </c>
      <c r="D3569" s="4">
        <v>14485488</v>
      </c>
    </row>
    <row r="3570" spans="1:4" x14ac:dyDescent="0.25">
      <c r="A3570" t="str">
        <f>T("   870423")</f>
        <v xml:space="preserve">   870423</v>
      </c>
      <c r="B3570" t="str">
        <f>T("   D'UN POIDS EN CHARGE MAXIMAL EXCEDANT 20 TONNES")</f>
        <v xml:space="preserve">   D'UN POIDS EN CHARGE MAXIMAL EXCEDANT 20 TONNES</v>
      </c>
      <c r="C3570" s="4">
        <v>13000</v>
      </c>
      <c r="D3570" s="4">
        <v>2211914</v>
      </c>
    </row>
    <row r="3571" spans="1:4" x14ac:dyDescent="0.25">
      <c r="A3571" t="str">
        <f>T("   870431")</f>
        <v xml:space="preserve">   870431</v>
      </c>
      <c r="B3571" t="str">
        <f>T("   D'UN POIDS EN CHARGE MAXIMAL N'EXCEDANT PAS 5 TONNES")</f>
        <v xml:space="preserve">   D'UN POIDS EN CHARGE MAXIMAL N'EXCEDANT PAS 5 TONNES</v>
      </c>
      <c r="C3571" s="4">
        <v>16690</v>
      </c>
      <c r="D3571" s="4">
        <v>6390500</v>
      </c>
    </row>
    <row r="3572" spans="1:4" x14ac:dyDescent="0.25">
      <c r="A3572" t="str">
        <f>T("   870590")</f>
        <v xml:space="preserve">   870590</v>
      </c>
      <c r="B3572" t="str">
        <f>T("   AUTRES")</f>
        <v xml:space="preserve">   AUTRES</v>
      </c>
      <c r="C3572" s="4">
        <v>21100</v>
      </c>
      <c r="D3572" s="4">
        <v>13607891</v>
      </c>
    </row>
    <row r="3573" spans="1:4" x14ac:dyDescent="0.25">
      <c r="A3573" t="str">
        <f>T("   870600")</f>
        <v xml:space="preserve">   870600</v>
      </c>
      <c r="B3573" t="str">
        <f>T("   CHASSIS DES VEHICULES AUTOMOBILES DES N°S 87.01 A 87.05, EQUIPES DE LEUR MOTEUR.")</f>
        <v xml:space="preserve">   CHASSIS DES VEHICULES AUTOMOBILES DES N°S 87.01 A 87.05, EQUIPES DE LEUR MOTEUR.</v>
      </c>
      <c r="C3573" s="4">
        <v>15000</v>
      </c>
      <c r="D3573" s="4">
        <v>2682876</v>
      </c>
    </row>
    <row r="3574" spans="1:4" x14ac:dyDescent="0.25">
      <c r="A3574" t="str">
        <f>T("   870899")</f>
        <v xml:space="preserve">   870899</v>
      </c>
      <c r="B3574" t="str">
        <f>T("   AUTRES")</f>
        <v xml:space="preserve">   AUTRES</v>
      </c>
      <c r="C3574" s="4">
        <v>3380</v>
      </c>
      <c r="D3574" s="4">
        <v>610699</v>
      </c>
    </row>
    <row r="3575" spans="1:4" x14ac:dyDescent="0.25">
      <c r="A3575" t="str">
        <f>T("   871200")</f>
        <v xml:space="preserve">   871200</v>
      </c>
      <c r="B3575" t="str">
        <f>T("   BICYCLETTES ET AUTRES CYCLES (Y COMPRIS LES TRIPORTEURS), SANS MOTEUR.")</f>
        <v xml:space="preserve">   BICYCLETTES ET AUTRES CYCLES (Y COMPRIS LES TRIPORTEURS), SANS MOTEUR.</v>
      </c>
      <c r="C3575" s="4">
        <v>115</v>
      </c>
      <c r="D3575" s="4">
        <v>320147</v>
      </c>
    </row>
    <row r="3576" spans="1:4" x14ac:dyDescent="0.25">
      <c r="A3576" t="str">
        <f>T("   871640")</f>
        <v xml:space="preserve">   871640</v>
      </c>
      <c r="B3576" t="str">
        <f>T("   AUTRES REMORQUES ET SEMIREMORQUES")</f>
        <v xml:space="preserve">   AUTRES REMORQUES ET SEMIREMORQUES</v>
      </c>
      <c r="C3576" s="4">
        <v>53650</v>
      </c>
      <c r="D3576" s="4">
        <v>15625957</v>
      </c>
    </row>
    <row r="3577" spans="1:4" x14ac:dyDescent="0.25">
      <c r="A3577" t="str">
        <f>T("   900190")</f>
        <v xml:space="preserve">   900190</v>
      </c>
      <c r="B3577" t="str">
        <f>T("   AUTRES")</f>
        <v xml:space="preserve">   AUTRES</v>
      </c>
      <c r="C3577" s="4">
        <v>0.4</v>
      </c>
      <c r="D3577" s="4">
        <v>525400</v>
      </c>
    </row>
    <row r="3578" spans="1:4" x14ac:dyDescent="0.25">
      <c r="A3578" t="str">
        <f>T("   900719")</f>
        <v xml:space="preserve">   900719</v>
      </c>
      <c r="B3578" t="str">
        <f>T("   AUTRES CAMERAS MEME AVEC PRISE ET REPRODUCTION DU SON")</f>
        <v xml:space="preserve">   AUTRES CAMERAS MEME AVEC PRISE ET REPRODUCTION DU SON</v>
      </c>
      <c r="C3578" s="4">
        <v>33</v>
      </c>
      <c r="D3578" s="4">
        <v>65000</v>
      </c>
    </row>
    <row r="3579" spans="1:4" x14ac:dyDescent="0.25">
      <c r="A3579" t="str">
        <f>T("   901812")</f>
        <v xml:space="preserve">   901812</v>
      </c>
      <c r="B3579" t="str">
        <f>T("   APPAREILS DE DIAGNOSTIC PAR BALAYAGE ULTRASONIQUE (SCANNERS)")</f>
        <v xml:space="preserve">   APPAREILS DE DIAGNOSTIC PAR BALAYAGE ULTRASONIQUE (SCANNERS)</v>
      </c>
      <c r="C3579" s="4">
        <v>735</v>
      </c>
      <c r="D3579" s="4">
        <v>407278</v>
      </c>
    </row>
    <row r="3580" spans="1:4" x14ac:dyDescent="0.25">
      <c r="A3580" t="str">
        <f>T("   901831")</f>
        <v xml:space="preserve">   901831</v>
      </c>
      <c r="B3580" t="str">
        <f>T("   SERINGUES, AVEC OU SANS AIGUILLES")</f>
        <v xml:space="preserve">   SERINGUES, AVEC OU SANS AIGUILLES</v>
      </c>
      <c r="C3580" s="4">
        <v>1221</v>
      </c>
      <c r="D3580" s="4">
        <v>1189911</v>
      </c>
    </row>
    <row r="3581" spans="1:4" x14ac:dyDescent="0.25">
      <c r="A3581" t="str">
        <f>T("   901839")</f>
        <v xml:space="preserve">   901839</v>
      </c>
      <c r="B3581" t="str">
        <f>T("   AUTRES")</f>
        <v xml:space="preserve">   AUTRES</v>
      </c>
      <c r="C3581" s="4">
        <v>4815</v>
      </c>
      <c r="D3581" s="4">
        <v>2951820</v>
      </c>
    </row>
    <row r="3582" spans="1:4" x14ac:dyDescent="0.25">
      <c r="A3582" t="str">
        <f>T("   901890")</f>
        <v xml:space="preserve">   901890</v>
      </c>
      <c r="B3582" t="str">
        <f>T("   AUTRES INSTRUMENTS ET APPAREILS")</f>
        <v xml:space="preserve">   AUTRES INSTRUMENTS ET APPAREILS</v>
      </c>
      <c r="C3582" s="4">
        <v>2279.9</v>
      </c>
      <c r="D3582" s="4">
        <v>4369186</v>
      </c>
    </row>
    <row r="3583" spans="1:4" x14ac:dyDescent="0.25">
      <c r="A3583" t="str">
        <f>T("   902610")</f>
        <v xml:space="preserve">   902610</v>
      </c>
      <c r="B3583" t="str">
        <f>T("   POUR LA MESURE OU LE CONTROLE DU DEBIT OU DU NIVEAU DES LIQUIDES")</f>
        <v xml:space="preserve">   POUR LA MESURE OU LE CONTROLE DU DEBIT OU DU NIVEAU DES LIQUIDES</v>
      </c>
      <c r="C3583" s="4">
        <v>3</v>
      </c>
      <c r="D3583" s="4">
        <v>203348</v>
      </c>
    </row>
    <row r="3584" spans="1:4" x14ac:dyDescent="0.25">
      <c r="A3584" t="str">
        <f>T("   902750")</f>
        <v xml:space="preserve">   902750</v>
      </c>
      <c r="B3584" t="str">
        <f>T("   AUTRES INSTRUMENTS ET APPAREILS UTILISANT LES RAYONNEMENTS OPTIQUES (UV, VISIBLES, IR")</f>
        <v xml:space="preserve">   AUTRES INSTRUMENTS ET APPAREILS UTILISANT LES RAYONNEMENTS OPTIQUES (UV, VISIBLES, IR</v>
      </c>
      <c r="C3584" s="4">
        <v>86</v>
      </c>
      <c r="D3584" s="4">
        <v>107250</v>
      </c>
    </row>
    <row r="3585" spans="1:4" x14ac:dyDescent="0.25">
      <c r="A3585" t="str">
        <f>T("   903040")</f>
        <v xml:space="preserve">   903040</v>
      </c>
      <c r="B3585" t="str">
        <f>T("   AUTRES INSTRUMENTS ET APPAREILS, SPECIALEMENT CONCUS POUR LES TECHNIQUES DE LA TELECO")</f>
        <v xml:space="preserve">   AUTRES INSTRUMENTS ET APPAREILS, SPECIALEMENT CONCUS POUR LES TECHNIQUES DE LA TELECO</v>
      </c>
      <c r="C3585" s="4">
        <v>464</v>
      </c>
      <c r="D3585" s="4">
        <v>9970367</v>
      </c>
    </row>
    <row r="3586" spans="1:4" x14ac:dyDescent="0.25">
      <c r="A3586" t="str">
        <f>T("   903289")</f>
        <v xml:space="preserve">   903289</v>
      </c>
      <c r="B3586" t="str">
        <f>T("   AUTRES")</f>
        <v xml:space="preserve">   AUTRES</v>
      </c>
      <c r="C3586" s="4">
        <v>280</v>
      </c>
      <c r="D3586" s="4">
        <v>66317556</v>
      </c>
    </row>
    <row r="3587" spans="1:4" x14ac:dyDescent="0.25">
      <c r="A3587" t="str">
        <f>T("   940290")</f>
        <v xml:space="preserve">   940290</v>
      </c>
      <c r="B3587" t="str">
        <f>T("   AUTRES")</f>
        <v xml:space="preserve">   AUTRES</v>
      </c>
      <c r="C3587" s="4">
        <v>20235</v>
      </c>
      <c r="D3587" s="4">
        <v>2872859</v>
      </c>
    </row>
    <row r="3588" spans="1:4" x14ac:dyDescent="0.25">
      <c r="A3588" t="str">
        <f>T("   940320")</f>
        <v xml:space="preserve">   940320</v>
      </c>
      <c r="B3588" t="str">
        <f>T("   AUTRES MEUBLES EN METAL")</f>
        <v xml:space="preserve">   AUTRES MEUBLES EN METAL</v>
      </c>
      <c r="C3588" s="4">
        <v>6302</v>
      </c>
      <c r="D3588" s="4">
        <v>2510390</v>
      </c>
    </row>
    <row r="3589" spans="1:4" x14ac:dyDescent="0.25">
      <c r="A3589" t="str">
        <f>T("   940350")</f>
        <v xml:space="preserve">   940350</v>
      </c>
      <c r="B3589" t="str">
        <f>T("   MEUBLES EN BOIS DES TYPES UTILISES DANS LES CHAMBRES A COUCHER")</f>
        <v xml:space="preserve">   MEUBLES EN BOIS DES TYPES UTILISES DANS LES CHAMBRES A COUCHER</v>
      </c>
      <c r="C3589" s="4">
        <v>850</v>
      </c>
      <c r="D3589" s="4">
        <v>450098</v>
      </c>
    </row>
    <row r="3590" spans="1:4" x14ac:dyDescent="0.25">
      <c r="A3590" t="str">
        <f>T("   940360")</f>
        <v xml:space="preserve">   940360</v>
      </c>
      <c r="B3590" t="str">
        <f>T("   Autres meubles en bois")</f>
        <v xml:space="preserve">   Autres meubles en bois</v>
      </c>
      <c r="C3590" s="4">
        <v>13500</v>
      </c>
      <c r="D3590" s="4">
        <v>940000</v>
      </c>
    </row>
    <row r="3591" spans="1:4" x14ac:dyDescent="0.25">
      <c r="A3591" t="str">
        <f>T("   940490")</f>
        <v xml:space="preserve">   940490</v>
      </c>
      <c r="B3591" t="str">
        <f>T("   AUTRES")</f>
        <v xml:space="preserve">   AUTRES</v>
      </c>
      <c r="C3591" s="4">
        <v>2171</v>
      </c>
      <c r="D3591" s="4">
        <v>774727</v>
      </c>
    </row>
    <row r="3592" spans="1:4" x14ac:dyDescent="0.25">
      <c r="A3592" t="str">
        <f>T("   940530")</f>
        <v xml:space="preserve">   940530</v>
      </c>
      <c r="B3592" t="str">
        <f>T("   GUIRLANDES ELECTRIQUES DES TYPES UTILISES POUR LES ARBRES DE NOëL")</f>
        <v xml:space="preserve">   GUIRLANDES ELECTRIQUES DES TYPES UTILISES POUR LES ARBRES DE NOëL</v>
      </c>
      <c r="C3592" s="4">
        <v>60</v>
      </c>
      <c r="D3592" s="4">
        <v>164250</v>
      </c>
    </row>
    <row r="3593" spans="1:4" x14ac:dyDescent="0.25">
      <c r="A3593" t="str">
        <f>T("   960899")</f>
        <v xml:space="preserve">   960899</v>
      </c>
      <c r="B3593" t="str">
        <f>T("   AUTRES")</f>
        <v xml:space="preserve">   AUTRES</v>
      </c>
      <c r="C3593" s="4">
        <v>263</v>
      </c>
      <c r="D3593" s="4">
        <v>590585</v>
      </c>
    </row>
    <row r="3594" spans="1:4" x14ac:dyDescent="0.25">
      <c r="A3594" t="str">
        <f>T("   961700")</f>
        <v xml:space="preserve">   961700</v>
      </c>
      <c r="B3594" t="str">
        <f>T("   BOUTEILLES ISOLANTES ET AUTRES RECIPIENTS ISOTHERMIQUES MONTES, DONT L'ISOLATION EST AS")</f>
        <v xml:space="preserve">   BOUTEILLES ISOLANTES ET AUTRES RECIPIENTS ISOTHERMIQUES MONTES, DONT L'ISOLATION EST AS</v>
      </c>
      <c r="C3594" s="4">
        <v>10</v>
      </c>
      <c r="D3594" s="4">
        <v>845378</v>
      </c>
    </row>
    <row r="3595" spans="1:4" s="5" customFormat="1" x14ac:dyDescent="0.25">
      <c r="A3595" s="5" t="str">
        <f>T("   ZZ_Total_Produit_SH6")</f>
        <v xml:space="preserve">   ZZ_Total_Produit_SH6</v>
      </c>
      <c r="B3595" s="5" t="str">
        <f>T("   ZZ_Total_Produit_SH6")</f>
        <v xml:space="preserve">   ZZ_Total_Produit_SH6</v>
      </c>
      <c r="C3595" s="1">
        <v>13251107.85</v>
      </c>
      <c r="D3595" s="1">
        <v>17155416679</v>
      </c>
    </row>
    <row r="3596" spans="1:4" s="5" customFormat="1" x14ac:dyDescent="0.25">
      <c r="B3596" s="5" t="str">
        <f>T("Dominique")</f>
        <v>Dominique</v>
      </c>
      <c r="C3596" s="1"/>
      <c r="D3596" s="1"/>
    </row>
    <row r="3597" spans="1:4" x14ac:dyDescent="0.25">
      <c r="A3597" t="str">
        <f>T("   271113")</f>
        <v xml:space="preserve">   271113</v>
      </c>
      <c r="B3597" t="str">
        <f>T("   BUTANES")</f>
        <v xml:space="preserve">   BUTANES</v>
      </c>
      <c r="C3597" s="4">
        <v>30000</v>
      </c>
      <c r="D3597" s="4">
        <v>10500000</v>
      </c>
    </row>
    <row r="3598" spans="1:4" x14ac:dyDescent="0.25">
      <c r="A3598" t="str">
        <f>T("   491000")</f>
        <v xml:space="preserve">   491000</v>
      </c>
      <c r="B3598" t="str">
        <f>T("   CALENDRIERS DE TOUS GENRES, IMPRIMES, Y COMPRIS LES BLOCS DE CALENDRIERS A EFFEUILLER.")</f>
        <v xml:space="preserve">   CALENDRIERS DE TOUS GENRES, IMPRIMES, Y COMPRIS LES BLOCS DE CALENDRIERS A EFFEUILLER.</v>
      </c>
      <c r="C3598" s="4">
        <v>395</v>
      </c>
      <c r="D3598" s="4">
        <v>500000</v>
      </c>
    </row>
    <row r="3599" spans="1:4" x14ac:dyDescent="0.25">
      <c r="A3599" t="str">
        <f>T("   842123")</f>
        <v xml:space="preserve">   842123</v>
      </c>
      <c r="B3599" t="str">
        <f>T("   POUR LA FILTRATION DES HUILES MINERALES DANS LES MOTEURS A ALLUMAGE PAR ETINCELLES O")</f>
        <v xml:space="preserve">   POUR LA FILTRATION DES HUILES MINERALES DANS LES MOTEURS A ALLUMAGE PAR ETINCELLES O</v>
      </c>
      <c r="C3599" s="4">
        <v>21</v>
      </c>
      <c r="D3599" s="4">
        <v>50000</v>
      </c>
    </row>
    <row r="3600" spans="1:4" s="5" customFormat="1" x14ac:dyDescent="0.25">
      <c r="A3600" s="5" t="str">
        <f>T("   ZZ_Total_Produit_SH6")</f>
        <v xml:space="preserve">   ZZ_Total_Produit_SH6</v>
      </c>
      <c r="B3600" s="5" t="str">
        <f>T("   ZZ_Total_Produit_SH6")</f>
        <v xml:space="preserve">   ZZ_Total_Produit_SH6</v>
      </c>
      <c r="C3600" s="1">
        <v>30416</v>
      </c>
      <c r="D3600" s="1">
        <v>11050000</v>
      </c>
    </row>
    <row r="3601" spans="1:4" s="5" customFormat="1" x14ac:dyDescent="0.25">
      <c r="B3601" s="5" t="str">
        <f>T("Dominicaine, République")</f>
        <v>Dominicaine, République</v>
      </c>
      <c r="C3601" s="1"/>
      <c r="D3601" s="1"/>
    </row>
    <row r="3602" spans="1:4" x14ac:dyDescent="0.25">
      <c r="A3602" t="str">
        <f>T("   071490")</f>
        <v xml:space="preserve">   071490</v>
      </c>
      <c r="B3602" t="str">
        <f>T("   AUTRES")</f>
        <v xml:space="preserve">   AUTRES</v>
      </c>
      <c r="C3602" s="4">
        <v>175</v>
      </c>
      <c r="D3602" s="4">
        <v>82000</v>
      </c>
    </row>
    <row r="3603" spans="1:4" x14ac:dyDescent="0.25">
      <c r="A3603" t="str">
        <f>T("   300490")</f>
        <v xml:space="preserve">   300490</v>
      </c>
      <c r="B3603" t="str">
        <f>T("   AUTRES")</f>
        <v xml:space="preserve">   AUTRES</v>
      </c>
      <c r="C3603" s="4">
        <v>68.8</v>
      </c>
      <c r="D3603" s="4">
        <v>500000</v>
      </c>
    </row>
    <row r="3604" spans="1:4" x14ac:dyDescent="0.25">
      <c r="A3604" t="str">
        <f>T("   420229")</f>
        <v xml:space="preserve">   420229</v>
      </c>
      <c r="B3604" t="str">
        <f>T("   AUTRES")</f>
        <v xml:space="preserve">   AUTRES</v>
      </c>
      <c r="C3604" s="4">
        <v>198</v>
      </c>
      <c r="D3604" s="4">
        <v>37400</v>
      </c>
    </row>
    <row r="3605" spans="1:4" x14ac:dyDescent="0.25">
      <c r="A3605" t="str">
        <f>T("   442010")</f>
        <v xml:space="preserve">   442010</v>
      </c>
      <c r="B3605" t="str">
        <f>T("   STATUETTES ET AUTRES OBJETS D'ORNEMENT, EN BOIS")</f>
        <v xml:space="preserve">   STATUETTES ET AUTRES OBJETS D'ORNEMENT, EN BOIS</v>
      </c>
      <c r="C3605" s="4">
        <v>225</v>
      </c>
      <c r="D3605" s="4">
        <v>20000</v>
      </c>
    </row>
    <row r="3606" spans="1:4" x14ac:dyDescent="0.25">
      <c r="A3606" t="str">
        <f>T("   482010")</f>
        <v xml:space="preserve">   482010</v>
      </c>
      <c r="B3606" t="str">
        <f>T("   REGISTRES, LIVRES COMPTABLES, CARNETS (DE NOTES, DE COMMANDES, DE QUITTANCES), BLOCS")</f>
        <v xml:space="preserve">   REGISTRES, LIVRES COMPTABLES, CARNETS (DE NOTES, DE COMMANDES, DE QUITTANCES), BLOCS</v>
      </c>
      <c r="C3606" s="4">
        <v>25</v>
      </c>
      <c r="D3606" s="4">
        <v>35000</v>
      </c>
    </row>
    <row r="3607" spans="1:4" x14ac:dyDescent="0.25">
      <c r="A3607" t="str">
        <f>T("   482320")</f>
        <v xml:space="preserve">   482320</v>
      </c>
      <c r="B3607" t="str">
        <f>T("   PAPIER ET CARTONFILTRE")</f>
        <v xml:space="preserve">   PAPIER ET CARTONFILTRE</v>
      </c>
      <c r="C3607" s="4">
        <v>46</v>
      </c>
      <c r="D3607" s="4">
        <v>15000</v>
      </c>
    </row>
    <row r="3608" spans="1:4" x14ac:dyDescent="0.25">
      <c r="A3608" t="str">
        <f>T("   611490")</f>
        <v xml:space="preserve">   611490</v>
      </c>
      <c r="B3608" t="str">
        <f>T("   D'AUTRES MATIERES TEXTILES")</f>
        <v xml:space="preserve">   D'AUTRES MATIERES TEXTILES</v>
      </c>
      <c r="C3608" s="4">
        <v>650</v>
      </c>
      <c r="D3608" s="4">
        <v>223000</v>
      </c>
    </row>
    <row r="3609" spans="1:4" x14ac:dyDescent="0.25">
      <c r="A3609" t="str">
        <f>T("   621050")</f>
        <v xml:space="preserve">   621050</v>
      </c>
      <c r="B3609" t="str">
        <f>T("   AUTRES VETEMENTS POUR FEMMES OU FILLETTES")</f>
        <v xml:space="preserve">   AUTRES VETEMENTS POUR FEMMES OU FILLETTES</v>
      </c>
      <c r="C3609" s="4">
        <v>2191</v>
      </c>
      <c r="D3609" s="4">
        <v>1184707</v>
      </c>
    </row>
    <row r="3610" spans="1:4" x14ac:dyDescent="0.25">
      <c r="A3610" t="str">
        <f>T("   640590")</f>
        <v xml:space="preserve">   640590</v>
      </c>
      <c r="B3610" t="str">
        <f>T("   AUTRES")</f>
        <v xml:space="preserve">   AUTRES</v>
      </c>
      <c r="C3610" s="4">
        <v>180</v>
      </c>
      <c r="D3610" s="4">
        <v>30000</v>
      </c>
    </row>
    <row r="3611" spans="1:4" x14ac:dyDescent="0.25">
      <c r="A3611" t="str">
        <f>T("   841990")</f>
        <v xml:space="preserve">   841990</v>
      </c>
      <c r="B3611" t="str">
        <f>T("   PARTIES")</f>
        <v xml:space="preserve">   PARTIES</v>
      </c>
      <c r="C3611" s="4">
        <v>17</v>
      </c>
      <c r="D3611" s="4">
        <v>50000</v>
      </c>
    </row>
    <row r="3612" spans="1:4" x14ac:dyDescent="0.25">
      <c r="A3612" t="str">
        <f>T("   848490")</f>
        <v xml:space="preserve">   848490</v>
      </c>
      <c r="B3612" t="str">
        <f>T("   AUTRES")</f>
        <v xml:space="preserve">   AUTRES</v>
      </c>
      <c r="C3612" s="4">
        <v>2</v>
      </c>
      <c r="D3612" s="4">
        <v>20000</v>
      </c>
    </row>
    <row r="3613" spans="1:4" x14ac:dyDescent="0.25">
      <c r="A3613" t="str">
        <f>T("   850440")</f>
        <v xml:space="preserve">   850440</v>
      </c>
      <c r="B3613" t="str">
        <f>T("   CONVERTISSEURS STATIQUES")</f>
        <v xml:space="preserve">   CONVERTISSEURS STATIQUES</v>
      </c>
      <c r="C3613" s="4">
        <v>384</v>
      </c>
      <c r="D3613" s="4">
        <v>247500</v>
      </c>
    </row>
    <row r="3614" spans="1:4" x14ac:dyDescent="0.25">
      <c r="A3614" t="str">
        <f>T("   851220")</f>
        <v xml:space="preserve">   851220</v>
      </c>
      <c r="B3614" t="str">
        <f>T("   AUTRES APPAREILS D'ECLAIRAGE OU DE SIGNALISATION VISUELLE")</f>
        <v xml:space="preserve">   AUTRES APPAREILS D'ECLAIRAGE OU DE SIGNALISATION VISUELLE</v>
      </c>
      <c r="C3614" s="4">
        <v>150</v>
      </c>
      <c r="D3614" s="4">
        <v>130185</v>
      </c>
    </row>
    <row r="3615" spans="1:4" x14ac:dyDescent="0.25">
      <c r="A3615" t="str">
        <f>T("   853661")</f>
        <v xml:space="preserve">   853661</v>
      </c>
      <c r="B3615" t="str">
        <f>T("   DOUILLES POUR LAMPES")</f>
        <v xml:space="preserve">   DOUILLES POUR LAMPES</v>
      </c>
      <c r="C3615" s="4">
        <v>61</v>
      </c>
      <c r="D3615" s="4">
        <v>76000</v>
      </c>
    </row>
    <row r="3616" spans="1:4" x14ac:dyDescent="0.25">
      <c r="A3616" t="str">
        <f>T("   870899")</f>
        <v xml:space="preserve">   870899</v>
      </c>
      <c r="B3616" t="str">
        <f>T("   AUTRES")</f>
        <v xml:space="preserve">   AUTRES</v>
      </c>
      <c r="C3616" s="4">
        <v>328</v>
      </c>
      <c r="D3616" s="4">
        <v>364000</v>
      </c>
    </row>
    <row r="3617" spans="1:4" x14ac:dyDescent="0.25">
      <c r="A3617" t="str">
        <f>T("   901010")</f>
        <v xml:space="preserve">   901010</v>
      </c>
      <c r="B3617" t="str">
        <f>T("   APPAREILS ET MATERIEL POUR LE DEVELOPPEMENT AUTOMATIQUE DES PELLICULES PHOTOGRAPHIQUE")</f>
        <v xml:space="preserve">   APPAREILS ET MATERIEL POUR LE DEVELOPPEMENT AUTOMATIQUE DES PELLICULES PHOTOGRAPHIQUE</v>
      </c>
      <c r="C3617" s="4">
        <v>256</v>
      </c>
      <c r="D3617" s="4">
        <v>382000</v>
      </c>
    </row>
    <row r="3618" spans="1:4" x14ac:dyDescent="0.25">
      <c r="A3618" t="str">
        <f>T("   901890")</f>
        <v xml:space="preserve">   901890</v>
      </c>
      <c r="B3618" t="str">
        <f>T("   AUTRES INSTRUMENTS ET APPAREILS")</f>
        <v xml:space="preserve">   AUTRES INSTRUMENTS ET APPAREILS</v>
      </c>
      <c r="C3618" s="4">
        <v>30</v>
      </c>
      <c r="D3618" s="4">
        <v>1503657</v>
      </c>
    </row>
    <row r="3619" spans="1:4" s="5" customFormat="1" x14ac:dyDescent="0.25">
      <c r="A3619" s="5" t="str">
        <f>T("   ZZ_Total_Produit_SH6")</f>
        <v xml:space="preserve">   ZZ_Total_Produit_SH6</v>
      </c>
      <c r="B3619" s="5" t="str">
        <f>T("   ZZ_Total_Produit_SH6")</f>
        <v xml:space="preserve">   ZZ_Total_Produit_SH6</v>
      </c>
      <c r="C3619" s="1">
        <v>4986.8</v>
      </c>
      <c r="D3619" s="1">
        <v>4900449</v>
      </c>
    </row>
    <row r="3620" spans="1:4" s="5" customFormat="1" x14ac:dyDescent="0.25">
      <c r="B3620" s="5" t="str">
        <f>T("Algérie")</f>
        <v>Algérie</v>
      </c>
      <c r="C3620" s="1"/>
      <c r="D3620" s="1"/>
    </row>
    <row r="3621" spans="1:4" x14ac:dyDescent="0.25">
      <c r="A3621" t="str">
        <f>T("   170199")</f>
        <v xml:space="preserve">   170199</v>
      </c>
      <c r="B3621" t="str">
        <f>T("   AUTRES")</f>
        <v xml:space="preserve">   AUTRES</v>
      </c>
      <c r="C3621" s="4">
        <v>1575000</v>
      </c>
      <c r="D3621" s="4">
        <v>343198693.90600002</v>
      </c>
    </row>
    <row r="3622" spans="1:4" x14ac:dyDescent="0.25">
      <c r="A3622" t="str">
        <f>T("   190219")</f>
        <v xml:space="preserve">   190219</v>
      </c>
      <c r="B3622" t="str">
        <f>T("   AUTRES")</f>
        <v xml:space="preserve">   AUTRES</v>
      </c>
      <c r="C3622" s="4">
        <v>147350</v>
      </c>
      <c r="D3622" s="4">
        <v>26784168</v>
      </c>
    </row>
    <row r="3623" spans="1:4" x14ac:dyDescent="0.25">
      <c r="A3623" t="str">
        <f>T("   252321")</f>
        <v xml:space="preserve">   252321</v>
      </c>
      <c r="B3623" t="str">
        <f>T("   CIMENTS BLANCS, MEME COLORES ARTIFICIELLEMENT")</f>
        <v xml:space="preserve">   CIMENTS BLANCS, MEME COLORES ARTIFICIELLEMENT</v>
      </c>
      <c r="C3623" s="4">
        <v>223800</v>
      </c>
      <c r="D3623" s="4">
        <v>19689295</v>
      </c>
    </row>
    <row r="3624" spans="1:4" x14ac:dyDescent="0.25">
      <c r="A3624" t="str">
        <f>T("   271113")</f>
        <v xml:space="preserve">   271113</v>
      </c>
      <c r="B3624" t="str">
        <f>T("   BUTANES")</f>
        <v xml:space="preserve">   BUTANES</v>
      </c>
      <c r="C3624" s="4">
        <v>1036000</v>
      </c>
      <c r="D3624" s="4">
        <v>362600000</v>
      </c>
    </row>
    <row r="3625" spans="1:4" x14ac:dyDescent="0.25">
      <c r="A3625" t="str">
        <f>T("   330610")</f>
        <v xml:space="preserve">   330610</v>
      </c>
      <c r="B3625" t="str">
        <f>T("   Dentifrices")</f>
        <v xml:space="preserve">   Dentifrices</v>
      </c>
      <c r="C3625" s="4">
        <v>14000</v>
      </c>
      <c r="D3625" s="4">
        <v>5461523</v>
      </c>
    </row>
    <row r="3626" spans="1:4" x14ac:dyDescent="0.25">
      <c r="A3626" t="str">
        <f>T("   382200")</f>
        <v xml:space="preserve">   382200</v>
      </c>
      <c r="B3626" t="str">
        <f>T("   REACTIFS DE DIAGNOSTIC OU DE LABORATOIRE SUR TOUT SUPPORT ET REACTIFS DE DIAGNOSTIC OU")</f>
        <v xml:space="preserve">   REACTIFS DE DIAGNOSTIC OU DE LABORATOIRE SUR TOUT SUPPORT ET REACTIFS DE DIAGNOSTIC OU</v>
      </c>
      <c r="C3626" s="4">
        <v>10</v>
      </c>
      <c r="D3626" s="4">
        <v>300000</v>
      </c>
    </row>
    <row r="3627" spans="1:4" x14ac:dyDescent="0.25">
      <c r="A3627" t="str">
        <f>T("   490199")</f>
        <v xml:space="preserve">   490199</v>
      </c>
      <c r="B3627" t="str">
        <f>T("   AUTRES")</f>
        <v xml:space="preserve">   AUTRES</v>
      </c>
      <c r="C3627" s="4">
        <v>315</v>
      </c>
      <c r="D3627" s="4">
        <v>400000</v>
      </c>
    </row>
    <row r="3628" spans="1:4" x14ac:dyDescent="0.25">
      <c r="A3628" t="str">
        <f>T("   491000")</f>
        <v xml:space="preserve">   491000</v>
      </c>
      <c r="B3628" t="str">
        <f>T("   CALENDRIERS DE TOUS GENRES, IMPRIMES, Y COMPRIS LES BLOCS DE CALENDRIERS A EFFEUILLER.")</f>
        <v xml:space="preserve">   CALENDRIERS DE TOUS GENRES, IMPRIMES, Y COMPRIS LES BLOCS DE CALENDRIERS A EFFEUILLER.</v>
      </c>
      <c r="C3628" s="4">
        <v>71</v>
      </c>
      <c r="D3628" s="4">
        <v>50000</v>
      </c>
    </row>
    <row r="3629" spans="1:4" x14ac:dyDescent="0.25">
      <c r="A3629" t="str">
        <f>T("   520849")</f>
        <v xml:space="preserve">   520849</v>
      </c>
      <c r="B3629" t="str">
        <f>T("   AUTRES TISSUS")</f>
        <v xml:space="preserve">   AUTRES TISSUS</v>
      </c>
      <c r="C3629" s="4">
        <v>924</v>
      </c>
      <c r="D3629" s="4">
        <v>600154</v>
      </c>
    </row>
    <row r="3630" spans="1:4" x14ac:dyDescent="0.25">
      <c r="A3630" t="str">
        <f>T("   581099")</f>
        <v xml:space="preserve">   581099</v>
      </c>
      <c r="B3630" t="str">
        <f>T("   D'AUTRES MATIERES TEXTILES")</f>
        <v xml:space="preserve">   D'AUTRES MATIERES TEXTILES</v>
      </c>
      <c r="C3630" s="4">
        <v>292</v>
      </c>
      <c r="D3630" s="4">
        <v>227500</v>
      </c>
    </row>
    <row r="3631" spans="1:4" x14ac:dyDescent="0.25">
      <c r="A3631" t="str">
        <f>T("   590390")</f>
        <v xml:space="preserve">   590390</v>
      </c>
      <c r="B3631" t="str">
        <f>T("   AUTRES")</f>
        <v xml:space="preserve">   AUTRES</v>
      </c>
      <c r="C3631" s="4">
        <v>800</v>
      </c>
      <c r="D3631" s="4">
        <v>400000</v>
      </c>
    </row>
    <row r="3632" spans="1:4" x14ac:dyDescent="0.25">
      <c r="A3632" t="str">
        <f>T("   640319")</f>
        <v xml:space="preserve">   640319</v>
      </c>
      <c r="B3632" t="str">
        <f>T("   AUTRES")</f>
        <v xml:space="preserve">   AUTRES</v>
      </c>
      <c r="C3632" s="4">
        <v>100</v>
      </c>
      <c r="D3632" s="4">
        <v>206000</v>
      </c>
    </row>
    <row r="3633" spans="1:4" x14ac:dyDescent="0.25">
      <c r="A3633" t="str">
        <f>T("   640590")</f>
        <v xml:space="preserve">   640590</v>
      </c>
      <c r="B3633" t="str">
        <f>T("   AUTRES")</f>
        <v xml:space="preserve">   AUTRES</v>
      </c>
      <c r="C3633" s="4">
        <v>91</v>
      </c>
      <c r="D3633" s="4">
        <v>55080</v>
      </c>
    </row>
    <row r="3634" spans="1:4" x14ac:dyDescent="0.25">
      <c r="A3634" t="str">
        <f>T("   852290")</f>
        <v xml:space="preserve">   852290</v>
      </c>
      <c r="B3634" t="str">
        <f>T("   AUTRES")</f>
        <v xml:space="preserve">   AUTRES</v>
      </c>
      <c r="C3634" s="4">
        <v>4.67</v>
      </c>
      <c r="D3634" s="4">
        <v>65000</v>
      </c>
    </row>
    <row r="3635" spans="1:4" x14ac:dyDescent="0.25">
      <c r="A3635" t="str">
        <f>T("   853650")</f>
        <v xml:space="preserve">   853650</v>
      </c>
      <c r="B3635" t="str">
        <f>T("   AUTRES INTERRUPTEURS, SECTIONNEURS ET COMMUTATEURS")</f>
        <v xml:space="preserve">   AUTRES INTERRUPTEURS, SECTIONNEURS ET COMMUTATEURS</v>
      </c>
      <c r="C3635" s="4">
        <v>5200</v>
      </c>
      <c r="D3635" s="4">
        <v>3540997</v>
      </c>
    </row>
    <row r="3636" spans="1:4" x14ac:dyDescent="0.25">
      <c r="A3636" t="str">
        <f>T("   853669")</f>
        <v xml:space="preserve">   853669</v>
      </c>
      <c r="B3636" t="str">
        <f>T("   AUTRES")</f>
        <v xml:space="preserve">   AUTRES</v>
      </c>
      <c r="C3636" s="4">
        <v>1300</v>
      </c>
      <c r="D3636" s="4">
        <v>828200</v>
      </c>
    </row>
    <row r="3637" spans="1:4" x14ac:dyDescent="0.25">
      <c r="A3637" t="str">
        <f>T("   854411")</f>
        <v xml:space="preserve">   854411</v>
      </c>
      <c r="B3637" t="str">
        <f>T("   EN CUIVRE")</f>
        <v xml:space="preserve">   EN CUIVRE</v>
      </c>
      <c r="C3637" s="4">
        <v>32.86</v>
      </c>
      <c r="D3637" s="4">
        <v>77050</v>
      </c>
    </row>
    <row r="3638" spans="1:4" x14ac:dyDescent="0.25">
      <c r="A3638" t="str">
        <f>T("   901890")</f>
        <v xml:space="preserve">   901890</v>
      </c>
      <c r="B3638" t="str">
        <f>T("   AUTRES INSTRUMENTS ET APPAREILS")</f>
        <v xml:space="preserve">   AUTRES INSTRUMENTS ET APPAREILS</v>
      </c>
      <c r="C3638" s="4">
        <v>37.5</v>
      </c>
      <c r="D3638" s="4">
        <v>255000</v>
      </c>
    </row>
    <row r="3639" spans="1:4" s="5" customFormat="1" x14ac:dyDescent="0.25">
      <c r="A3639" s="5" t="str">
        <f>T("   ZZ_Total_Produit_SH6")</f>
        <v xml:space="preserve">   ZZ_Total_Produit_SH6</v>
      </c>
      <c r="B3639" s="5" t="str">
        <f>T("   ZZ_Total_Produit_SH6")</f>
        <v xml:space="preserve">   ZZ_Total_Produit_SH6</v>
      </c>
      <c r="C3639" s="1">
        <v>3005328.03</v>
      </c>
      <c r="D3639" s="1">
        <v>764738660.90600002</v>
      </c>
    </row>
    <row r="3640" spans="1:4" s="5" customFormat="1" x14ac:dyDescent="0.25">
      <c r="B3640" s="5" t="str">
        <f>T("Equateur")</f>
        <v>Equateur</v>
      </c>
      <c r="C3640" s="1"/>
      <c r="D3640" s="1"/>
    </row>
    <row r="3641" spans="1:4" x14ac:dyDescent="0.25">
      <c r="A3641" t="str">
        <f>T("   030219")</f>
        <v xml:space="preserve">   030219</v>
      </c>
      <c r="B3641" t="str">
        <f>T("   AUTRES")</f>
        <v xml:space="preserve">   AUTRES</v>
      </c>
      <c r="C3641" s="4">
        <v>48600</v>
      </c>
      <c r="D3641" s="4">
        <v>19440000</v>
      </c>
    </row>
    <row r="3642" spans="1:4" x14ac:dyDescent="0.25">
      <c r="A3642" t="str">
        <f>T("   030264")</f>
        <v xml:space="preserve">   030264</v>
      </c>
      <c r="B3642" t="str">
        <f>T("   MAQUEREAUX ENTIERS,FRAIS OU REFRIGERES.(FOIES,OEUFS,LAITANCES EXCLUS)")</f>
        <v xml:space="preserve">   MAQUEREAUX ENTIERS,FRAIS OU REFRIGERES.(FOIES,OEUFS,LAITANCES EXCLUS)</v>
      </c>
      <c r="C3642" s="4">
        <v>27000</v>
      </c>
      <c r="D3642" s="4">
        <v>10800000</v>
      </c>
    </row>
    <row r="3643" spans="1:4" x14ac:dyDescent="0.25">
      <c r="A3643" t="str">
        <f>T("   030269")</f>
        <v xml:space="preserve">   030269</v>
      </c>
      <c r="B3643" t="str">
        <f>T("   Autres poissons entiers,frais ou refrigeres.(foies,oeufs laitances exclus)")</f>
        <v xml:space="preserve">   Autres poissons entiers,frais ou refrigeres.(foies,oeufs laitances exclus)</v>
      </c>
      <c r="C3643" s="4">
        <v>174640</v>
      </c>
      <c r="D3643" s="4">
        <v>64681000</v>
      </c>
    </row>
    <row r="3644" spans="1:4" x14ac:dyDescent="0.25">
      <c r="A3644" t="str">
        <f>T("   030379")</f>
        <v xml:space="preserve">   030379</v>
      </c>
      <c r="B3644" t="str">
        <f>T("   AUTRES POISSONS ENTIERS CONGELES.(FOIES,OEUFS,LAITANCES EXCLUS)")</f>
        <v xml:space="preserve">   AUTRES POISSONS ENTIERS CONGELES.(FOIES,OEUFS,LAITANCES EXCLUS)</v>
      </c>
      <c r="C3644" s="4">
        <v>79000</v>
      </c>
      <c r="D3644" s="4">
        <v>17774692</v>
      </c>
    </row>
    <row r="3645" spans="1:4" x14ac:dyDescent="0.25">
      <c r="A3645" t="str">
        <f>T("   230990")</f>
        <v xml:space="preserve">   230990</v>
      </c>
      <c r="B3645" t="str">
        <f>T("   AUTRES")</f>
        <v xml:space="preserve">   AUTRES</v>
      </c>
      <c r="C3645" s="4">
        <v>12990</v>
      </c>
      <c r="D3645" s="4">
        <v>7179859</v>
      </c>
    </row>
    <row r="3646" spans="1:4" s="5" customFormat="1" x14ac:dyDescent="0.25">
      <c r="A3646" s="5" t="str">
        <f>T("   ZZ_Total_Produit_SH6")</f>
        <v xml:space="preserve">   ZZ_Total_Produit_SH6</v>
      </c>
      <c r="B3646" s="5" t="str">
        <f>T("   ZZ_Total_Produit_SH6")</f>
        <v xml:space="preserve">   ZZ_Total_Produit_SH6</v>
      </c>
      <c r="C3646" s="1">
        <v>342230</v>
      </c>
      <c r="D3646" s="1">
        <v>119875551</v>
      </c>
    </row>
    <row r="3647" spans="1:4" s="5" customFormat="1" x14ac:dyDescent="0.25">
      <c r="B3647" s="5" t="str">
        <f>T("Estonie")</f>
        <v>Estonie</v>
      </c>
      <c r="C3647" s="1"/>
      <c r="D3647" s="1"/>
    </row>
    <row r="3648" spans="1:4" x14ac:dyDescent="0.25">
      <c r="A3648" t="str">
        <f>T("   030219")</f>
        <v xml:space="preserve">   030219</v>
      </c>
      <c r="B3648" t="str">
        <f>T("   AUTRES")</f>
        <v xml:space="preserve">   AUTRES</v>
      </c>
      <c r="C3648" s="4">
        <v>507540</v>
      </c>
      <c r="D3648" s="4">
        <v>203016000</v>
      </c>
    </row>
    <row r="3649" spans="1:4" s="5" customFormat="1" x14ac:dyDescent="0.25">
      <c r="A3649" s="5" t="str">
        <f>T("   ZZ_Total_Produit_SH6")</f>
        <v xml:space="preserve">   ZZ_Total_Produit_SH6</v>
      </c>
      <c r="B3649" s="5" t="str">
        <f>T("   ZZ_Total_Produit_SH6")</f>
        <v xml:space="preserve">   ZZ_Total_Produit_SH6</v>
      </c>
      <c r="C3649" s="1">
        <v>507540</v>
      </c>
      <c r="D3649" s="1">
        <v>203016000</v>
      </c>
    </row>
    <row r="3650" spans="1:4" s="5" customFormat="1" x14ac:dyDescent="0.25">
      <c r="B3650" s="5" t="str">
        <f>T("Egypte")</f>
        <v>Egypte</v>
      </c>
      <c r="C3650" s="1"/>
      <c r="D3650" s="1"/>
    </row>
    <row r="3651" spans="1:4" x14ac:dyDescent="0.25">
      <c r="A3651" t="str">
        <f>T("   040210")</f>
        <v xml:space="preserve">   040210</v>
      </c>
      <c r="B3651" t="str">
        <f>T("   EN POUDRE, EN GRANULES OU SOUS D’AUTRES FORMES SOLIDES, D’UNE TENEUR EN POIDS DE MATI")</f>
        <v xml:space="preserve">   EN POUDRE, EN GRANULES OU SOUS D’AUTRES FORMES SOLIDES, D’UNE TENEUR EN POIDS DE MATI</v>
      </c>
      <c r="C3651" s="4">
        <v>16260</v>
      </c>
      <c r="D3651" s="4">
        <v>29154519</v>
      </c>
    </row>
    <row r="3652" spans="1:4" x14ac:dyDescent="0.25">
      <c r="A3652" t="str">
        <f>T("   080610")</f>
        <v xml:space="preserve">   080610</v>
      </c>
      <c r="B3652" t="str">
        <f>T("   FRAIS")</f>
        <v xml:space="preserve">   FRAIS</v>
      </c>
      <c r="C3652" s="4">
        <v>21375</v>
      </c>
      <c r="D3652" s="4">
        <v>4862501</v>
      </c>
    </row>
    <row r="3653" spans="1:4" x14ac:dyDescent="0.25">
      <c r="A3653" t="str">
        <f>T("   110100")</f>
        <v xml:space="preserve">   110100</v>
      </c>
      <c r="B3653" t="str">
        <f>T("   FARINES DE FROMENT (BLE) OU DE METEIL.")</f>
        <v xml:space="preserve">   FARINES DE FROMENT (BLE) OU DE METEIL.</v>
      </c>
      <c r="C3653" s="4">
        <v>46000</v>
      </c>
      <c r="D3653" s="4">
        <v>12272079.125</v>
      </c>
    </row>
    <row r="3654" spans="1:4" x14ac:dyDescent="0.25">
      <c r="A3654" t="str">
        <f>T("   151620")</f>
        <v xml:space="preserve">   151620</v>
      </c>
      <c r="B3654" t="str">
        <f>T("   GRAISSES ET HUILES VEGETALES ET LEURS FRACTIONS")</f>
        <v xml:space="preserve">   GRAISSES ET HUILES VEGETALES ET LEURS FRACTIONS</v>
      </c>
      <c r="C3654" s="4">
        <v>97028</v>
      </c>
      <c r="D3654" s="4">
        <v>33000000</v>
      </c>
    </row>
    <row r="3655" spans="1:4" x14ac:dyDescent="0.25">
      <c r="A3655" t="str">
        <f>T("   170490")</f>
        <v xml:space="preserve">   170490</v>
      </c>
      <c r="B3655" t="str">
        <f>T("   AUTRES")</f>
        <v xml:space="preserve">   AUTRES</v>
      </c>
      <c r="C3655" s="4">
        <v>17000</v>
      </c>
      <c r="D3655" s="4">
        <v>5450000</v>
      </c>
    </row>
    <row r="3656" spans="1:4" x14ac:dyDescent="0.25">
      <c r="A3656" t="str">
        <f>T("   190230")</f>
        <v xml:space="preserve">   190230</v>
      </c>
      <c r="B3656" t="str">
        <f>T("   AUTRES PATES ALIMENTAIRES")</f>
        <v xml:space="preserve">   AUTRES PATES ALIMENTAIRES</v>
      </c>
      <c r="C3656" s="4">
        <v>14890</v>
      </c>
      <c r="D3656" s="4">
        <v>5838044</v>
      </c>
    </row>
    <row r="3657" spans="1:4" x14ac:dyDescent="0.25">
      <c r="A3657" t="str">
        <f>T("   190590")</f>
        <v xml:space="preserve">   190590</v>
      </c>
      <c r="B3657" t="str">
        <f>T("   AUTRES")</f>
        <v xml:space="preserve">   AUTRES</v>
      </c>
      <c r="C3657" s="4">
        <v>13000</v>
      </c>
      <c r="D3657" s="4">
        <v>4322120</v>
      </c>
    </row>
    <row r="3658" spans="1:4" x14ac:dyDescent="0.25">
      <c r="A3658" t="str">
        <f>T("   200290")</f>
        <v xml:space="preserve">   200290</v>
      </c>
      <c r="B3658" t="str">
        <f>T("   AUTRES")</f>
        <v xml:space="preserve">   AUTRES</v>
      </c>
      <c r="C3658" s="4">
        <v>57569</v>
      </c>
      <c r="D3658" s="4">
        <v>19455000</v>
      </c>
    </row>
    <row r="3659" spans="1:4" x14ac:dyDescent="0.25">
      <c r="A3659" t="str">
        <f>T("   200899")</f>
        <v xml:space="preserve">   200899</v>
      </c>
      <c r="B3659" t="str">
        <f>T("   AUTRES")</f>
        <v xml:space="preserve">   AUTRES</v>
      </c>
      <c r="C3659" s="4">
        <v>1802</v>
      </c>
      <c r="D3659" s="4">
        <v>300000</v>
      </c>
    </row>
    <row r="3660" spans="1:4" x14ac:dyDescent="0.25">
      <c r="A3660" t="str">
        <f>T("   200980")</f>
        <v xml:space="preserve">   200980</v>
      </c>
      <c r="B3660" t="str">
        <f>T("   AUTRES JUS DE FRUITS OU DE LEGUMES,SANS ALCOOL,SUCRES OU NON")</f>
        <v xml:space="preserve">   AUTRES JUS DE FRUITS OU DE LEGUMES,SANS ALCOOL,SUCRES OU NON</v>
      </c>
      <c r="C3660" s="4">
        <v>51049</v>
      </c>
      <c r="D3660" s="4">
        <v>7943000</v>
      </c>
    </row>
    <row r="3661" spans="1:4" x14ac:dyDescent="0.25">
      <c r="A3661" t="str">
        <f>T("   200990")</f>
        <v xml:space="preserve">   200990</v>
      </c>
      <c r="B3661" t="str">
        <f>T("   MELANGES DE JUS")</f>
        <v xml:space="preserve">   MELANGES DE JUS</v>
      </c>
      <c r="C3661" s="4">
        <v>48261</v>
      </c>
      <c r="D3661" s="4">
        <v>6720000</v>
      </c>
    </row>
    <row r="3662" spans="1:4" x14ac:dyDescent="0.25">
      <c r="A3662" t="str">
        <f>T("   220110")</f>
        <v xml:space="preserve">   220110</v>
      </c>
      <c r="B3662" t="str">
        <f>T("   EAUX MINERALES ET EAUX GAZEIFIEES")</f>
        <v xml:space="preserve">   EAUX MINERALES ET EAUX GAZEIFIEES</v>
      </c>
      <c r="C3662" s="4">
        <v>24350</v>
      </c>
      <c r="D3662" s="4">
        <v>2161388</v>
      </c>
    </row>
    <row r="3663" spans="1:4" x14ac:dyDescent="0.25">
      <c r="A3663" t="str">
        <f>T("   240310")</f>
        <v xml:space="preserve">   240310</v>
      </c>
      <c r="B3663" t="str">
        <f>T("   TABACS A FUMER,MEME CONTENANT DES SUCCEDANES DU TABAC,EN TOUTE PROPORTION")</f>
        <v xml:space="preserve">   TABACS A FUMER,MEME CONTENANT DES SUCCEDANES DU TABAC,EN TOUTE PROPORTION</v>
      </c>
      <c r="C3663" s="4">
        <v>2942</v>
      </c>
      <c r="D3663" s="4">
        <v>2116000</v>
      </c>
    </row>
    <row r="3664" spans="1:4" x14ac:dyDescent="0.25">
      <c r="A3664" t="str">
        <f>T("   250100")</f>
        <v xml:space="preserve">   250100</v>
      </c>
      <c r="B3664" t="str">
        <f>T("   SEL (Y COMPRIS LE SEL PREPARE POUR LA TABLE ET LE SEL DENATURE) ET CHLORURE DE SODIUM P")</f>
        <v xml:space="preserve">   SEL (Y COMPRIS LE SEL PREPARE POUR LA TABLE ET LE SEL DENATURE) ET CHLORURE DE SODIUM P</v>
      </c>
      <c r="C3664" s="4">
        <v>108000</v>
      </c>
      <c r="D3664" s="4">
        <v>8423050</v>
      </c>
    </row>
    <row r="3665" spans="1:4" x14ac:dyDescent="0.25">
      <c r="A3665" t="str">
        <f>T("   252020")</f>
        <v xml:space="preserve">   252020</v>
      </c>
      <c r="B3665" t="str">
        <f>T("   PLATRES")</f>
        <v xml:space="preserve">   PLATRES</v>
      </c>
      <c r="C3665" s="4">
        <v>1645670</v>
      </c>
      <c r="D3665" s="4">
        <v>96304397</v>
      </c>
    </row>
    <row r="3666" spans="1:4" x14ac:dyDescent="0.25">
      <c r="A3666" t="str">
        <f>T("   252321")</f>
        <v xml:space="preserve">   252321</v>
      </c>
      <c r="B3666" t="str">
        <f>T("   CIMENTS BLANCS, MEME COLORES ARTIFICIELLEMENT")</f>
        <v xml:space="preserve">   CIMENTS BLANCS, MEME COLORES ARTIFICIELLEMENT</v>
      </c>
      <c r="C3666" s="4">
        <v>111600</v>
      </c>
      <c r="D3666" s="4">
        <v>6829377</v>
      </c>
    </row>
    <row r="3667" spans="1:4" x14ac:dyDescent="0.25">
      <c r="A3667" t="str">
        <f>T("   252390")</f>
        <v xml:space="preserve">   252390</v>
      </c>
      <c r="B3667" t="str">
        <f>T("   AUTRES CIMENTS HYDRAULIQUES")</f>
        <v xml:space="preserve">   AUTRES CIMENTS HYDRAULIQUES</v>
      </c>
      <c r="C3667" s="4">
        <v>240</v>
      </c>
      <c r="D3667" s="4">
        <v>29874</v>
      </c>
    </row>
    <row r="3668" spans="1:4" x14ac:dyDescent="0.25">
      <c r="A3668" t="str">
        <f>T("   271011")</f>
        <v xml:space="preserve">   271011</v>
      </c>
      <c r="B3668" t="str">
        <f>T("   HUILLES DE PETROLE OU D'ESSENCE")</f>
        <v xml:space="preserve">   HUILLES DE PETROLE OU D'ESSENCE</v>
      </c>
      <c r="C3668" s="4">
        <v>15676</v>
      </c>
      <c r="D3668" s="4">
        <v>8856089</v>
      </c>
    </row>
    <row r="3669" spans="1:4" x14ac:dyDescent="0.25">
      <c r="A3669" t="str">
        <f>T("   283650")</f>
        <v xml:space="preserve">   283650</v>
      </c>
      <c r="B3669" t="str">
        <f>T("   Carbonate de calcium")</f>
        <v xml:space="preserve">   Carbonate de calcium</v>
      </c>
      <c r="C3669" s="4">
        <v>575604</v>
      </c>
      <c r="D3669" s="4">
        <v>42687831</v>
      </c>
    </row>
    <row r="3670" spans="1:4" x14ac:dyDescent="0.25">
      <c r="A3670" t="str">
        <f>T("   283990")</f>
        <v xml:space="preserve">   283990</v>
      </c>
      <c r="B3670" t="str">
        <f>T("   AUTRES")</f>
        <v xml:space="preserve">   AUTRES</v>
      </c>
      <c r="C3670" s="4">
        <v>22057</v>
      </c>
      <c r="D3670" s="4">
        <v>2292263</v>
      </c>
    </row>
    <row r="3671" spans="1:4" x14ac:dyDescent="0.25">
      <c r="A3671" t="str">
        <f>T("   300220")</f>
        <v xml:space="preserve">   300220</v>
      </c>
      <c r="B3671" t="str">
        <f>T("   Vaccins pour la medecine humaine")</f>
        <v xml:space="preserve">   Vaccins pour la medecine humaine</v>
      </c>
      <c r="C3671" s="4">
        <v>95</v>
      </c>
      <c r="D3671" s="4">
        <v>2061505</v>
      </c>
    </row>
    <row r="3672" spans="1:4" x14ac:dyDescent="0.25">
      <c r="A3672" t="str">
        <f>T("   320820")</f>
        <v xml:space="preserve">   320820</v>
      </c>
      <c r="B3672" t="str">
        <f>T("   A BASE DE POLYMERES ACRYLIQUES OU VINYLIQUES")</f>
        <v xml:space="preserve">   A BASE DE POLYMERES ACRYLIQUES OU VINYLIQUES</v>
      </c>
      <c r="C3672" s="4">
        <v>19662</v>
      </c>
      <c r="D3672" s="4">
        <v>3950000</v>
      </c>
    </row>
    <row r="3673" spans="1:4" x14ac:dyDescent="0.25">
      <c r="A3673" t="str">
        <f>T("   330210")</f>
        <v xml:space="preserve">   330210</v>
      </c>
      <c r="B3673" t="str">
        <f>T("   DES TYPES UTILISES POUR LES INDUSTRIES ALIMENTAIRES OU DES BOISSONS")</f>
        <v xml:space="preserve">   DES TYPES UTILISES POUR LES INDUSTRIES ALIMENTAIRES OU DES BOISSONS</v>
      </c>
      <c r="C3673" s="4">
        <v>85209</v>
      </c>
      <c r="D3673" s="4">
        <v>1885822029</v>
      </c>
    </row>
    <row r="3674" spans="1:4" x14ac:dyDescent="0.25">
      <c r="A3674" t="str">
        <f>T("   350790")</f>
        <v xml:space="preserve">   350790</v>
      </c>
      <c r="B3674" t="str">
        <f>T("   AUTRES")</f>
        <v xml:space="preserve">   AUTRES</v>
      </c>
      <c r="C3674" s="4">
        <v>182</v>
      </c>
      <c r="D3674" s="4">
        <v>200000</v>
      </c>
    </row>
    <row r="3675" spans="1:4" x14ac:dyDescent="0.25">
      <c r="A3675" t="str">
        <f>T("   381400")</f>
        <v xml:space="preserve">   381400</v>
      </c>
      <c r="B3675" t="str">
        <f>T("   SOLVANTS ET DILUANTS ORGANIQUES COMPOSITES, NON DENOMMES NI COMPRIS AILLEURS; PREPARATI")</f>
        <v xml:space="preserve">   SOLVANTS ET DILUANTS ORGANIQUES COMPOSITES, NON DENOMMES NI COMPRIS AILLEURS; PREPARATI</v>
      </c>
      <c r="C3675" s="4">
        <v>17041</v>
      </c>
      <c r="D3675" s="4">
        <v>4669567</v>
      </c>
    </row>
    <row r="3676" spans="1:4" x14ac:dyDescent="0.25">
      <c r="A3676" t="str">
        <f>T("   382200")</f>
        <v xml:space="preserve">   382200</v>
      </c>
      <c r="B3676" t="str">
        <f>T("   REACTIFS DE DIAGNOSTIC OU DE LABORATOIRE SUR TOUT SUPPORT ET REACTIFS DE DIAGNOSTIC OU")</f>
        <v xml:space="preserve">   REACTIFS DE DIAGNOSTIC OU DE LABORATOIRE SUR TOUT SUPPORT ET REACTIFS DE DIAGNOSTIC OU</v>
      </c>
      <c r="C3676" s="4">
        <v>280</v>
      </c>
      <c r="D3676" s="4">
        <v>1053341</v>
      </c>
    </row>
    <row r="3677" spans="1:4" x14ac:dyDescent="0.25">
      <c r="A3677" t="str">
        <f>T("   390319")</f>
        <v xml:space="preserve">   390319</v>
      </c>
      <c r="B3677" t="str">
        <f>T("   AUTRES")</f>
        <v xml:space="preserve">   AUTRES</v>
      </c>
      <c r="C3677" s="4">
        <v>19446</v>
      </c>
      <c r="D3677" s="4">
        <v>17751984</v>
      </c>
    </row>
    <row r="3678" spans="1:4" x14ac:dyDescent="0.25">
      <c r="A3678" t="str">
        <f>T("   390390")</f>
        <v xml:space="preserve">   390390</v>
      </c>
      <c r="B3678" t="str">
        <f>T("   AUTRES")</f>
        <v xml:space="preserve">   AUTRES</v>
      </c>
      <c r="C3678" s="4">
        <v>42830</v>
      </c>
      <c r="D3678" s="4">
        <v>37478623</v>
      </c>
    </row>
    <row r="3679" spans="1:4" x14ac:dyDescent="0.25">
      <c r="A3679" t="str">
        <f>T("   390521")</f>
        <v xml:space="preserve">   390521</v>
      </c>
      <c r="B3679" t="str">
        <f>T("   EN DISPERSION AQUEUSE")</f>
        <v xml:space="preserve">   EN DISPERSION AQUEUSE</v>
      </c>
      <c r="C3679" s="4">
        <v>87095</v>
      </c>
      <c r="D3679" s="4">
        <v>82807572</v>
      </c>
    </row>
    <row r="3680" spans="1:4" x14ac:dyDescent="0.25">
      <c r="A3680" t="str">
        <f>T("   390750")</f>
        <v xml:space="preserve">   390750</v>
      </c>
      <c r="B3680" t="str">
        <f>T("   RESINES ALKYDES")</f>
        <v xml:space="preserve">   RESINES ALKYDES</v>
      </c>
      <c r="C3680" s="4">
        <v>97900</v>
      </c>
      <c r="D3680" s="4">
        <v>83906306</v>
      </c>
    </row>
    <row r="3681" spans="1:4" x14ac:dyDescent="0.25">
      <c r="A3681" t="str">
        <f>T("   390799")</f>
        <v xml:space="preserve">   390799</v>
      </c>
      <c r="B3681" t="str">
        <f>T("   AUTRES")</f>
        <v xml:space="preserve">   AUTRES</v>
      </c>
      <c r="C3681" s="4">
        <v>54000</v>
      </c>
      <c r="D3681" s="4">
        <v>60534027</v>
      </c>
    </row>
    <row r="3682" spans="1:4" x14ac:dyDescent="0.25">
      <c r="A3682" t="str">
        <f>T("   392020")</f>
        <v xml:space="preserve">   392020</v>
      </c>
      <c r="B3682" t="str">
        <f>T("   EN POLYMERES DU PROPYLENE")</f>
        <v xml:space="preserve">   EN POLYMERES DU PROPYLENE</v>
      </c>
      <c r="C3682" s="4">
        <v>142598</v>
      </c>
      <c r="D3682" s="4">
        <v>268268977</v>
      </c>
    </row>
    <row r="3683" spans="1:4" x14ac:dyDescent="0.25">
      <c r="A3683" t="str">
        <f>T("   401220")</f>
        <v xml:space="preserve">   401220</v>
      </c>
      <c r="B3683" t="str">
        <f>T("   PNEUMATIQUES USAGES")</f>
        <v xml:space="preserve">   PNEUMATIQUES USAGES</v>
      </c>
      <c r="C3683" s="4">
        <v>10520</v>
      </c>
      <c r="D3683" s="4">
        <v>3600000</v>
      </c>
    </row>
    <row r="3684" spans="1:4" x14ac:dyDescent="0.25">
      <c r="A3684" t="str">
        <f>T("   401390")</f>
        <v xml:space="preserve">   401390</v>
      </c>
      <c r="B3684" t="str">
        <f>T("   AUTRES")</f>
        <v xml:space="preserve">   AUTRES</v>
      </c>
      <c r="C3684" s="4">
        <v>8000</v>
      </c>
      <c r="D3684" s="4">
        <v>240000</v>
      </c>
    </row>
    <row r="3685" spans="1:4" x14ac:dyDescent="0.25">
      <c r="A3685" t="str">
        <f>T("   490700")</f>
        <v xml:space="preserve">   490700</v>
      </c>
      <c r="B3685" t="str">
        <f>T("   TIMBRESPOSTE, TIMBRES FISCAUX ET ANALOGUES, NON OBLITERES, AYANT COURS OU DESTINES A A")</f>
        <v xml:space="preserve">   TIMBRESPOSTE, TIMBRES FISCAUX ET ANALOGUES, NON OBLITERES, AYANT COURS OU DESTINES A A</v>
      </c>
      <c r="C3685" s="4">
        <v>1517</v>
      </c>
      <c r="D3685" s="4">
        <v>4159450</v>
      </c>
    </row>
    <row r="3686" spans="1:4" x14ac:dyDescent="0.25">
      <c r="A3686" t="str">
        <f>T("   530310")</f>
        <v xml:space="preserve">   530310</v>
      </c>
      <c r="B3686" t="str">
        <f>T("   JUTE ET AUTRES FIBRES TEXTILES LIBERIENNES, BRUTS OU ROUIS")</f>
        <v xml:space="preserve">   JUTE ET AUTRES FIBRES TEXTILES LIBERIENNES, BRUTS OU ROUIS</v>
      </c>
      <c r="C3686" s="4">
        <v>29000</v>
      </c>
      <c r="D3686" s="4">
        <v>23590810</v>
      </c>
    </row>
    <row r="3687" spans="1:4" x14ac:dyDescent="0.25">
      <c r="A3687" t="str">
        <f>T("   560729")</f>
        <v xml:space="preserve">   560729</v>
      </c>
      <c r="B3687" t="str">
        <f>T("   AUTRES")</f>
        <v xml:space="preserve">   AUTRES</v>
      </c>
      <c r="C3687" s="4">
        <v>29000</v>
      </c>
      <c r="D3687" s="4">
        <v>23590810</v>
      </c>
    </row>
    <row r="3688" spans="1:4" x14ac:dyDescent="0.25">
      <c r="A3688" t="str">
        <f>T("   610990")</f>
        <v xml:space="preserve">   610990</v>
      </c>
      <c r="B3688" t="str">
        <f>T("   D'AUTRES MATIERES TEXTILES")</f>
        <v xml:space="preserve">   D'AUTRES MATIERES TEXTILES</v>
      </c>
      <c r="C3688" s="4">
        <v>28.6</v>
      </c>
      <c r="D3688" s="4">
        <v>519946</v>
      </c>
    </row>
    <row r="3689" spans="1:4" x14ac:dyDescent="0.25">
      <c r="A3689" t="str">
        <f>T("   670419")</f>
        <v xml:space="preserve">   670419</v>
      </c>
      <c r="B3689" t="str">
        <f>T("   AUTRES")</f>
        <v xml:space="preserve">   AUTRES</v>
      </c>
      <c r="C3689" s="4">
        <v>5000</v>
      </c>
      <c r="D3689" s="4">
        <v>3445958</v>
      </c>
    </row>
    <row r="3690" spans="1:4" x14ac:dyDescent="0.25">
      <c r="A3690" t="str">
        <f>T("   680710")</f>
        <v xml:space="preserve">   680710</v>
      </c>
      <c r="B3690" t="str">
        <f>T("   EN ROULEAUX")</f>
        <v xml:space="preserve">   EN ROULEAUX</v>
      </c>
      <c r="C3690" s="4">
        <v>23335</v>
      </c>
      <c r="D3690" s="4">
        <v>3261717</v>
      </c>
    </row>
    <row r="3691" spans="1:4" x14ac:dyDescent="0.25">
      <c r="A3691" t="str">
        <f>T("   691090")</f>
        <v xml:space="preserve">   691090</v>
      </c>
      <c r="B3691" t="str">
        <f>T("   AUTRES")</f>
        <v xml:space="preserve">   AUTRES</v>
      </c>
      <c r="C3691" s="4">
        <v>16010</v>
      </c>
      <c r="D3691" s="4">
        <v>8654244</v>
      </c>
    </row>
    <row r="3692" spans="1:4" x14ac:dyDescent="0.25">
      <c r="A3692" t="str">
        <f>T("   700721")</f>
        <v xml:space="preserve">   700721</v>
      </c>
      <c r="B3692" t="str">
        <f>T("   DE DIMENSIONS ET FORMATS PERMETTANT LEUR EMPLOI DANS LES AUTOMOBILES, VEHICULES AERI")</f>
        <v xml:space="preserve">   DE DIMENSIONS ET FORMATS PERMETTANT LEUR EMPLOI DANS LES AUTOMOBILES, VEHICULES AERI</v>
      </c>
      <c r="C3692" s="4">
        <v>1170</v>
      </c>
      <c r="D3692" s="4">
        <v>873310</v>
      </c>
    </row>
    <row r="3693" spans="1:4" x14ac:dyDescent="0.25">
      <c r="A3693" t="str">
        <f>T("   730411")</f>
        <v xml:space="preserve">   730411</v>
      </c>
      <c r="B3693" t="str">
        <f>T("   EN ACIERS INOXYDABLES")</f>
        <v xml:space="preserve">   EN ACIERS INOXYDABLES</v>
      </c>
      <c r="C3693" s="4">
        <v>986</v>
      </c>
      <c r="D3693" s="4">
        <v>17838852</v>
      </c>
    </row>
    <row r="3694" spans="1:4" x14ac:dyDescent="0.25">
      <c r="A3694" t="str">
        <f>T("   730820")</f>
        <v xml:space="preserve">   730820</v>
      </c>
      <c r="B3694" t="str">
        <f>T("   TOURS ET PYLONES")</f>
        <v xml:space="preserve">   TOURS ET PYLONES</v>
      </c>
      <c r="C3694" s="4">
        <v>153870</v>
      </c>
      <c r="D3694" s="4">
        <v>296925259</v>
      </c>
    </row>
    <row r="3695" spans="1:4" x14ac:dyDescent="0.25">
      <c r="A3695" t="str">
        <f>T("   731815")</f>
        <v xml:space="preserve">   731815</v>
      </c>
      <c r="B3695" t="str">
        <f>T("   AUTRES VIS ET BOULONS, MEME AVEC LEURS ECROUS OU RONDELLES")</f>
        <v xml:space="preserve">   AUTRES VIS ET BOULONS, MEME AVEC LEURS ECROUS OU RONDELLES</v>
      </c>
      <c r="C3695" s="4">
        <v>112700</v>
      </c>
      <c r="D3695" s="4">
        <v>411000</v>
      </c>
    </row>
    <row r="3696" spans="1:4" x14ac:dyDescent="0.25">
      <c r="A3696" t="str">
        <f>T("   732111")</f>
        <v xml:space="preserve">   732111</v>
      </c>
      <c r="B3696" t="str">
        <f>T("   A COMBUSTIBLES GAZEUX OU A GAZ ET AUTRES COMBUSTIBLES")</f>
        <v xml:space="preserve">   A COMBUSTIBLES GAZEUX OU A GAZ ET AUTRES COMBUSTIBLES</v>
      </c>
      <c r="C3696" s="4">
        <v>21089</v>
      </c>
      <c r="D3696" s="4">
        <v>25778444</v>
      </c>
    </row>
    <row r="3697" spans="1:4" x14ac:dyDescent="0.25">
      <c r="A3697" t="str">
        <f>T("   841451")</f>
        <v xml:space="preserve">   841451</v>
      </c>
      <c r="B3697" t="str">
        <f>T("   VENTILATEURS DE TABLE, DE SOL, MURAUX, PLAFONNIERS, DE TOITURES OU DE FENETRES, A MO")</f>
        <v xml:space="preserve">   VENTILATEURS DE TABLE, DE SOL, MURAUX, PLAFONNIERS, DE TOITURES OU DE FENETRES, A MO</v>
      </c>
      <c r="C3697" s="4">
        <v>799</v>
      </c>
      <c r="D3697" s="4">
        <v>887909</v>
      </c>
    </row>
    <row r="3698" spans="1:4" x14ac:dyDescent="0.25">
      <c r="A3698" t="str">
        <f>T("   841510")</f>
        <v xml:space="preserve">   841510</v>
      </c>
      <c r="B3698" t="str">
        <f>T("   DU TYPE MURAL OU POUR FENETRES, FORMANT UN SEUL CORPS OU DU TYPE «SPLITSYSTEM» (SYST")</f>
        <v xml:space="preserve">   DU TYPE MURAL OU POUR FENETRES, FORMANT UN SEUL CORPS OU DU TYPE «SPLITSYSTEM» (SYST</v>
      </c>
      <c r="C3698" s="4">
        <v>5708</v>
      </c>
      <c r="D3698" s="4">
        <v>10200836</v>
      </c>
    </row>
    <row r="3699" spans="1:4" x14ac:dyDescent="0.25">
      <c r="A3699" t="str">
        <f>T("   841830")</f>
        <v xml:space="preserve">   841830</v>
      </c>
      <c r="B3699" t="str">
        <f>T("   MEUBLES CONGELATEURSCONSERVATEURS DU TYPE COFFRE, D'UNE CAPACITE N'EXCEDANT PAS 800 ")</f>
        <v xml:space="preserve">   MEUBLES CONGELATEURSCONSERVATEURS DU TYPE COFFRE, D'UNE CAPACITE N'EXCEDANT PAS 800 </v>
      </c>
      <c r="C3699" s="4">
        <v>5609</v>
      </c>
      <c r="D3699" s="4">
        <v>8617417</v>
      </c>
    </row>
    <row r="3700" spans="1:4" x14ac:dyDescent="0.25">
      <c r="A3700" t="str">
        <f>T("   843143")</f>
        <v xml:space="preserve">   843143</v>
      </c>
      <c r="B3700" t="str">
        <f>T("   PARTIES DE MACHINES DE SONDAGE OU DE FORAGE DES N°S 8430.41 OU 8430.49")</f>
        <v xml:space="preserve">   PARTIES DE MACHINES DE SONDAGE OU DE FORAGE DES N°S 8430.41 OU 8430.49</v>
      </c>
      <c r="C3700" s="4">
        <v>1.5</v>
      </c>
      <c r="D3700" s="4">
        <v>1600238</v>
      </c>
    </row>
    <row r="3701" spans="1:4" x14ac:dyDescent="0.25">
      <c r="A3701" t="str">
        <f>T("   850940")</f>
        <v xml:space="preserve">   850940</v>
      </c>
      <c r="B3701" t="str">
        <f>T("   BROYEURS ET MELANGEURS POUR ALIMENTS; PRESSEFRUITS ET PRESSELEGUMES")</f>
        <v xml:space="preserve">   BROYEURS ET MELANGEURS POUR ALIMENTS; PRESSEFRUITS ET PRESSELEGUMES</v>
      </c>
      <c r="C3701" s="4">
        <v>329</v>
      </c>
      <c r="D3701" s="4">
        <v>445843</v>
      </c>
    </row>
    <row r="3702" spans="1:4" x14ac:dyDescent="0.25">
      <c r="A3702" t="str">
        <f>T("   851610")</f>
        <v xml:space="preserve">   851610</v>
      </c>
      <c r="B3702" t="str">
        <f>T("   CHAUFFEEAU ET THERMOPLONGEURS ELECTRIQUES")</f>
        <v xml:space="preserve">   CHAUFFEEAU ET THERMOPLONGEURS ELECTRIQUES</v>
      </c>
      <c r="C3702" s="4">
        <v>7651</v>
      </c>
      <c r="D3702" s="4">
        <v>14789456</v>
      </c>
    </row>
    <row r="3703" spans="1:4" x14ac:dyDescent="0.25">
      <c r="A3703" t="str">
        <f>T("   870323")</f>
        <v xml:space="preserve">   870323</v>
      </c>
      <c r="B3703" t="str">
        <f>T("   D’UNE CYLINDREE EXCEDANT 1.500 CM³ MAIS N’EXCEDANT PAS 3.000 CM³")</f>
        <v xml:space="preserve">   D’UNE CYLINDREE EXCEDANT 1.500 CM³ MAIS N’EXCEDANT PAS 3.000 CM³</v>
      </c>
      <c r="C3703" s="4">
        <v>1650</v>
      </c>
      <c r="D3703" s="4">
        <v>7417562</v>
      </c>
    </row>
    <row r="3704" spans="1:4" x14ac:dyDescent="0.25">
      <c r="A3704" t="str">
        <f>T("   940161")</f>
        <v xml:space="preserve">   940161</v>
      </c>
      <c r="B3704" t="str">
        <f>T("   REMBOURRES")</f>
        <v xml:space="preserve">   REMBOURRES</v>
      </c>
      <c r="C3704" s="4">
        <v>4000</v>
      </c>
      <c r="D3704" s="4">
        <v>7700000</v>
      </c>
    </row>
    <row r="3705" spans="1:4" x14ac:dyDescent="0.25">
      <c r="A3705" t="str">
        <f>T("   940370")</f>
        <v xml:space="preserve">   940370</v>
      </c>
      <c r="B3705" t="str">
        <f>T("   MEUBLES EN MATIERES PLASTIQUES")</f>
        <v xml:space="preserve">   MEUBLES EN MATIERES PLASTIQUES</v>
      </c>
      <c r="C3705" s="4">
        <v>6000</v>
      </c>
      <c r="D3705" s="4">
        <v>4316217</v>
      </c>
    </row>
    <row r="3706" spans="1:4" s="5" customFormat="1" x14ac:dyDescent="0.25">
      <c r="A3706" s="5" t="str">
        <f>T("   ZZ_Total_Produit_SH6")</f>
        <v xml:space="preserve">   ZZ_Total_Produit_SH6</v>
      </c>
      <c r="B3706" s="5" t="str">
        <f>T("   ZZ_Total_Produit_SH6")</f>
        <v xml:space="preserve">   ZZ_Total_Produit_SH6</v>
      </c>
      <c r="C3706" s="1">
        <v>3900684.1</v>
      </c>
      <c r="D3706" s="1">
        <v>3216386741.125</v>
      </c>
    </row>
    <row r="3707" spans="1:4" s="5" customFormat="1" x14ac:dyDescent="0.25">
      <c r="B3707" s="5" t="str">
        <f>T("Erythrée")</f>
        <v>Erythrée</v>
      </c>
      <c r="C3707" s="1"/>
      <c r="D3707" s="1"/>
    </row>
    <row r="3708" spans="1:4" x14ac:dyDescent="0.25">
      <c r="A3708" t="str">
        <f>T("   490700")</f>
        <v xml:space="preserve">   490700</v>
      </c>
      <c r="B3708" t="str">
        <f>T("   TIMBRESPOSTE, TIMBRES FISCAUX ET ANALOGUES, NON OBLITERES, AYANT COURS OU DESTINES A A")</f>
        <v xml:space="preserve">   TIMBRESPOSTE, TIMBRES FISCAUX ET ANALOGUES, NON OBLITERES, AYANT COURS OU DESTINES A A</v>
      </c>
      <c r="C3708" s="4">
        <v>30</v>
      </c>
      <c r="D3708" s="4">
        <v>202900</v>
      </c>
    </row>
    <row r="3709" spans="1:4" s="5" customFormat="1" x14ac:dyDescent="0.25">
      <c r="A3709" s="5" t="str">
        <f>T("   ZZ_Total_Produit_SH6")</f>
        <v xml:space="preserve">   ZZ_Total_Produit_SH6</v>
      </c>
      <c r="B3709" s="5" t="str">
        <f>T("   ZZ_Total_Produit_SH6")</f>
        <v xml:space="preserve">   ZZ_Total_Produit_SH6</v>
      </c>
      <c r="C3709" s="1">
        <v>30</v>
      </c>
      <c r="D3709" s="1">
        <v>202900</v>
      </c>
    </row>
    <row r="3710" spans="1:4" s="5" customFormat="1" x14ac:dyDescent="0.25">
      <c r="B3710" s="5" t="str">
        <f>T("Espagne")</f>
        <v>Espagne</v>
      </c>
      <c r="C3710" s="1"/>
      <c r="D3710" s="1"/>
    </row>
    <row r="3711" spans="1:4" x14ac:dyDescent="0.25">
      <c r="A3711" t="str">
        <f>T("   020312")</f>
        <v xml:space="preserve">   020312</v>
      </c>
      <c r="B3711" t="str">
        <f>T("   JAMBONS, EPAULES ET LEURS MORCEAUX, NON DESOSSES")</f>
        <v xml:space="preserve">   JAMBONS, EPAULES ET LEURS MORCEAUX, NON DESOSSES</v>
      </c>
      <c r="C3711" s="4">
        <v>12497</v>
      </c>
      <c r="D3711" s="4">
        <v>9833496</v>
      </c>
    </row>
    <row r="3712" spans="1:4" x14ac:dyDescent="0.25">
      <c r="A3712" t="str">
        <f>T("   020319")</f>
        <v xml:space="preserve">   020319</v>
      </c>
      <c r="B3712" t="str">
        <f>T("   AUTRES")</f>
        <v xml:space="preserve">   AUTRES</v>
      </c>
      <c r="C3712" s="4">
        <v>6477</v>
      </c>
      <c r="D3712" s="4">
        <v>4036121</v>
      </c>
    </row>
    <row r="3713" spans="1:4" x14ac:dyDescent="0.25">
      <c r="A3713" t="str">
        <f>T("   020649")</f>
        <v xml:space="preserve">   020649</v>
      </c>
      <c r="B3713" t="str">
        <f>T("   AUTRES")</f>
        <v xml:space="preserve">   AUTRES</v>
      </c>
      <c r="C3713" s="4">
        <v>20289</v>
      </c>
      <c r="D3713" s="4">
        <v>21251008</v>
      </c>
    </row>
    <row r="3714" spans="1:4" x14ac:dyDescent="0.25">
      <c r="A3714" t="str">
        <f>T("   020712")</f>
        <v xml:space="preserve">   020712</v>
      </c>
      <c r="B3714" t="str">
        <f>T("   NON DECOUPES EN MORCEAUX, CONGELES")</f>
        <v xml:space="preserve">   NON DECOUPES EN MORCEAUX, CONGELES</v>
      </c>
      <c r="C3714" s="4">
        <v>11968817.539999999</v>
      </c>
      <c r="D3714" s="4">
        <v>7386995575</v>
      </c>
    </row>
    <row r="3715" spans="1:4" x14ac:dyDescent="0.25">
      <c r="A3715" t="str">
        <f>T("   020714")</f>
        <v xml:space="preserve">   020714</v>
      </c>
      <c r="B3715" t="str">
        <f>T("   MORCEAUX ET ABATS, CONGELES")</f>
        <v xml:space="preserve">   MORCEAUX ET ABATS, CONGELES</v>
      </c>
      <c r="C3715" s="4">
        <v>2140816.8199999998</v>
      </c>
      <c r="D3715" s="4">
        <v>1325288456</v>
      </c>
    </row>
    <row r="3716" spans="1:4" x14ac:dyDescent="0.25">
      <c r="A3716" t="str">
        <f>T("   020727")</f>
        <v xml:space="preserve">   020727</v>
      </c>
      <c r="B3716" t="str">
        <f>T("   MORCEAUX ET ABATS, CONGELES")</f>
        <v xml:space="preserve">   MORCEAUX ET ABATS, CONGELES</v>
      </c>
      <c r="C3716" s="4">
        <v>3561155.64</v>
      </c>
      <c r="D3716" s="4">
        <v>2179135674</v>
      </c>
    </row>
    <row r="3717" spans="1:4" x14ac:dyDescent="0.25">
      <c r="A3717" t="str">
        <f>T("   030199")</f>
        <v xml:space="preserve">   030199</v>
      </c>
      <c r="B3717" t="str">
        <f>T("   AUTRES")</f>
        <v xml:space="preserve">   AUTRES</v>
      </c>
      <c r="C3717" s="4">
        <v>17580</v>
      </c>
      <c r="D3717" s="4">
        <v>7032000</v>
      </c>
    </row>
    <row r="3718" spans="1:4" x14ac:dyDescent="0.25">
      <c r="A3718" t="str">
        <f>T("   030219")</f>
        <v xml:space="preserve">   030219</v>
      </c>
      <c r="B3718" t="str">
        <f>T("   AUTRES")</f>
        <v xml:space="preserve">   AUTRES</v>
      </c>
      <c r="C3718" s="4">
        <v>2220028</v>
      </c>
      <c r="D3718" s="4">
        <v>883636713</v>
      </c>
    </row>
    <row r="3719" spans="1:4" x14ac:dyDescent="0.25">
      <c r="A3719" t="str">
        <f>T("   030264")</f>
        <v xml:space="preserve">   030264</v>
      </c>
      <c r="B3719" t="str">
        <f>T("   MAQUEREAUX ENTIERS,FRAIS OU REFRIGERES.(FOIES,OEUFS,LAITANCES EXCLUS)")</f>
        <v xml:space="preserve">   MAQUEREAUX ENTIERS,FRAIS OU REFRIGERES.(FOIES,OEUFS,LAITANCES EXCLUS)</v>
      </c>
      <c r="C3719" s="4">
        <v>51000</v>
      </c>
      <c r="D3719" s="4">
        <v>20400000</v>
      </c>
    </row>
    <row r="3720" spans="1:4" x14ac:dyDescent="0.25">
      <c r="A3720" t="str">
        <f>T("   030269")</f>
        <v xml:space="preserve">   030269</v>
      </c>
      <c r="B3720" t="str">
        <f>T("   Autres poissons entiers,frais ou refrigeres.(foies,oeufs laitances exclus)")</f>
        <v xml:space="preserve">   Autres poissons entiers,frais ou refrigeres.(foies,oeufs laitances exclus)</v>
      </c>
      <c r="C3720" s="4">
        <v>250080</v>
      </c>
      <c r="D3720" s="4">
        <v>100032000</v>
      </c>
    </row>
    <row r="3721" spans="1:4" x14ac:dyDescent="0.25">
      <c r="A3721" t="str">
        <f>T("   030339")</f>
        <v xml:space="preserve">   030339</v>
      </c>
      <c r="B3721" t="str">
        <f>T("   AUTRES")</f>
        <v xml:space="preserve">   AUTRES</v>
      </c>
      <c r="C3721" s="4">
        <v>26250</v>
      </c>
      <c r="D3721" s="4">
        <v>5906250</v>
      </c>
    </row>
    <row r="3722" spans="1:4" x14ac:dyDescent="0.25">
      <c r="A3722" t="str">
        <f>T("   030379")</f>
        <v xml:space="preserve">   030379</v>
      </c>
      <c r="B3722" t="str">
        <f>T("   AUTRES POISSONS ENTIERS CONGELES.(FOIES,OEUFS,LAITANCES EXCLUS)")</f>
        <v xml:space="preserve">   AUTRES POISSONS ENTIERS CONGELES.(FOIES,OEUFS,LAITANCES EXCLUS)</v>
      </c>
      <c r="C3722" s="4">
        <v>964380</v>
      </c>
      <c r="D3722" s="4">
        <v>366988331</v>
      </c>
    </row>
    <row r="3723" spans="1:4" x14ac:dyDescent="0.25">
      <c r="A3723" t="str">
        <f>T("   040310")</f>
        <v xml:space="preserve">   040310</v>
      </c>
      <c r="B3723" t="str">
        <f>T("   YOGHOURT")</f>
        <v xml:space="preserve">   YOGHOURT</v>
      </c>
      <c r="C3723" s="4">
        <v>9315</v>
      </c>
      <c r="D3723" s="4">
        <v>3326373</v>
      </c>
    </row>
    <row r="3724" spans="1:4" x14ac:dyDescent="0.25">
      <c r="A3724" t="str">
        <f>T("   040690")</f>
        <v xml:space="preserve">   040690</v>
      </c>
      <c r="B3724" t="str">
        <f>T("   AUTRES FROMAGES")</f>
        <v xml:space="preserve">   AUTRES FROMAGES</v>
      </c>
      <c r="C3724" s="4">
        <v>9068</v>
      </c>
      <c r="D3724" s="4">
        <v>7564531</v>
      </c>
    </row>
    <row r="3725" spans="1:4" x14ac:dyDescent="0.25">
      <c r="A3725" t="str">
        <f>T("   050400")</f>
        <v xml:space="preserve">   050400</v>
      </c>
      <c r="B3725" t="str">
        <f>T("   BOYAUX, VESSIES ET ESTOMACS D'ANIMAUX, ENTIERS OU EN MORCEAUX, AUTRES QUE CEUX DE POISS")</f>
        <v xml:space="preserve">   BOYAUX, VESSIES ET ESTOMACS D'ANIMAUX, ENTIERS OU EN MORCEAUX, AUTRES QUE CEUX DE POISS</v>
      </c>
      <c r="C3725" s="4">
        <v>107530</v>
      </c>
      <c r="D3725" s="4">
        <v>122711743</v>
      </c>
    </row>
    <row r="3726" spans="1:4" x14ac:dyDescent="0.25">
      <c r="A3726" t="str">
        <f>T("   080610")</f>
        <v xml:space="preserve">   080610</v>
      </c>
      <c r="B3726" t="str">
        <f>T("   FRAIS")</f>
        <v xml:space="preserve">   FRAIS</v>
      </c>
      <c r="C3726" s="4">
        <v>18720</v>
      </c>
      <c r="D3726" s="4">
        <v>3241801</v>
      </c>
    </row>
    <row r="3727" spans="1:4" x14ac:dyDescent="0.25">
      <c r="A3727" t="str">
        <f>T("   080810")</f>
        <v xml:space="preserve">   080810</v>
      </c>
      <c r="B3727" t="str">
        <f>T("   POMMES")</f>
        <v xml:space="preserve">   POMMES</v>
      </c>
      <c r="C3727" s="4">
        <v>18428</v>
      </c>
      <c r="D3727" s="4">
        <v>7000405</v>
      </c>
    </row>
    <row r="3728" spans="1:4" x14ac:dyDescent="0.25">
      <c r="A3728" t="str">
        <f>T("   100630")</f>
        <v xml:space="preserve">   100630</v>
      </c>
      <c r="B3728" t="str">
        <f>T("   RIZ SEMIBLANCHI OU BLANCHI, MEME POLI OU GLACE")</f>
        <v xml:space="preserve">   RIZ SEMIBLANCHI OU BLANCHI, MEME POLI OU GLACE</v>
      </c>
      <c r="C3728" s="4">
        <v>2000</v>
      </c>
      <c r="D3728" s="4">
        <v>279432</v>
      </c>
    </row>
    <row r="3729" spans="1:4" x14ac:dyDescent="0.25">
      <c r="A3729" t="str">
        <f>T("   110100")</f>
        <v xml:space="preserve">   110100</v>
      </c>
      <c r="B3729" t="str">
        <f>T("   FARINES DE FROMENT (BLE) OU DE METEIL.")</f>
        <v xml:space="preserve">   FARINES DE FROMENT (BLE) OU DE METEIL.</v>
      </c>
      <c r="C3729" s="4">
        <v>550100</v>
      </c>
      <c r="D3729" s="4">
        <v>147319801.836</v>
      </c>
    </row>
    <row r="3730" spans="1:4" x14ac:dyDescent="0.25">
      <c r="A3730" t="str">
        <f>T("   110311")</f>
        <v xml:space="preserve">   110311</v>
      </c>
      <c r="B3730" t="str">
        <f>T("   DE FROMENT (BLE)")</f>
        <v xml:space="preserve">   DE FROMENT (BLE)</v>
      </c>
      <c r="C3730" s="4">
        <v>235000</v>
      </c>
      <c r="D3730" s="4">
        <v>65634046</v>
      </c>
    </row>
    <row r="3731" spans="1:4" x14ac:dyDescent="0.25">
      <c r="A3731" t="str">
        <f>T("   110710")</f>
        <v xml:space="preserve">   110710</v>
      </c>
      <c r="B3731" t="str">
        <f>T("   NON TORREFIE")</f>
        <v xml:space="preserve">   NON TORREFIE</v>
      </c>
      <c r="C3731" s="4">
        <v>255913</v>
      </c>
      <c r="D3731" s="4">
        <v>82461060</v>
      </c>
    </row>
    <row r="3732" spans="1:4" x14ac:dyDescent="0.25">
      <c r="A3732" t="str">
        <f>T("   150910")</f>
        <v xml:space="preserve">   150910</v>
      </c>
      <c r="B3732" t="str">
        <f>T("   VIERGES")</f>
        <v xml:space="preserve">   VIERGES</v>
      </c>
      <c r="C3732" s="4">
        <v>600</v>
      </c>
      <c r="D3732" s="4">
        <v>552974</v>
      </c>
    </row>
    <row r="3733" spans="1:4" x14ac:dyDescent="0.25">
      <c r="A3733" t="str">
        <f>T("   151229")</f>
        <v xml:space="preserve">   151229</v>
      </c>
      <c r="B3733" t="str">
        <f>T("   AUTRES")</f>
        <v xml:space="preserve">   AUTRES</v>
      </c>
      <c r="C3733" s="4">
        <v>1125</v>
      </c>
      <c r="D3733" s="4">
        <v>428834</v>
      </c>
    </row>
    <row r="3734" spans="1:4" x14ac:dyDescent="0.25">
      <c r="A3734" t="str">
        <f>T("   160231")</f>
        <v xml:space="preserve">   160231</v>
      </c>
      <c r="B3734" t="str">
        <f>T("   DE DINDE")</f>
        <v xml:space="preserve">   DE DINDE</v>
      </c>
      <c r="C3734" s="4">
        <v>4299</v>
      </c>
      <c r="D3734" s="4">
        <v>3301446</v>
      </c>
    </row>
    <row r="3735" spans="1:4" x14ac:dyDescent="0.25">
      <c r="A3735" t="str">
        <f>T("   160241")</f>
        <v xml:space="preserve">   160241</v>
      </c>
      <c r="B3735" t="str">
        <f>T("   JAMBONS ET LEURS MORCEAUX")</f>
        <v xml:space="preserve">   JAMBONS ET LEURS MORCEAUX</v>
      </c>
      <c r="C3735" s="4">
        <v>11311</v>
      </c>
      <c r="D3735" s="4">
        <v>8541257</v>
      </c>
    </row>
    <row r="3736" spans="1:4" x14ac:dyDescent="0.25">
      <c r="A3736" t="str">
        <f>T("   190190")</f>
        <v xml:space="preserve">   190190</v>
      </c>
      <c r="B3736" t="str">
        <f>T("   AUTRES")</f>
        <v xml:space="preserve">   AUTRES</v>
      </c>
      <c r="C3736" s="4">
        <v>32301</v>
      </c>
      <c r="D3736" s="4">
        <v>3396239</v>
      </c>
    </row>
    <row r="3737" spans="1:4" x14ac:dyDescent="0.25">
      <c r="A3737" t="str">
        <f>T("   190230")</f>
        <v xml:space="preserve">   190230</v>
      </c>
      <c r="B3737" t="str">
        <f>T("   AUTRES PATES ALIMENTAIRES")</f>
        <v xml:space="preserve">   AUTRES PATES ALIMENTAIRES</v>
      </c>
      <c r="C3737" s="4">
        <v>27810</v>
      </c>
      <c r="D3737" s="4">
        <v>2593666</v>
      </c>
    </row>
    <row r="3738" spans="1:4" x14ac:dyDescent="0.25">
      <c r="A3738" t="str">
        <f>T("   190531")</f>
        <v xml:space="preserve">   190531</v>
      </c>
      <c r="B3738" t="str">
        <f>T("   BISCUITS ADDITIONNES D’EDULCORANTS")</f>
        <v xml:space="preserve">   BISCUITS ADDITIONNES D’EDULCORANTS</v>
      </c>
      <c r="C3738" s="4">
        <v>5775</v>
      </c>
      <c r="D3738" s="4">
        <v>3448000</v>
      </c>
    </row>
    <row r="3739" spans="1:4" x14ac:dyDescent="0.25">
      <c r="A3739" t="str">
        <f>T("   190590")</f>
        <v xml:space="preserve">   190590</v>
      </c>
      <c r="B3739" t="str">
        <f>T("   AUTRES")</f>
        <v xml:space="preserve">   AUTRES</v>
      </c>
      <c r="C3739" s="4">
        <v>11104</v>
      </c>
      <c r="D3739" s="4">
        <v>9426452</v>
      </c>
    </row>
    <row r="3740" spans="1:4" x14ac:dyDescent="0.25">
      <c r="A3740" t="str">
        <f>T("   200490")</f>
        <v xml:space="preserve">   200490</v>
      </c>
      <c r="B3740" t="str">
        <f>T("   AUTRES LEGUMES ET MELANGES DE LEGUMES")</f>
        <v xml:space="preserve">   AUTRES LEGUMES ET MELANGES DE LEGUMES</v>
      </c>
      <c r="C3740" s="4">
        <v>9547</v>
      </c>
      <c r="D3740" s="4">
        <v>3376225</v>
      </c>
    </row>
    <row r="3741" spans="1:4" x14ac:dyDescent="0.25">
      <c r="A3741" t="str">
        <f>T("   200570")</f>
        <v xml:space="preserve">   200570</v>
      </c>
      <c r="B3741" t="str">
        <f>T("   OLIVES")</f>
        <v xml:space="preserve">   OLIVES</v>
      </c>
      <c r="C3741" s="4">
        <v>22510</v>
      </c>
      <c r="D3741" s="4">
        <v>2798000</v>
      </c>
    </row>
    <row r="3742" spans="1:4" x14ac:dyDescent="0.25">
      <c r="A3742" t="str">
        <f>T("   200980")</f>
        <v xml:space="preserve">   200980</v>
      </c>
      <c r="B3742" t="str">
        <f>T("   AUTRES JUS DE FRUITS OU DE LEGUMES,SANS ALCOOL,SUCRES OU NON")</f>
        <v xml:space="preserve">   AUTRES JUS DE FRUITS OU DE LEGUMES,SANS ALCOOL,SUCRES OU NON</v>
      </c>
      <c r="C3742" s="4">
        <v>168190</v>
      </c>
      <c r="D3742" s="4">
        <v>22840919</v>
      </c>
    </row>
    <row r="3743" spans="1:4" x14ac:dyDescent="0.25">
      <c r="A3743" t="str">
        <f>T("   200990")</f>
        <v xml:space="preserve">   200990</v>
      </c>
      <c r="B3743" t="str">
        <f>T("   MELANGES DE JUS")</f>
        <v xml:space="preserve">   MELANGES DE JUS</v>
      </c>
      <c r="C3743" s="4">
        <v>81663</v>
      </c>
      <c r="D3743" s="4">
        <v>11997501</v>
      </c>
    </row>
    <row r="3744" spans="1:4" x14ac:dyDescent="0.25">
      <c r="A3744" t="str">
        <f>T("   210690")</f>
        <v xml:space="preserve">   210690</v>
      </c>
      <c r="B3744" t="str">
        <f>T("   AUTRES")</f>
        <v xml:space="preserve">   AUTRES</v>
      </c>
      <c r="C3744" s="4">
        <v>32600</v>
      </c>
      <c r="D3744" s="4">
        <v>8704753</v>
      </c>
    </row>
    <row r="3745" spans="1:4" x14ac:dyDescent="0.25">
      <c r="A3745" t="str">
        <f>T("   220110")</f>
        <v xml:space="preserve">   220110</v>
      </c>
      <c r="B3745" t="str">
        <f>T("   EAUX MINERALES ET EAUX GAZEIFIEES")</f>
        <v xml:space="preserve">   EAUX MINERALES ET EAUX GAZEIFIEES</v>
      </c>
      <c r="C3745" s="4">
        <v>139921</v>
      </c>
      <c r="D3745" s="4">
        <v>9567386</v>
      </c>
    </row>
    <row r="3746" spans="1:4" x14ac:dyDescent="0.25">
      <c r="A3746" t="str">
        <f>T("   220290")</f>
        <v xml:space="preserve">   220290</v>
      </c>
      <c r="B3746" t="str">
        <f>T("   AUTRES")</f>
        <v xml:space="preserve">   AUTRES</v>
      </c>
      <c r="C3746" s="4">
        <v>540530</v>
      </c>
      <c r="D3746" s="4">
        <v>113079020</v>
      </c>
    </row>
    <row r="3747" spans="1:4" x14ac:dyDescent="0.25">
      <c r="A3747" t="str">
        <f>T("   220300")</f>
        <v xml:space="preserve">   220300</v>
      </c>
      <c r="B3747" t="str">
        <f>T("   BIERES DE MALT.")</f>
        <v xml:space="preserve">   BIERES DE MALT.</v>
      </c>
      <c r="C3747" s="4">
        <v>530932</v>
      </c>
      <c r="D3747" s="4">
        <v>106013210</v>
      </c>
    </row>
    <row r="3748" spans="1:4" x14ac:dyDescent="0.25">
      <c r="A3748" t="str">
        <f>T("   220421")</f>
        <v xml:space="preserve">   220421</v>
      </c>
      <c r="B3748" t="str">
        <f>T("   EN RECIPIENTS D'UNE CONTENANCE N'EXCEDANT PAS 2 L")</f>
        <v xml:space="preserve">   EN RECIPIENTS D'UNE CONTENANCE N'EXCEDANT PAS 2 L</v>
      </c>
      <c r="C3748" s="4">
        <v>629860</v>
      </c>
      <c r="D3748" s="4">
        <v>106546573</v>
      </c>
    </row>
    <row r="3749" spans="1:4" x14ac:dyDescent="0.25">
      <c r="A3749" t="str">
        <f>T("   220429")</f>
        <v xml:space="preserve">   220429</v>
      </c>
      <c r="B3749" t="str">
        <f>T("   AUTRES")</f>
        <v xml:space="preserve">   AUTRES</v>
      </c>
      <c r="C3749" s="4">
        <v>584739</v>
      </c>
      <c r="D3749" s="4">
        <v>64344300</v>
      </c>
    </row>
    <row r="3750" spans="1:4" x14ac:dyDescent="0.25">
      <c r="A3750" t="str">
        <f>T("   220510")</f>
        <v xml:space="preserve">   220510</v>
      </c>
      <c r="B3750" t="str">
        <f>T("   EN RECIPIENTS D'UNE CONTENANCE N'EXCEDANT PAS 2 L")</f>
        <v xml:space="preserve">   EN RECIPIENTS D'UNE CONTENANCE N'EXCEDANT PAS 2 L</v>
      </c>
      <c r="C3750" s="4">
        <v>114094</v>
      </c>
      <c r="D3750" s="4">
        <v>24976957</v>
      </c>
    </row>
    <row r="3751" spans="1:4" x14ac:dyDescent="0.25">
      <c r="A3751" t="str">
        <f>T("   220600")</f>
        <v xml:space="preserve">   220600</v>
      </c>
      <c r="B3751" t="str">
        <f>T("   AUTRES BOISSONS FERMENTEES (CIDRE, POIRE, HYDROMEL, PAR EXEMPLE); MELANGES DE BOISSONS")</f>
        <v xml:space="preserve">   AUTRES BOISSONS FERMENTEES (CIDRE, POIRE, HYDROMEL, PAR EXEMPLE); MELANGES DE BOISSONS</v>
      </c>
      <c r="C3751" s="4">
        <v>307565</v>
      </c>
      <c r="D3751" s="4">
        <v>90591357</v>
      </c>
    </row>
    <row r="3752" spans="1:4" x14ac:dyDescent="0.25">
      <c r="A3752" t="str">
        <f>T("   220840")</f>
        <v xml:space="preserve">   220840</v>
      </c>
      <c r="B3752" t="str">
        <f>T("   RHUM ET AUTRES EAUXDEVIE PROVENANT DE LA DISTILLATION, APRES FERMENTATION, DE PRODU")</f>
        <v xml:space="preserve">   RHUM ET AUTRES EAUXDEVIE PROVENANT DE LA DISTILLATION, APRES FERMENTATION, DE PRODU</v>
      </c>
      <c r="C3752" s="4">
        <v>17600</v>
      </c>
      <c r="D3752" s="4">
        <v>10995070</v>
      </c>
    </row>
    <row r="3753" spans="1:4" x14ac:dyDescent="0.25">
      <c r="A3753" t="str">
        <f>T("   220850")</f>
        <v xml:space="preserve">   220850</v>
      </c>
      <c r="B3753" t="str">
        <f>T("   GIN ET GENIEVRE")</f>
        <v xml:space="preserve">   GIN ET GENIEVRE</v>
      </c>
      <c r="C3753" s="4">
        <v>86225</v>
      </c>
      <c r="D3753" s="4">
        <v>16103818</v>
      </c>
    </row>
    <row r="3754" spans="1:4" x14ac:dyDescent="0.25">
      <c r="A3754" t="str">
        <f>T("   220870")</f>
        <v xml:space="preserve">   220870</v>
      </c>
      <c r="B3754" t="str">
        <f>T("   LIQUEURS")</f>
        <v xml:space="preserve">   LIQUEURS</v>
      </c>
      <c r="C3754" s="4">
        <v>127986</v>
      </c>
      <c r="D3754" s="4">
        <v>40432895</v>
      </c>
    </row>
    <row r="3755" spans="1:4" x14ac:dyDescent="0.25">
      <c r="A3755" t="str">
        <f>T("   220890")</f>
        <v xml:space="preserve">   220890</v>
      </c>
      <c r="B3755" t="str">
        <f>T("   AUTRES")</f>
        <v xml:space="preserve">   AUTRES</v>
      </c>
      <c r="C3755" s="4">
        <v>88282</v>
      </c>
      <c r="D3755" s="4">
        <v>10899865</v>
      </c>
    </row>
    <row r="3756" spans="1:4" x14ac:dyDescent="0.25">
      <c r="A3756" t="str">
        <f>T("   250590")</f>
        <v xml:space="preserve">   250590</v>
      </c>
      <c r="B3756" t="str">
        <f>T("   AUTRES SABLES")</f>
        <v xml:space="preserve">   AUTRES SABLES</v>
      </c>
      <c r="C3756" s="4">
        <v>24340</v>
      </c>
      <c r="D3756" s="4">
        <v>15244890</v>
      </c>
    </row>
    <row r="3757" spans="1:4" x14ac:dyDescent="0.25">
      <c r="A3757" t="str">
        <f>T("   250840")</f>
        <v xml:space="preserve">   250840</v>
      </c>
      <c r="B3757" t="str">
        <f>T("   AUTRES ARGILES")</f>
        <v xml:space="preserve">   AUTRES ARGILES</v>
      </c>
      <c r="C3757" s="4">
        <v>25100</v>
      </c>
      <c r="D3757" s="4">
        <v>3306261</v>
      </c>
    </row>
    <row r="3758" spans="1:4" x14ac:dyDescent="0.25">
      <c r="A3758" t="str">
        <f>T("   251710")</f>
        <v xml:space="preserve">   251710</v>
      </c>
      <c r="B3758" t="str">
        <f>T("   CAILLOUX, GRAVIERS, PIERRES CONCASSEES, DES TYPES GENERALEMENT UTILISES POUR LE BETON")</f>
        <v xml:space="preserve">   CAILLOUX, GRAVIERS, PIERRES CONCASSEES, DES TYPES GENERALEMENT UTILISES POUR LE BETON</v>
      </c>
      <c r="C3758" s="4">
        <v>1944</v>
      </c>
      <c r="D3758" s="4">
        <v>1851119</v>
      </c>
    </row>
    <row r="3759" spans="1:4" x14ac:dyDescent="0.25">
      <c r="A3759" t="str">
        <f>T("   252010")</f>
        <v xml:space="preserve">   252010</v>
      </c>
      <c r="B3759" t="str">
        <f>T("   Gypse; anhydrite")</f>
        <v xml:space="preserve">   Gypse; anhydrite</v>
      </c>
      <c r="C3759" s="4">
        <v>99076000</v>
      </c>
      <c r="D3759" s="4">
        <v>1773626315</v>
      </c>
    </row>
    <row r="3760" spans="1:4" x14ac:dyDescent="0.25">
      <c r="A3760" t="str">
        <f>T("   252210")</f>
        <v xml:space="preserve">   252210</v>
      </c>
      <c r="B3760" t="str">
        <f>T("   CHAUX VIVE")</f>
        <v xml:space="preserve">   CHAUX VIVE</v>
      </c>
      <c r="C3760" s="4">
        <v>377436</v>
      </c>
      <c r="D3760" s="4">
        <v>37771616</v>
      </c>
    </row>
    <row r="3761" spans="1:4" x14ac:dyDescent="0.25">
      <c r="A3761" t="str">
        <f>T("   252310")</f>
        <v xml:space="preserve">   252310</v>
      </c>
      <c r="B3761" t="str">
        <f>T("   CIMENTS NON PULVERISES DITS «CLINKERS»")</f>
        <v xml:space="preserve">   CIMENTS NON PULVERISES DITS «CLINKERS»</v>
      </c>
      <c r="C3761" s="4">
        <v>344851700</v>
      </c>
      <c r="D3761" s="4">
        <v>12069809500</v>
      </c>
    </row>
    <row r="3762" spans="1:4" x14ac:dyDescent="0.25">
      <c r="A3762" t="str">
        <f>T("   252321")</f>
        <v xml:space="preserve">   252321</v>
      </c>
      <c r="B3762" t="str">
        <f>T("   CIMENTS BLANCS, MEME COLORES ARTIFICIELLEMENT")</f>
        <v xml:space="preserve">   CIMENTS BLANCS, MEME COLORES ARTIFICIELLEMENT</v>
      </c>
      <c r="C3762" s="4">
        <v>48950</v>
      </c>
      <c r="D3762" s="4">
        <v>1671006</v>
      </c>
    </row>
    <row r="3763" spans="1:4" x14ac:dyDescent="0.25">
      <c r="A3763" t="str">
        <f>T("   252329")</f>
        <v xml:space="preserve">   252329</v>
      </c>
      <c r="B3763" t="str">
        <f>T("   AUTRES")</f>
        <v xml:space="preserve">   AUTRES</v>
      </c>
      <c r="C3763" s="4">
        <v>66170</v>
      </c>
      <c r="D3763" s="4">
        <v>6530561</v>
      </c>
    </row>
    <row r="3764" spans="1:4" x14ac:dyDescent="0.25">
      <c r="A3764" t="str">
        <f>T("   253090")</f>
        <v xml:space="preserve">   253090</v>
      </c>
      <c r="B3764" t="str">
        <f>T("   AUTRES")</f>
        <v xml:space="preserve">   AUTRES</v>
      </c>
      <c r="C3764" s="4">
        <v>6000</v>
      </c>
      <c r="D3764" s="4">
        <v>870853</v>
      </c>
    </row>
    <row r="3765" spans="1:4" x14ac:dyDescent="0.25">
      <c r="A3765" t="str">
        <f>T("   271011")</f>
        <v xml:space="preserve">   271011</v>
      </c>
      <c r="B3765" t="str">
        <f>T("   HUILLES DE PETROLE OU D'ESSENCE")</f>
        <v xml:space="preserve">   HUILLES DE PETROLE OU D'ESSENCE</v>
      </c>
      <c r="C3765" s="4">
        <v>142685</v>
      </c>
      <c r="D3765" s="4">
        <v>75933990</v>
      </c>
    </row>
    <row r="3766" spans="1:4" x14ac:dyDescent="0.25">
      <c r="A3766" t="str">
        <f>T("   271019")</f>
        <v xml:space="preserve">   271019</v>
      </c>
      <c r="B3766" t="str">
        <f>T("   AUTRES")</f>
        <v xml:space="preserve">   AUTRES</v>
      </c>
      <c r="C3766" s="4">
        <v>4403121</v>
      </c>
      <c r="D3766" s="4">
        <v>1478101471</v>
      </c>
    </row>
    <row r="3767" spans="1:4" x14ac:dyDescent="0.25">
      <c r="A3767" t="str">
        <f>T("   271500")</f>
        <v xml:space="preserve">   271500</v>
      </c>
      <c r="B3767" t="str">
        <f>T("   MELANGES BITUMINEUX A BASE D'ASPHALTE OU DE BITUME NATURELS, DE BITUME DE PETROLE, DE G")</f>
        <v xml:space="preserve">   MELANGES BITUMINEUX A BASE D'ASPHALTE OU DE BITUME NATURELS, DE BITUME DE PETROLE, DE G</v>
      </c>
      <c r="C3767" s="4">
        <v>25798</v>
      </c>
      <c r="D3767" s="4">
        <v>18321618</v>
      </c>
    </row>
    <row r="3768" spans="1:4" x14ac:dyDescent="0.25">
      <c r="A3768" t="str">
        <f>T("   280110")</f>
        <v xml:space="preserve">   280110</v>
      </c>
      <c r="B3768" t="str">
        <f>T("   Chlore")</f>
        <v xml:space="preserve">   Chlore</v>
      </c>
      <c r="C3768" s="4">
        <v>1986</v>
      </c>
      <c r="D3768" s="4">
        <v>4787852</v>
      </c>
    </row>
    <row r="3769" spans="1:4" x14ac:dyDescent="0.25">
      <c r="A3769" t="str">
        <f>T("   280610")</f>
        <v xml:space="preserve">   280610</v>
      </c>
      <c r="B3769" t="str">
        <f>T("   CHLORURE D'HYDROGENE (ACIDE CHLORHYDRIQUE)")</f>
        <v xml:space="preserve">   CHLORURE D'HYDROGENE (ACIDE CHLORHYDRIQUE)</v>
      </c>
      <c r="C3769" s="4">
        <v>40918</v>
      </c>
      <c r="D3769" s="4">
        <v>8955822</v>
      </c>
    </row>
    <row r="3770" spans="1:4" x14ac:dyDescent="0.25">
      <c r="A3770" t="str">
        <f>T("   281119")</f>
        <v xml:space="preserve">   281119</v>
      </c>
      <c r="B3770" t="str">
        <f>T("   AUTRES")</f>
        <v xml:space="preserve">   AUTRES</v>
      </c>
      <c r="C3770" s="4">
        <v>5387</v>
      </c>
      <c r="D3770" s="4">
        <v>4171906</v>
      </c>
    </row>
    <row r="3771" spans="1:4" x14ac:dyDescent="0.25">
      <c r="A3771" t="str">
        <f>T("   282490")</f>
        <v xml:space="preserve">   282490</v>
      </c>
      <c r="B3771" t="str">
        <f>T("   AUTRES")</f>
        <v xml:space="preserve">   AUTRES</v>
      </c>
      <c r="C3771" s="4">
        <v>5100</v>
      </c>
      <c r="D3771" s="4">
        <v>8960827</v>
      </c>
    </row>
    <row r="3772" spans="1:4" x14ac:dyDescent="0.25">
      <c r="A3772" t="str">
        <f>T("   283650")</f>
        <v xml:space="preserve">   283650</v>
      </c>
      <c r="B3772" t="str">
        <f>T("   Carbonate de calcium")</f>
        <v xml:space="preserve">   Carbonate de calcium</v>
      </c>
      <c r="C3772" s="4">
        <v>659712</v>
      </c>
      <c r="D3772" s="4">
        <v>80436485</v>
      </c>
    </row>
    <row r="3773" spans="1:4" x14ac:dyDescent="0.25">
      <c r="A3773" t="str">
        <f>T("   291814")</f>
        <v xml:space="preserve">   291814</v>
      </c>
      <c r="B3773" t="str">
        <f>T("   Acide citrique")</f>
        <v xml:space="preserve">   Acide citrique</v>
      </c>
      <c r="C3773" s="4">
        <v>10000</v>
      </c>
      <c r="D3773" s="4">
        <v>3581021</v>
      </c>
    </row>
    <row r="3774" spans="1:4" x14ac:dyDescent="0.25">
      <c r="A3774" t="str">
        <f>T("   292910")</f>
        <v xml:space="preserve">   292910</v>
      </c>
      <c r="B3774" t="str">
        <f>T("   Isocyanates")</f>
        <v xml:space="preserve">   Isocyanates</v>
      </c>
      <c r="C3774" s="4">
        <v>30</v>
      </c>
      <c r="D3774" s="4">
        <v>72156</v>
      </c>
    </row>
    <row r="3775" spans="1:4" x14ac:dyDescent="0.25">
      <c r="A3775" t="str">
        <f>T("   300230")</f>
        <v xml:space="preserve">   300230</v>
      </c>
      <c r="B3775" t="str">
        <f>T("   VACCINS POUR LA MEDECINE VETERINAIRE")</f>
        <v xml:space="preserve">   VACCINS POUR LA MEDECINE VETERINAIRE</v>
      </c>
      <c r="C3775" s="4">
        <v>144</v>
      </c>
      <c r="D3775" s="4">
        <v>2800000</v>
      </c>
    </row>
    <row r="3776" spans="1:4" x14ac:dyDescent="0.25">
      <c r="A3776" t="str">
        <f>T("   300490")</f>
        <v xml:space="preserve">   300490</v>
      </c>
      <c r="B3776" t="str">
        <f>T("   AUTRES")</f>
        <v xml:space="preserve">   AUTRES</v>
      </c>
      <c r="C3776" s="4">
        <v>14286</v>
      </c>
      <c r="D3776" s="4">
        <v>22284498</v>
      </c>
    </row>
    <row r="3777" spans="1:4" x14ac:dyDescent="0.25">
      <c r="A3777" t="str">
        <f>T("   300610")</f>
        <v xml:space="preserve">   300610</v>
      </c>
      <c r="B3777" t="str">
        <f>T("   CATGUTS STERILES, LIGATURES STERILES SIMILAIRES POUR SUTURES CHIRURGICALES (Y COMPRIS")</f>
        <v xml:space="preserve">   CATGUTS STERILES, LIGATURES STERILES SIMILAIRES POUR SUTURES CHIRURGICALES (Y COMPRIS</v>
      </c>
      <c r="C3777" s="4">
        <v>161</v>
      </c>
      <c r="D3777" s="4">
        <v>23828560</v>
      </c>
    </row>
    <row r="3778" spans="1:4" x14ac:dyDescent="0.25">
      <c r="A3778" t="str">
        <f>T("   320210")</f>
        <v xml:space="preserve">   320210</v>
      </c>
      <c r="B3778" t="str">
        <f>T("   Produits tannants organiques synthetiques")</f>
        <v xml:space="preserve">   Produits tannants organiques synthetiques</v>
      </c>
      <c r="C3778" s="4">
        <v>1107</v>
      </c>
      <c r="D3778" s="4">
        <v>3181405</v>
      </c>
    </row>
    <row r="3779" spans="1:4" x14ac:dyDescent="0.25">
      <c r="A3779" t="str">
        <f>T("   320490")</f>
        <v xml:space="preserve">   320490</v>
      </c>
      <c r="B3779" t="str">
        <f>T("   AUTRES")</f>
        <v xml:space="preserve">   AUTRES</v>
      </c>
      <c r="C3779" s="4">
        <v>1901</v>
      </c>
      <c r="D3779" s="4">
        <v>5461523</v>
      </c>
    </row>
    <row r="3780" spans="1:4" x14ac:dyDescent="0.25">
      <c r="A3780" t="str">
        <f>T("   320990")</f>
        <v xml:space="preserve">   320990</v>
      </c>
      <c r="B3780" t="str">
        <f>T("   AUTRES")</f>
        <v xml:space="preserve">   AUTRES</v>
      </c>
      <c r="C3780" s="4">
        <v>122</v>
      </c>
      <c r="D3780" s="4">
        <v>352907</v>
      </c>
    </row>
    <row r="3781" spans="1:4" x14ac:dyDescent="0.25">
      <c r="A3781" t="str">
        <f>T("   321290")</f>
        <v xml:space="preserve">   321290</v>
      </c>
      <c r="B3781" t="str">
        <f>T("   AUTRES")</f>
        <v xml:space="preserve">   AUTRES</v>
      </c>
      <c r="C3781" s="4">
        <v>67</v>
      </c>
      <c r="D3781" s="4">
        <v>191540</v>
      </c>
    </row>
    <row r="3782" spans="1:4" x14ac:dyDescent="0.25">
      <c r="A3782" t="str">
        <f>T("   321490")</f>
        <v xml:space="preserve">   321490</v>
      </c>
      <c r="B3782" t="str">
        <f>T("   AUTRES")</f>
        <v xml:space="preserve">   AUTRES</v>
      </c>
      <c r="C3782" s="4">
        <v>228141</v>
      </c>
      <c r="D3782" s="4">
        <v>24338582</v>
      </c>
    </row>
    <row r="3783" spans="1:4" x14ac:dyDescent="0.25">
      <c r="A3783" t="str">
        <f>T("   330190")</f>
        <v xml:space="preserve">   330190</v>
      </c>
      <c r="B3783" t="str">
        <f>T("   AUTRES")</f>
        <v xml:space="preserve">   AUTRES</v>
      </c>
      <c r="C3783" s="4">
        <v>9861</v>
      </c>
      <c r="D3783" s="4">
        <v>4338519</v>
      </c>
    </row>
    <row r="3784" spans="1:4" x14ac:dyDescent="0.25">
      <c r="A3784" t="str">
        <f>T("   330300")</f>
        <v xml:space="preserve">   330300</v>
      </c>
      <c r="B3784" t="str">
        <f>T("   PARFUMS ET EAUX DE TOILETTE.")</f>
        <v xml:space="preserve">   PARFUMS ET EAUX DE TOILETTE.</v>
      </c>
      <c r="C3784" s="4">
        <v>6540</v>
      </c>
      <c r="D3784" s="4">
        <v>3078441</v>
      </c>
    </row>
    <row r="3785" spans="1:4" x14ac:dyDescent="0.25">
      <c r="A3785" t="str">
        <f>T("   330491")</f>
        <v xml:space="preserve">   330491</v>
      </c>
      <c r="B3785" t="str">
        <f>T("   POUDRES, Y COMPRIS LES POUDRES COMPACTES")</f>
        <v xml:space="preserve">   POUDRES, Y COMPRIS LES POUDRES COMPACTES</v>
      </c>
      <c r="C3785" s="4">
        <v>2223</v>
      </c>
      <c r="D3785" s="4">
        <v>988834</v>
      </c>
    </row>
    <row r="3786" spans="1:4" x14ac:dyDescent="0.25">
      <c r="A3786" t="str">
        <f>T("   330499")</f>
        <v xml:space="preserve">   330499</v>
      </c>
      <c r="B3786" t="str">
        <f>T("   AUTRES")</f>
        <v xml:space="preserve">   AUTRES</v>
      </c>
      <c r="C3786" s="4">
        <v>5699</v>
      </c>
      <c r="D3786" s="4">
        <v>2748021</v>
      </c>
    </row>
    <row r="3787" spans="1:4" x14ac:dyDescent="0.25">
      <c r="A3787" t="str">
        <f>T("   330510")</f>
        <v xml:space="preserve">   330510</v>
      </c>
      <c r="B3787" t="str">
        <f>T("   Shampooings")</f>
        <v xml:space="preserve">   Shampooings</v>
      </c>
      <c r="C3787" s="4">
        <v>1604</v>
      </c>
      <c r="D3787" s="4">
        <v>760743</v>
      </c>
    </row>
    <row r="3788" spans="1:4" x14ac:dyDescent="0.25">
      <c r="A3788" t="str">
        <f>T("   330690")</f>
        <v xml:space="preserve">   330690</v>
      </c>
      <c r="B3788" t="str">
        <f>T("   AUTRES")</f>
        <v xml:space="preserve">   AUTRES</v>
      </c>
      <c r="C3788" s="4">
        <v>347</v>
      </c>
      <c r="D3788" s="4">
        <v>391214</v>
      </c>
    </row>
    <row r="3789" spans="1:4" x14ac:dyDescent="0.25">
      <c r="A3789" t="str">
        <f>T("   330720")</f>
        <v xml:space="preserve">   330720</v>
      </c>
      <c r="B3789" t="str">
        <f>T("   Desodorisants corporels et antisudoraux")</f>
        <v xml:space="preserve">   Desodorisants corporels et antisudoraux</v>
      </c>
      <c r="C3789" s="4">
        <v>192</v>
      </c>
      <c r="D3789" s="4">
        <v>270912</v>
      </c>
    </row>
    <row r="3790" spans="1:4" x14ac:dyDescent="0.25">
      <c r="A3790" t="str">
        <f>T("   330790")</f>
        <v xml:space="preserve">   330790</v>
      </c>
      <c r="B3790" t="str">
        <f>T("   AUTRES")</f>
        <v xml:space="preserve">   AUTRES</v>
      </c>
      <c r="C3790" s="4">
        <v>1918</v>
      </c>
      <c r="D3790" s="4">
        <v>2146301</v>
      </c>
    </row>
    <row r="3791" spans="1:4" x14ac:dyDescent="0.25">
      <c r="A3791" t="str">
        <f>T("   340111")</f>
        <v xml:space="preserve">   340111</v>
      </c>
      <c r="B3791" t="str">
        <f>T("   DE TOILETTE (Y COMPRIS CEUX A USAGES MEDICAUX)")</f>
        <v xml:space="preserve">   DE TOILETTE (Y COMPRIS CEUX A USAGES MEDICAUX)</v>
      </c>
      <c r="C3791" s="4">
        <v>7673</v>
      </c>
      <c r="D3791" s="4">
        <v>2447539</v>
      </c>
    </row>
    <row r="3792" spans="1:4" x14ac:dyDescent="0.25">
      <c r="A3792" t="str">
        <f>T("   340119")</f>
        <v xml:space="preserve">   340119</v>
      </c>
      <c r="B3792" t="str">
        <f>T("   AUTRES")</f>
        <v xml:space="preserve">   AUTRES</v>
      </c>
      <c r="C3792" s="4">
        <v>877764</v>
      </c>
      <c r="D3792" s="4">
        <v>200051187</v>
      </c>
    </row>
    <row r="3793" spans="1:4" x14ac:dyDescent="0.25">
      <c r="A3793" t="str">
        <f>T("   340130")</f>
        <v xml:space="preserve">   340130</v>
      </c>
      <c r="B3793" t="str">
        <f>T("   PRODUITS ET PREPARATIONS ORGANIQUES TENSIOACTIFS DESTINES AU LAVAGE DE LA PEAU, SOUS")</f>
        <v xml:space="preserve">   PRODUITS ET PREPARATIONS ORGANIQUES TENSIOACTIFS DESTINES AU LAVAGE DE LA PEAU, SOUS</v>
      </c>
      <c r="C3793" s="4">
        <v>3154</v>
      </c>
      <c r="D3793" s="4">
        <v>1047700</v>
      </c>
    </row>
    <row r="3794" spans="1:4" x14ac:dyDescent="0.25">
      <c r="A3794" t="str">
        <f>T("   340219")</f>
        <v xml:space="preserve">   340219</v>
      </c>
      <c r="B3794" t="str">
        <f>T("   AUTRES")</f>
        <v xml:space="preserve">   AUTRES</v>
      </c>
      <c r="C3794" s="4">
        <v>28033</v>
      </c>
      <c r="D3794" s="4">
        <v>9300000</v>
      </c>
    </row>
    <row r="3795" spans="1:4" x14ac:dyDescent="0.25">
      <c r="A3795" t="str">
        <f>T("   340220")</f>
        <v xml:space="preserve">   340220</v>
      </c>
      <c r="B3795" t="str">
        <f>T("   PREPARATIONS CONDITIONNEES POUR LA VENTE AU DETAIL")</f>
        <v xml:space="preserve">   PREPARATIONS CONDITIONNEES POUR LA VENTE AU DETAIL</v>
      </c>
      <c r="C3795" s="4">
        <v>16095</v>
      </c>
      <c r="D3795" s="4">
        <v>2827188</v>
      </c>
    </row>
    <row r="3796" spans="1:4" x14ac:dyDescent="0.25">
      <c r="A3796" t="str">
        <f>T("   340290")</f>
        <v xml:space="preserve">   340290</v>
      </c>
      <c r="B3796" t="str">
        <f>T("   AUTRES")</f>
        <v xml:space="preserve">   AUTRES</v>
      </c>
      <c r="C3796" s="4">
        <v>29163</v>
      </c>
      <c r="D3796" s="4">
        <v>8863896</v>
      </c>
    </row>
    <row r="3797" spans="1:4" x14ac:dyDescent="0.25">
      <c r="A3797" t="str">
        <f>T("   340399")</f>
        <v xml:space="preserve">   340399</v>
      </c>
      <c r="B3797" t="str">
        <f>T("   AUTRES")</f>
        <v xml:space="preserve">   AUTRES</v>
      </c>
      <c r="C3797" s="4">
        <v>710</v>
      </c>
      <c r="D3797" s="4">
        <v>1650586</v>
      </c>
    </row>
    <row r="3798" spans="1:4" x14ac:dyDescent="0.25">
      <c r="A3798" t="str">
        <f>T("   340520")</f>
        <v xml:space="preserve">   340520</v>
      </c>
      <c r="B3798" t="str">
        <f>T("   ENCAUSTIQUES ET PREPARATIONS SIMILAIRES POUR L'ENTRETIEN DES MEUBLES EN BOIS, DES PAR")</f>
        <v xml:space="preserve">   ENCAUSTIQUES ET PREPARATIONS SIMILAIRES POUR L'ENTRETIEN DES MEUBLES EN BOIS, DES PAR</v>
      </c>
      <c r="C3798" s="4">
        <v>1584</v>
      </c>
      <c r="D3798" s="4">
        <v>1774372</v>
      </c>
    </row>
    <row r="3799" spans="1:4" x14ac:dyDescent="0.25">
      <c r="A3799" t="str">
        <f>T("   340530")</f>
        <v xml:space="preserve">   340530</v>
      </c>
      <c r="B3799" t="str">
        <f>T("   BRILLANTS ET PREPARATIONS SIMILAIRES POUR CARROSSERIES, AUTRES QUE LES BRILLANTS POUR")</f>
        <v xml:space="preserve">   BRILLANTS ET PREPARATIONS SIMILAIRES POUR CARROSSERIES, AUTRES QUE LES BRILLANTS POUR</v>
      </c>
      <c r="C3799" s="4">
        <v>378</v>
      </c>
      <c r="D3799" s="4">
        <v>120231</v>
      </c>
    </row>
    <row r="3800" spans="1:4" x14ac:dyDescent="0.25">
      <c r="A3800" t="str">
        <f>T("   350699")</f>
        <v xml:space="preserve">   350699</v>
      </c>
      <c r="B3800" t="str">
        <f>T("   AUTRES")</f>
        <v xml:space="preserve">   AUTRES</v>
      </c>
      <c r="C3800" s="4">
        <v>14400</v>
      </c>
      <c r="D3800" s="4">
        <v>888826</v>
      </c>
    </row>
    <row r="3801" spans="1:4" x14ac:dyDescent="0.25">
      <c r="A3801" t="str">
        <f>T("   380810")</f>
        <v xml:space="preserve">   380810</v>
      </c>
      <c r="B3801" t="str">
        <f>T("   Insecticides")</f>
        <v xml:space="preserve">   Insecticides</v>
      </c>
      <c r="C3801" s="4">
        <v>682</v>
      </c>
      <c r="D3801" s="4">
        <v>268412</v>
      </c>
    </row>
    <row r="3802" spans="1:4" x14ac:dyDescent="0.25">
      <c r="A3802" t="str">
        <f>T("   380850")</f>
        <v xml:space="preserve">   380850</v>
      </c>
      <c r="B3802" t="str">
        <f>T("   MARCHANDISES MENTIONNEES DANS LA NOTE 1 DE SOUSPOSITIONS DU PRESENT CHAPITRE")</f>
        <v xml:space="preserve">   MARCHANDISES MENTIONNEES DANS LA NOTE 1 DE SOUSPOSITIONS DU PRESENT CHAPITRE</v>
      </c>
      <c r="C3802" s="4">
        <v>24793</v>
      </c>
      <c r="D3802" s="4">
        <v>12082383</v>
      </c>
    </row>
    <row r="3803" spans="1:4" x14ac:dyDescent="0.25">
      <c r="A3803" t="str">
        <f>T("   380891")</f>
        <v xml:space="preserve">   380891</v>
      </c>
      <c r="B3803" t="str">
        <f>T("   INSECTICIDES")</f>
        <v xml:space="preserve">   INSECTICIDES</v>
      </c>
      <c r="C3803" s="4">
        <v>118490.6</v>
      </c>
      <c r="D3803" s="4">
        <v>46295218</v>
      </c>
    </row>
    <row r="3804" spans="1:4" x14ac:dyDescent="0.25">
      <c r="A3804" t="str">
        <f>T("   381400")</f>
        <v xml:space="preserve">   381400</v>
      </c>
      <c r="B3804" t="str">
        <f>T("   SOLVANTS ET DILUANTS ORGANIQUES COMPOSITES, NON DENOMMES NI COMPRIS AILLEURS; PREPARATI")</f>
        <v xml:space="preserve">   SOLVANTS ET DILUANTS ORGANIQUES COMPOSITES, NON DENOMMES NI COMPRIS AILLEURS; PREPARATI</v>
      </c>
      <c r="C3804" s="4">
        <v>238</v>
      </c>
      <c r="D3804" s="4">
        <v>246404</v>
      </c>
    </row>
    <row r="3805" spans="1:4" x14ac:dyDescent="0.25">
      <c r="A3805" t="str">
        <f>T("   381600")</f>
        <v xml:space="preserve">   381600</v>
      </c>
      <c r="B3805" t="str">
        <f>T("   CIMENTS, MORTIERS, BETONS ET COMPOSITIONS SIMILAIRES REFRACTAIRES, AUTRES QUE LES PRODU")</f>
        <v xml:space="preserve">   CIMENTS, MORTIERS, BETONS ET COMPOSITIONS SIMILAIRES REFRACTAIRES, AUTRES QUE LES PRODU</v>
      </c>
      <c r="C3805" s="4">
        <v>87365</v>
      </c>
      <c r="D3805" s="4">
        <v>95507776</v>
      </c>
    </row>
    <row r="3806" spans="1:4" x14ac:dyDescent="0.25">
      <c r="A3806" t="str">
        <f>T("   382000")</f>
        <v xml:space="preserve">   382000</v>
      </c>
      <c r="B3806" t="str">
        <f>T("   PREPARATIONS ANTIGEL ET LIQUIDES PREPARES POUR DEGIVRAGE.")</f>
        <v xml:space="preserve">   PREPARATIONS ANTIGEL ET LIQUIDES PREPARES POUR DEGIVRAGE.</v>
      </c>
      <c r="C3806" s="4">
        <v>29029</v>
      </c>
      <c r="D3806" s="4">
        <v>23142531</v>
      </c>
    </row>
    <row r="3807" spans="1:4" x14ac:dyDescent="0.25">
      <c r="A3807" t="str">
        <f>T("   382200")</f>
        <v xml:space="preserve">   382200</v>
      </c>
      <c r="B3807" t="str">
        <f>T("   REACTIFS DE DIAGNOSTIC OU DE LABORATOIRE SUR TOUT SUPPORT ET REACTIFS DE DIAGNOSTIC OU")</f>
        <v xml:space="preserve">   REACTIFS DE DIAGNOSTIC OU DE LABORATOIRE SUR TOUT SUPPORT ET REACTIFS DE DIAGNOSTIC OU</v>
      </c>
      <c r="C3807" s="4">
        <v>2356</v>
      </c>
      <c r="D3807" s="4">
        <v>26157327</v>
      </c>
    </row>
    <row r="3808" spans="1:4" x14ac:dyDescent="0.25">
      <c r="A3808" t="str">
        <f>T("   382450")</f>
        <v xml:space="preserve">   382450</v>
      </c>
      <c r="B3808" t="str">
        <f>T("   MORTIERS ET BETONS, NON REFRACTAIRES")</f>
        <v xml:space="preserve">   MORTIERS ET BETONS, NON REFRACTAIRES</v>
      </c>
      <c r="C3808" s="4">
        <v>25793</v>
      </c>
      <c r="D3808" s="4">
        <v>4421301</v>
      </c>
    </row>
    <row r="3809" spans="1:4" x14ac:dyDescent="0.25">
      <c r="A3809" t="str">
        <f>T("   390120")</f>
        <v xml:space="preserve">   390120</v>
      </c>
      <c r="B3809" t="str">
        <f>T("   POLYETHYLENE D'UNE DENSITE EGALE OU SUPERIEURE A 0,94")</f>
        <v xml:space="preserve">   POLYETHYLENE D'UNE DENSITE EGALE OU SUPERIEURE A 0,94</v>
      </c>
      <c r="C3809" s="4">
        <v>75363</v>
      </c>
      <c r="D3809" s="4">
        <v>83691313</v>
      </c>
    </row>
    <row r="3810" spans="1:4" x14ac:dyDescent="0.25">
      <c r="A3810" t="str">
        <f>T("   390190")</f>
        <v xml:space="preserve">   390190</v>
      </c>
      <c r="B3810" t="str">
        <f>T("   AUTRES")</f>
        <v xml:space="preserve">   AUTRES</v>
      </c>
      <c r="C3810" s="4">
        <v>982</v>
      </c>
      <c r="D3810" s="4">
        <v>327980</v>
      </c>
    </row>
    <row r="3811" spans="1:4" x14ac:dyDescent="0.25">
      <c r="A3811" t="str">
        <f>T("   390230")</f>
        <v xml:space="preserve">   390230</v>
      </c>
      <c r="B3811" t="str">
        <f>T("   COPOLYMERES DE PROPYLENE")</f>
        <v xml:space="preserve">   COPOLYMERES DE PROPYLENE</v>
      </c>
      <c r="C3811" s="4">
        <v>25470</v>
      </c>
      <c r="D3811" s="4">
        <v>21965917</v>
      </c>
    </row>
    <row r="3812" spans="1:4" x14ac:dyDescent="0.25">
      <c r="A3812" t="str">
        <f>T("   390410")</f>
        <v xml:space="preserve">   390410</v>
      </c>
      <c r="B3812" t="str">
        <f>T("   POLY(CHLORURE DE VINYLE), NON MELANGE A D'AUTRES SUBSTANCES")</f>
        <v xml:space="preserve">   POLY(CHLORURE DE VINYLE), NON MELANGE A D'AUTRES SUBSTANCES</v>
      </c>
      <c r="C3812" s="4">
        <v>71500</v>
      </c>
      <c r="D3812" s="4">
        <v>14659400</v>
      </c>
    </row>
    <row r="3813" spans="1:4" x14ac:dyDescent="0.25">
      <c r="A3813" t="str">
        <f>T("   390720")</f>
        <v xml:space="preserve">   390720</v>
      </c>
      <c r="B3813" t="str">
        <f>T("   AUTRES POLYETHERS")</f>
        <v xml:space="preserve">   AUTRES POLYETHERS</v>
      </c>
      <c r="C3813" s="4">
        <v>38240</v>
      </c>
      <c r="D3813" s="4">
        <v>43316319</v>
      </c>
    </row>
    <row r="3814" spans="1:4" x14ac:dyDescent="0.25">
      <c r="A3814" t="str">
        <f>T("   390750")</f>
        <v xml:space="preserve">   390750</v>
      </c>
      <c r="B3814" t="str">
        <f>T("   RESINES ALKYDES")</f>
        <v xml:space="preserve">   RESINES ALKYDES</v>
      </c>
      <c r="C3814" s="4">
        <v>68830</v>
      </c>
      <c r="D3814" s="4">
        <v>53334797</v>
      </c>
    </row>
    <row r="3815" spans="1:4" x14ac:dyDescent="0.25">
      <c r="A3815" t="str">
        <f>T("   390799")</f>
        <v xml:space="preserve">   390799</v>
      </c>
      <c r="B3815" t="str">
        <f>T("   AUTRES")</f>
        <v xml:space="preserve">   AUTRES</v>
      </c>
      <c r="C3815" s="4">
        <v>200000</v>
      </c>
      <c r="D3815" s="4">
        <v>155305090</v>
      </c>
    </row>
    <row r="3816" spans="1:4" x14ac:dyDescent="0.25">
      <c r="A3816" t="str">
        <f>T("   390950")</f>
        <v xml:space="preserve">   390950</v>
      </c>
      <c r="B3816" t="str">
        <f>T("   POLYURETHANNES")</f>
        <v xml:space="preserve">   POLYURETHANNES</v>
      </c>
      <c r="C3816" s="4">
        <v>500</v>
      </c>
      <c r="D3816" s="4">
        <v>1469350</v>
      </c>
    </row>
    <row r="3817" spans="1:4" x14ac:dyDescent="0.25">
      <c r="A3817" t="str">
        <f>T("   391729")</f>
        <v xml:space="preserve">   391729</v>
      </c>
      <c r="B3817" t="str">
        <f>T("   EN AUTRES MATIERES PLASTIQUES")</f>
        <v xml:space="preserve">   EN AUTRES MATIERES PLASTIQUES</v>
      </c>
      <c r="C3817" s="4">
        <v>22392</v>
      </c>
      <c r="D3817" s="4">
        <v>75000499</v>
      </c>
    </row>
    <row r="3818" spans="1:4" x14ac:dyDescent="0.25">
      <c r="A3818" t="str">
        <f>T("   391739")</f>
        <v xml:space="preserve">   391739</v>
      </c>
      <c r="B3818" t="str">
        <f>T("   AUTRES")</f>
        <v xml:space="preserve">   AUTRES</v>
      </c>
      <c r="C3818" s="4">
        <v>1031</v>
      </c>
      <c r="D3818" s="4">
        <v>805276</v>
      </c>
    </row>
    <row r="3819" spans="1:4" x14ac:dyDescent="0.25">
      <c r="A3819" t="str">
        <f>T("   391910")</f>
        <v xml:space="preserve">   391910</v>
      </c>
      <c r="B3819" t="str">
        <f>T("   EN ROULEAUX D'UNE LARGEUR N'EXCEDANT PAS 20 CM")</f>
        <v xml:space="preserve">   EN ROULEAUX D'UNE LARGEUR N'EXCEDANT PAS 20 CM</v>
      </c>
      <c r="C3819" s="4">
        <v>15</v>
      </c>
      <c r="D3819" s="4">
        <v>28862</v>
      </c>
    </row>
    <row r="3820" spans="1:4" x14ac:dyDescent="0.25">
      <c r="A3820" t="str">
        <f>T("   392010")</f>
        <v xml:space="preserve">   392010</v>
      </c>
      <c r="B3820" t="str">
        <f>T("   EN POLYMERES DE L'ETHYLENE")</f>
        <v xml:space="preserve">   EN POLYMERES DE L'ETHYLENE</v>
      </c>
      <c r="C3820" s="4">
        <v>38285</v>
      </c>
      <c r="D3820" s="4">
        <v>74027711</v>
      </c>
    </row>
    <row r="3821" spans="1:4" x14ac:dyDescent="0.25">
      <c r="A3821" t="str">
        <f>T("   392043")</f>
        <v xml:space="preserve">   392043</v>
      </c>
      <c r="B3821" t="str">
        <f>T("   CONTENANT EN POIDS AU MOINS 6 % DE PLASTIFIANTS")</f>
        <v xml:space="preserve">   CONTENANT EN POIDS AU MOINS 6 % DE PLASTIFIANTS</v>
      </c>
      <c r="C3821" s="4">
        <v>1121</v>
      </c>
      <c r="D3821" s="4">
        <v>1388011</v>
      </c>
    </row>
    <row r="3822" spans="1:4" x14ac:dyDescent="0.25">
      <c r="A3822" t="str">
        <f>T("   392210")</f>
        <v xml:space="preserve">   392210</v>
      </c>
      <c r="B3822" t="str">
        <f>T("   BAIGNOIRES, DOUCHES, EVIERS ET LAVABOS")</f>
        <v xml:space="preserve">   BAIGNOIRES, DOUCHES, EVIERS ET LAVABOS</v>
      </c>
      <c r="C3822" s="4">
        <v>2180</v>
      </c>
      <c r="D3822" s="4">
        <v>3073173</v>
      </c>
    </row>
    <row r="3823" spans="1:4" x14ac:dyDescent="0.25">
      <c r="A3823" t="str">
        <f>T("   392290")</f>
        <v xml:space="preserve">   392290</v>
      </c>
      <c r="B3823" t="str">
        <f>T("   AUTRES")</f>
        <v xml:space="preserve">   AUTRES</v>
      </c>
      <c r="C3823" s="4">
        <v>135</v>
      </c>
      <c r="D3823" s="4">
        <v>791239</v>
      </c>
    </row>
    <row r="3824" spans="1:4" x14ac:dyDescent="0.25">
      <c r="A3824" t="str">
        <f>T("   392310")</f>
        <v xml:space="preserve">   392310</v>
      </c>
      <c r="B3824" t="str">
        <f>T("   BOITES, CAISSES, CASIERS ET ARTICLES SIMILAIRES")</f>
        <v xml:space="preserve">   BOITES, CAISSES, CASIERS ET ARTICLES SIMILAIRES</v>
      </c>
      <c r="C3824" s="4">
        <v>36537</v>
      </c>
      <c r="D3824" s="4">
        <v>33552646</v>
      </c>
    </row>
    <row r="3825" spans="1:4" x14ac:dyDescent="0.25">
      <c r="A3825" t="str">
        <f>T("   392329")</f>
        <v xml:space="preserve">   392329</v>
      </c>
      <c r="B3825" t="str">
        <f>T("   EN AUTRES MATIERES PLASTIQUES")</f>
        <v xml:space="preserve">   EN AUTRES MATIERES PLASTIQUES</v>
      </c>
      <c r="C3825" s="4">
        <v>721</v>
      </c>
      <c r="D3825" s="4">
        <v>961637</v>
      </c>
    </row>
    <row r="3826" spans="1:4" x14ac:dyDescent="0.25">
      <c r="A3826" t="str">
        <f>T("   392350")</f>
        <v xml:space="preserve">   392350</v>
      </c>
      <c r="B3826" t="str">
        <f>T("   BOUCHONS, COUVERCLES, CAPSULES ET AUTRES DISPOSITIFS DE FERMETURE")</f>
        <v xml:space="preserve">   BOUCHONS, COUVERCLES, CAPSULES ET AUTRES DISPOSITIFS DE FERMETURE</v>
      </c>
      <c r="C3826" s="4">
        <v>129230</v>
      </c>
      <c r="D3826" s="4">
        <v>318404900</v>
      </c>
    </row>
    <row r="3827" spans="1:4" x14ac:dyDescent="0.25">
      <c r="A3827" t="str">
        <f>T("   392590")</f>
        <v xml:space="preserve">   392590</v>
      </c>
      <c r="B3827" t="str">
        <f>T("   AUTRES")</f>
        <v xml:space="preserve">   AUTRES</v>
      </c>
      <c r="C3827" s="4">
        <v>140</v>
      </c>
      <c r="D3827" s="4">
        <v>1148061</v>
      </c>
    </row>
    <row r="3828" spans="1:4" x14ac:dyDescent="0.25">
      <c r="A3828" t="str">
        <f>T("   392610")</f>
        <v xml:space="preserve">   392610</v>
      </c>
      <c r="B3828" t="str">
        <f>T("   ARTICLES DE BUREAU ET ARTICLES SCOLAIRES")</f>
        <v xml:space="preserve">   ARTICLES DE BUREAU ET ARTICLES SCOLAIRES</v>
      </c>
      <c r="C3828" s="4">
        <v>1200</v>
      </c>
      <c r="D3828" s="4">
        <v>179569</v>
      </c>
    </row>
    <row r="3829" spans="1:4" x14ac:dyDescent="0.25">
      <c r="A3829" t="str">
        <f>T("   392690")</f>
        <v xml:space="preserve">   392690</v>
      </c>
      <c r="B3829" t="str">
        <f>T("   AUTRES")</f>
        <v xml:space="preserve">   AUTRES</v>
      </c>
      <c r="C3829" s="4">
        <v>2506.84</v>
      </c>
      <c r="D3829" s="4">
        <v>1590057</v>
      </c>
    </row>
    <row r="3830" spans="1:4" x14ac:dyDescent="0.25">
      <c r="A3830" t="str">
        <f>T("   401212")</f>
        <v xml:space="preserve">   401212</v>
      </c>
      <c r="B3830" t="str">
        <f>T("   DES TYPES UTILISES POUR AUTOBUS OU CAMIONS")</f>
        <v xml:space="preserve">   DES TYPES UTILISES POUR AUTOBUS OU CAMIONS</v>
      </c>
      <c r="C3830" s="4">
        <v>16000</v>
      </c>
      <c r="D3830" s="4">
        <v>5254240</v>
      </c>
    </row>
    <row r="3831" spans="1:4" x14ac:dyDescent="0.25">
      <c r="A3831" t="str">
        <f>T("   401699")</f>
        <v xml:space="preserve">   401699</v>
      </c>
      <c r="B3831" t="str">
        <f>T("   AUTRES")</f>
        <v xml:space="preserve">   AUTRES</v>
      </c>
      <c r="C3831" s="4">
        <v>955</v>
      </c>
      <c r="D3831" s="4">
        <v>2497502</v>
      </c>
    </row>
    <row r="3832" spans="1:4" x14ac:dyDescent="0.25">
      <c r="A3832" t="str">
        <f>T("   420329")</f>
        <v xml:space="preserve">   420329</v>
      </c>
      <c r="B3832" t="str">
        <f>T("   AUTRES")</f>
        <v xml:space="preserve">   AUTRES</v>
      </c>
      <c r="C3832" s="4">
        <v>163</v>
      </c>
      <c r="D3832" s="4">
        <v>2016421</v>
      </c>
    </row>
    <row r="3833" spans="1:4" x14ac:dyDescent="0.25">
      <c r="A3833" t="str">
        <f>T("   441820")</f>
        <v xml:space="preserve">   441820</v>
      </c>
      <c r="B3833" t="str">
        <f>T("   PORTES ET LEURS CADRES, CHAMBRANLES ET SEUILS")</f>
        <v xml:space="preserve">   PORTES ET LEURS CADRES, CHAMBRANLES ET SEUILS</v>
      </c>
      <c r="C3833" s="4">
        <v>12995</v>
      </c>
      <c r="D3833" s="4">
        <v>5594683</v>
      </c>
    </row>
    <row r="3834" spans="1:4" x14ac:dyDescent="0.25">
      <c r="A3834" t="str">
        <f>T("   441890")</f>
        <v xml:space="preserve">   441890</v>
      </c>
      <c r="B3834" t="str">
        <f>T("   AUTRES")</f>
        <v xml:space="preserve">   AUTRES</v>
      </c>
      <c r="C3834" s="4">
        <v>196</v>
      </c>
      <c r="D3834" s="4">
        <v>32798</v>
      </c>
    </row>
    <row r="3835" spans="1:4" x14ac:dyDescent="0.25">
      <c r="A3835" t="str">
        <f>T("   480269")</f>
        <v xml:space="preserve">   480269</v>
      </c>
      <c r="B3835" t="str">
        <f>T("   AUTRES")</f>
        <v xml:space="preserve">   AUTRES</v>
      </c>
      <c r="C3835" s="4">
        <v>750</v>
      </c>
      <c r="D3835" s="4">
        <v>104790</v>
      </c>
    </row>
    <row r="3836" spans="1:4" x14ac:dyDescent="0.25">
      <c r="A3836" t="str">
        <f>T("   480300")</f>
        <v xml:space="preserve">   480300</v>
      </c>
      <c r="B3836" t="str">
        <f>T("   PAPIERS DES TYPES UTILISES POUR PAPIERS DE TOILETTE, POUR SERVIETTES A DEMAQUILLER, POU")</f>
        <v xml:space="preserve">   PAPIERS DES TYPES UTILISES POUR PAPIERS DE TOILETTE, POUR SERVIETTES A DEMAQUILLER, POU</v>
      </c>
      <c r="C3836" s="4">
        <v>848</v>
      </c>
      <c r="D3836" s="4">
        <v>510993</v>
      </c>
    </row>
    <row r="3837" spans="1:4" x14ac:dyDescent="0.25">
      <c r="A3837" t="str">
        <f>T("   480519")</f>
        <v xml:space="preserve">   480519</v>
      </c>
      <c r="B3837" t="str">
        <f>T("   AUTRES")</f>
        <v xml:space="preserve">   AUTRES</v>
      </c>
      <c r="C3837" s="4">
        <v>25288</v>
      </c>
      <c r="D3837" s="4">
        <v>23692908</v>
      </c>
    </row>
    <row r="3838" spans="1:4" x14ac:dyDescent="0.25">
      <c r="A3838" t="str">
        <f>T("   480593")</f>
        <v xml:space="preserve">   480593</v>
      </c>
      <c r="B3838" t="str">
        <f>T("   D'UN POIDS AU M² EGAL OU SUPERIEUR A 225 G")</f>
        <v xml:space="preserve">   D'UN POIDS AU M² EGAL OU SUPERIEUR A 225 G</v>
      </c>
      <c r="C3838" s="4">
        <v>25710</v>
      </c>
      <c r="D3838" s="4">
        <v>11377049</v>
      </c>
    </row>
    <row r="3839" spans="1:4" x14ac:dyDescent="0.25">
      <c r="A3839" t="str">
        <f>T("   481022")</f>
        <v xml:space="preserve">   481022</v>
      </c>
      <c r="B3839" t="str">
        <f>T("   PAPIER COUCHE LEGER, DIT «L.W.C »")</f>
        <v xml:space="preserve">   PAPIER COUCHE LEGER, DIT «L.W.C »</v>
      </c>
      <c r="C3839" s="4">
        <v>41892</v>
      </c>
      <c r="D3839" s="4">
        <v>18280293</v>
      </c>
    </row>
    <row r="3840" spans="1:4" x14ac:dyDescent="0.25">
      <c r="A3840" t="str">
        <f>T("   481110")</f>
        <v xml:space="preserve">   481110</v>
      </c>
      <c r="B3840" t="str">
        <f>T("   PAPIERS ET CARTONS GOUDRONNES, BITUMES OU ASPHALTES")</f>
        <v xml:space="preserve">   PAPIERS ET CARTONS GOUDRONNES, BITUMES OU ASPHALTES</v>
      </c>
      <c r="C3840" s="4">
        <v>139722</v>
      </c>
      <c r="D3840" s="4">
        <v>75499683</v>
      </c>
    </row>
    <row r="3841" spans="1:4" x14ac:dyDescent="0.25">
      <c r="A3841" t="str">
        <f>T("   481840")</f>
        <v xml:space="preserve">   481840</v>
      </c>
      <c r="B3841" t="str">
        <f>T("   SERVIETTES,TAMPONS HYGIENIQUES,COUCHES POUR BEBES ET SIMILAIRES EN PAPIER")</f>
        <v xml:space="preserve">   SERVIETTES,TAMPONS HYGIENIQUES,COUCHES POUR BEBES ET SIMILAIRES EN PAPIER</v>
      </c>
      <c r="C3841" s="4">
        <v>19760</v>
      </c>
      <c r="D3841" s="4">
        <v>22926117</v>
      </c>
    </row>
    <row r="3842" spans="1:4" x14ac:dyDescent="0.25">
      <c r="A3842" t="str">
        <f>T("   481920")</f>
        <v xml:space="preserve">   481920</v>
      </c>
      <c r="B3842" t="str">
        <f>T("   BOITES ET CARTONNAGES, PLIANTS, EN PAPIER OU CARTON NON ONDULE")</f>
        <v xml:space="preserve">   BOITES ET CARTONNAGES, PLIANTS, EN PAPIER OU CARTON NON ONDULE</v>
      </c>
      <c r="C3842" s="4">
        <v>9332</v>
      </c>
      <c r="D3842" s="4">
        <v>12603373</v>
      </c>
    </row>
    <row r="3843" spans="1:4" x14ac:dyDescent="0.25">
      <c r="A3843" t="str">
        <f>T("   481930")</f>
        <v xml:space="preserve">   481930</v>
      </c>
      <c r="B3843" t="str">
        <f>T("   SACS D'UNE LARGEUR A LA BASE DE 40 CM OU PLUS")</f>
        <v xml:space="preserve">   SACS D'UNE LARGEUR A LA BASE DE 40 CM OU PLUS</v>
      </c>
      <c r="C3843" s="4">
        <v>42086</v>
      </c>
      <c r="D3843" s="4">
        <v>35314643</v>
      </c>
    </row>
    <row r="3844" spans="1:4" x14ac:dyDescent="0.25">
      <c r="A3844" t="str">
        <f>T("   481950")</f>
        <v xml:space="preserve">   481950</v>
      </c>
      <c r="B3844" t="str">
        <f>T("   AUTRES EMBALLAGES, Y COMPRIS LES POCHETTES POUR DISQUES")</f>
        <v xml:space="preserve">   AUTRES EMBALLAGES, Y COMPRIS LES POCHETTES POUR DISQUES</v>
      </c>
      <c r="C3844" s="4">
        <v>80</v>
      </c>
      <c r="D3844" s="4">
        <v>48280</v>
      </c>
    </row>
    <row r="3845" spans="1:4" x14ac:dyDescent="0.25">
      <c r="A3845" t="str">
        <f>T("   490199")</f>
        <v xml:space="preserve">   490199</v>
      </c>
      <c r="B3845" t="str">
        <f>T("   AUTRES")</f>
        <v xml:space="preserve">   AUTRES</v>
      </c>
      <c r="C3845" s="4">
        <v>24188</v>
      </c>
      <c r="D3845" s="4">
        <v>76569625</v>
      </c>
    </row>
    <row r="3846" spans="1:4" x14ac:dyDescent="0.25">
      <c r="A3846" t="str">
        <f>T("   490599")</f>
        <v xml:space="preserve">   490599</v>
      </c>
      <c r="B3846" t="str">
        <f>T("   AUTRES")</f>
        <v xml:space="preserve">   AUTRES</v>
      </c>
      <c r="C3846" s="4">
        <v>1050</v>
      </c>
      <c r="D3846" s="4">
        <v>13119200</v>
      </c>
    </row>
    <row r="3847" spans="1:4" x14ac:dyDescent="0.25">
      <c r="A3847" t="str">
        <f>T("   490700")</f>
        <v xml:space="preserve">   490700</v>
      </c>
      <c r="B3847" t="str">
        <f>T("   TIMBRESPOSTE, TIMBRES FISCAUX ET ANALOGUES, NON OBLITERES, AYANT COURS OU DESTINES A A")</f>
        <v xml:space="preserve">   TIMBRESPOSTE, TIMBRES FISCAUX ET ANALOGUES, NON OBLITERES, AYANT COURS OU DESTINES A A</v>
      </c>
      <c r="C3847" s="4">
        <v>52</v>
      </c>
      <c r="D3847" s="4">
        <v>101450</v>
      </c>
    </row>
    <row r="3848" spans="1:4" x14ac:dyDescent="0.25">
      <c r="A3848" t="str">
        <f>T("   491000")</f>
        <v xml:space="preserve">   491000</v>
      </c>
      <c r="B3848" t="str">
        <f>T("   CALENDRIERS DE TOUS GENRES, IMPRIMES, Y COMPRIS LES BLOCS DE CALENDRIERS A EFFEUILLER.")</f>
        <v xml:space="preserve">   CALENDRIERS DE TOUS GENRES, IMPRIMES, Y COMPRIS LES BLOCS DE CALENDRIERS A EFFEUILLER.</v>
      </c>
      <c r="C3848" s="4">
        <v>18910</v>
      </c>
      <c r="D3848" s="4">
        <v>40938</v>
      </c>
    </row>
    <row r="3849" spans="1:4" x14ac:dyDescent="0.25">
      <c r="A3849" t="str">
        <f>T("   491110")</f>
        <v xml:space="preserve">   491110</v>
      </c>
      <c r="B3849" t="str">
        <f>T("   IMPRIMES PUBLICITAIRES, CATALOGUES COMMERCIAUX ET SIMILAIRES")</f>
        <v xml:space="preserve">   IMPRIMES PUBLICITAIRES, CATALOGUES COMMERCIAUX ET SIMILAIRES</v>
      </c>
      <c r="C3849" s="4">
        <v>47</v>
      </c>
      <c r="D3849" s="4">
        <v>184719</v>
      </c>
    </row>
    <row r="3850" spans="1:4" x14ac:dyDescent="0.25">
      <c r="A3850" t="str">
        <f>T("   491199")</f>
        <v xml:space="preserve">   491199</v>
      </c>
      <c r="B3850" t="str">
        <f>T("   AUTRES")</f>
        <v xml:space="preserve">   AUTRES</v>
      </c>
      <c r="C3850" s="4">
        <v>24774</v>
      </c>
      <c r="D3850" s="4">
        <v>4941668</v>
      </c>
    </row>
    <row r="3851" spans="1:4" x14ac:dyDescent="0.25">
      <c r="A3851" t="str">
        <f>T("   581091")</f>
        <v xml:space="preserve">   581091</v>
      </c>
      <c r="B3851" t="str">
        <f>T("   DE COTON")</f>
        <v xml:space="preserve">   DE COTON</v>
      </c>
      <c r="C3851" s="4">
        <v>138</v>
      </c>
      <c r="D3851" s="4">
        <v>486000</v>
      </c>
    </row>
    <row r="3852" spans="1:4" x14ac:dyDescent="0.25">
      <c r="A3852" t="str">
        <f>T("   581099")</f>
        <v xml:space="preserve">   581099</v>
      </c>
      <c r="B3852" t="str">
        <f>T("   D'AUTRES MATIERES TEXTILES")</f>
        <v xml:space="preserve">   D'AUTRES MATIERES TEXTILES</v>
      </c>
      <c r="C3852" s="4">
        <v>260</v>
      </c>
      <c r="D3852" s="4">
        <v>918000</v>
      </c>
    </row>
    <row r="3853" spans="1:4" x14ac:dyDescent="0.25">
      <c r="A3853" t="str">
        <f>T("   590110")</f>
        <v xml:space="preserve">   590110</v>
      </c>
      <c r="B3853" t="str">
        <f>T("   TISSUS ENDUITS DE COLLE OU DE MATIERES AMYLACEES, DES TYPES UTILISES POUR LA RELIURE,")</f>
        <v xml:space="preserve">   TISSUS ENDUITS DE COLLE OU DE MATIERES AMYLACEES, DES TYPES UTILISES POUR LA RELIURE,</v>
      </c>
      <c r="C3853" s="4">
        <v>94</v>
      </c>
      <c r="D3853" s="4">
        <v>333000</v>
      </c>
    </row>
    <row r="3854" spans="1:4" x14ac:dyDescent="0.25">
      <c r="A3854" t="str">
        <f>T("   610910")</f>
        <v xml:space="preserve">   610910</v>
      </c>
      <c r="B3854" t="str">
        <f>T("   DE COTON")</f>
        <v xml:space="preserve">   DE COTON</v>
      </c>
      <c r="C3854" s="4">
        <v>18</v>
      </c>
      <c r="D3854" s="4">
        <v>159019</v>
      </c>
    </row>
    <row r="3855" spans="1:4" x14ac:dyDescent="0.25">
      <c r="A3855" t="str">
        <f>T("   610990")</f>
        <v xml:space="preserve">   610990</v>
      </c>
      <c r="B3855" t="str">
        <f>T("   D'AUTRES MATIERES TEXTILES")</f>
        <v xml:space="preserve">   D'AUTRES MATIERES TEXTILES</v>
      </c>
      <c r="C3855" s="4">
        <v>9</v>
      </c>
      <c r="D3855" s="4">
        <v>65596</v>
      </c>
    </row>
    <row r="3856" spans="1:4" x14ac:dyDescent="0.25">
      <c r="A3856" t="str">
        <f>T("   611300")</f>
        <v xml:space="preserve">   611300</v>
      </c>
      <c r="B3856" t="str">
        <f>T("   VETEMENTS CONFECTIONNES EN ETOFFES DE BONNETERIE DES N°S 59.03, 59.06 OU 59.07.")</f>
        <v xml:space="preserve">   VETEMENTS CONFECTIONNES EN ETOFFES DE BONNETERIE DES N°S 59.03, 59.06 OU 59.07.</v>
      </c>
      <c r="C3856" s="4">
        <v>6.6</v>
      </c>
      <c r="D3856" s="4">
        <v>696310</v>
      </c>
    </row>
    <row r="3857" spans="1:4" x14ac:dyDescent="0.25">
      <c r="A3857" t="str">
        <f>T("   620590")</f>
        <v xml:space="preserve">   620590</v>
      </c>
      <c r="B3857" t="str">
        <f>T("   D'AUTRES MATIERES TEXTILES")</f>
        <v xml:space="preserve">   D'AUTRES MATIERES TEXTILES</v>
      </c>
      <c r="C3857" s="4">
        <v>400</v>
      </c>
      <c r="D3857" s="4">
        <v>873083</v>
      </c>
    </row>
    <row r="3858" spans="1:4" x14ac:dyDescent="0.25">
      <c r="A3858" t="str">
        <f>T("   621040")</f>
        <v xml:space="preserve">   621040</v>
      </c>
      <c r="B3858" t="str">
        <f>T("   AUTRES VETEMENTS POUR HOMMES OU GARCONNETS")</f>
        <v xml:space="preserve">   AUTRES VETEMENTS POUR HOMMES OU GARCONNETS</v>
      </c>
      <c r="C3858" s="4">
        <v>31270</v>
      </c>
      <c r="D3858" s="4">
        <v>3552202</v>
      </c>
    </row>
    <row r="3859" spans="1:4" x14ac:dyDescent="0.25">
      <c r="A3859" t="str">
        <f>T("   621050")</f>
        <v xml:space="preserve">   621050</v>
      </c>
      <c r="B3859" t="str">
        <f>T("   AUTRES VETEMENTS POUR FEMMES OU FILLETTES")</f>
        <v xml:space="preserve">   AUTRES VETEMENTS POUR FEMMES OU FILLETTES</v>
      </c>
      <c r="C3859" s="4">
        <v>1172</v>
      </c>
      <c r="D3859" s="4">
        <v>1703063</v>
      </c>
    </row>
    <row r="3860" spans="1:4" x14ac:dyDescent="0.25">
      <c r="A3860" t="str">
        <f>T("   621600")</f>
        <v xml:space="preserve">   621600</v>
      </c>
      <c r="B3860" t="str">
        <f>T("   GANTS, MITAINES ET MOUFLES.")</f>
        <v xml:space="preserve">   GANTS, MITAINES ET MOUFLES.</v>
      </c>
      <c r="C3860" s="4">
        <v>6</v>
      </c>
      <c r="D3860" s="4">
        <v>479153</v>
      </c>
    </row>
    <row r="3861" spans="1:4" x14ac:dyDescent="0.25">
      <c r="A3861" t="str">
        <f>T("   630491")</f>
        <v xml:space="preserve">   630491</v>
      </c>
      <c r="B3861" t="str">
        <f>T("   EN BONNETERIE")</f>
        <v xml:space="preserve">   EN BONNETERIE</v>
      </c>
      <c r="C3861" s="4">
        <v>96</v>
      </c>
      <c r="D3861" s="4">
        <v>33454</v>
      </c>
    </row>
    <row r="3862" spans="1:4" x14ac:dyDescent="0.25">
      <c r="A3862" t="str">
        <f>T("   630900")</f>
        <v xml:space="preserve">   630900</v>
      </c>
      <c r="B3862" t="str">
        <f>T("   ARTICLES DE FRIPERIE.")</f>
        <v xml:space="preserve">   ARTICLES DE FRIPERIE.</v>
      </c>
      <c r="C3862" s="4">
        <v>91716</v>
      </c>
      <c r="D3862" s="4">
        <v>49748300</v>
      </c>
    </row>
    <row r="3863" spans="1:4" x14ac:dyDescent="0.25">
      <c r="A3863" t="str">
        <f>T("   640299")</f>
        <v xml:space="preserve">   640299</v>
      </c>
      <c r="B3863" t="str">
        <f>T("   AUTRES")</f>
        <v xml:space="preserve">   AUTRES</v>
      </c>
      <c r="C3863" s="4">
        <v>11000</v>
      </c>
      <c r="D3863" s="4">
        <v>7700000</v>
      </c>
    </row>
    <row r="3864" spans="1:4" x14ac:dyDescent="0.25">
      <c r="A3864" t="str">
        <f>T("   650610")</f>
        <v xml:space="preserve">   650610</v>
      </c>
      <c r="B3864" t="str">
        <f>T("   COIFFURES DE SECURITE")</f>
        <v xml:space="preserve">   COIFFURES DE SECURITE</v>
      </c>
      <c r="C3864" s="4">
        <v>44</v>
      </c>
      <c r="D3864" s="4">
        <v>127912</v>
      </c>
    </row>
    <row r="3865" spans="1:4" x14ac:dyDescent="0.25">
      <c r="A3865" t="str">
        <f>T("   660199")</f>
        <v xml:space="preserve">   660199</v>
      </c>
      <c r="B3865" t="str">
        <f>T("   AUTRES")</f>
        <v xml:space="preserve">   AUTRES</v>
      </c>
      <c r="C3865" s="4">
        <v>24</v>
      </c>
      <c r="D3865" s="4">
        <v>62972</v>
      </c>
    </row>
    <row r="3866" spans="1:4" x14ac:dyDescent="0.25">
      <c r="A3866" t="str">
        <f>T("   680229")</f>
        <v xml:space="preserve">   680229</v>
      </c>
      <c r="B3866" t="str">
        <f>T("   AUTRES PIERRES")</f>
        <v xml:space="preserve">   AUTRES PIERRES</v>
      </c>
      <c r="C3866" s="4">
        <v>48000</v>
      </c>
      <c r="D3866" s="4">
        <v>11800064</v>
      </c>
    </row>
    <row r="3867" spans="1:4" x14ac:dyDescent="0.25">
      <c r="A3867" t="str">
        <f>T("   680422")</f>
        <v xml:space="preserve">   680422</v>
      </c>
      <c r="B3867" t="str">
        <f>T("   EN AUTRES ABRASIFS AGGLOMERES OU EN CERAMIQUE")</f>
        <v xml:space="preserve">   EN AUTRES ABRASIFS AGGLOMERES OU EN CERAMIQUE</v>
      </c>
      <c r="C3867" s="4">
        <v>200</v>
      </c>
      <c r="D3867" s="4">
        <v>118663</v>
      </c>
    </row>
    <row r="3868" spans="1:4" x14ac:dyDescent="0.25">
      <c r="A3868" t="str">
        <f>T("   680610")</f>
        <v xml:space="preserve">   680610</v>
      </c>
      <c r="B3868" t="str">
        <f>T("   LAINES DE LAITIER, DE SCORIES, DE ROCHE ET LAINES MINERALES SIMILAIRES, MEME MELANGEE")</f>
        <v xml:space="preserve">   LAINES DE LAITIER, DE SCORIES, DE ROCHE ET LAINES MINERALES SIMILAIRES, MEME MELANGEE</v>
      </c>
      <c r="C3868" s="4">
        <v>60</v>
      </c>
      <c r="D3868" s="4">
        <v>130536</v>
      </c>
    </row>
    <row r="3869" spans="1:4" x14ac:dyDescent="0.25">
      <c r="A3869" t="str">
        <f>T("   680690")</f>
        <v xml:space="preserve">   680690</v>
      </c>
      <c r="B3869" t="str">
        <f>T("   AUTRES")</f>
        <v xml:space="preserve">   AUTRES</v>
      </c>
      <c r="C3869" s="4">
        <v>648</v>
      </c>
      <c r="D3869" s="4">
        <v>2093169</v>
      </c>
    </row>
    <row r="3870" spans="1:4" x14ac:dyDescent="0.25">
      <c r="A3870" t="str">
        <f>T("   680710")</f>
        <v xml:space="preserve">   680710</v>
      </c>
      <c r="B3870" t="str">
        <f>T("   EN ROULEAUX")</f>
        <v xml:space="preserve">   EN ROULEAUX</v>
      </c>
      <c r="C3870" s="4">
        <v>7500</v>
      </c>
      <c r="D3870" s="4">
        <v>1801778</v>
      </c>
    </row>
    <row r="3871" spans="1:4" x14ac:dyDescent="0.25">
      <c r="A3871" t="str">
        <f>T("   680990")</f>
        <v xml:space="preserve">   680990</v>
      </c>
      <c r="B3871" t="str">
        <f>T("   AUTRES OUVRAGES")</f>
        <v xml:space="preserve">   AUTRES OUVRAGES</v>
      </c>
      <c r="C3871" s="4">
        <v>10523</v>
      </c>
      <c r="D3871" s="4">
        <v>12378621</v>
      </c>
    </row>
    <row r="3872" spans="1:4" x14ac:dyDescent="0.25">
      <c r="A3872" t="str">
        <f>T("   681182")</f>
        <v xml:space="preserve">   681182</v>
      </c>
      <c r="B3872" t="str">
        <f>T("   AUTRES PLAQUES, PANNEAUX, CARREAUX, TUILES ET ARTICLES SIMILAIRES")</f>
        <v xml:space="preserve">   AUTRES PLAQUES, PANNEAUX, CARREAUX, TUILES ET ARTICLES SIMILAIRES</v>
      </c>
      <c r="C3872" s="4">
        <v>120000</v>
      </c>
      <c r="D3872" s="4">
        <v>6721103</v>
      </c>
    </row>
    <row r="3873" spans="1:4" x14ac:dyDescent="0.25">
      <c r="A3873" t="str">
        <f>T("   690220")</f>
        <v xml:space="preserve">   690220</v>
      </c>
      <c r="B3873" t="str">
        <f>T("   CONTENANT EN POIDS PLUS DE 50 % D'ALUMINE (AL2O3), DE SILICE (SIO2) OU D'UN MELANGE O")</f>
        <v xml:space="preserve">   CONTENANT EN POIDS PLUS DE 50 % D'ALUMINE (AL2O3), DE SILICE (SIO2) OU D'UN MELANGE O</v>
      </c>
      <c r="C3873" s="4">
        <v>286674</v>
      </c>
      <c r="D3873" s="4">
        <v>176489317</v>
      </c>
    </row>
    <row r="3874" spans="1:4" x14ac:dyDescent="0.25">
      <c r="A3874" t="str">
        <f>T("   690510")</f>
        <v xml:space="preserve">   690510</v>
      </c>
      <c r="B3874" t="str">
        <f>T("   TUILES")</f>
        <v xml:space="preserve">   TUILES</v>
      </c>
      <c r="C3874" s="4">
        <v>422540</v>
      </c>
      <c r="D3874" s="4">
        <v>37224405</v>
      </c>
    </row>
    <row r="3875" spans="1:4" x14ac:dyDescent="0.25">
      <c r="A3875" t="str">
        <f>T("   690790")</f>
        <v xml:space="preserve">   690790</v>
      </c>
      <c r="B3875" t="str">
        <f>T("   AUTRES")</f>
        <v xml:space="preserve">   AUTRES</v>
      </c>
      <c r="C3875" s="4">
        <v>821262</v>
      </c>
      <c r="D3875" s="4">
        <v>126480302</v>
      </c>
    </row>
    <row r="3876" spans="1:4" x14ac:dyDescent="0.25">
      <c r="A3876" t="str">
        <f>T("   690890")</f>
        <v xml:space="preserve">   690890</v>
      </c>
      <c r="B3876" t="str">
        <f>T("   AUTRES")</f>
        <v xml:space="preserve">   AUTRES</v>
      </c>
      <c r="C3876" s="4">
        <v>6354133</v>
      </c>
      <c r="D3876" s="4">
        <v>1266044107</v>
      </c>
    </row>
    <row r="3877" spans="1:4" x14ac:dyDescent="0.25">
      <c r="A3877" t="str">
        <f>T("   691010")</f>
        <v xml:space="preserve">   691010</v>
      </c>
      <c r="B3877" t="str">
        <f>T("   EN PORCELAINE")</f>
        <v xml:space="preserve">   EN PORCELAINE</v>
      </c>
      <c r="C3877" s="4">
        <v>7118</v>
      </c>
      <c r="D3877" s="4">
        <v>20550571</v>
      </c>
    </row>
    <row r="3878" spans="1:4" x14ac:dyDescent="0.25">
      <c r="A3878" t="str">
        <f>T("   691090")</f>
        <v xml:space="preserve">   691090</v>
      </c>
      <c r="B3878" t="str">
        <f>T("   AUTRES")</f>
        <v xml:space="preserve">   AUTRES</v>
      </c>
      <c r="C3878" s="4">
        <v>50847</v>
      </c>
      <c r="D3878" s="4">
        <v>59523109</v>
      </c>
    </row>
    <row r="3879" spans="1:4" x14ac:dyDescent="0.25">
      <c r="A3879" t="str">
        <f>T("   691190")</f>
        <v xml:space="preserve">   691190</v>
      </c>
      <c r="B3879" t="str">
        <f>T("   AUTRES")</f>
        <v xml:space="preserve">   AUTRES</v>
      </c>
      <c r="C3879" s="4">
        <v>800</v>
      </c>
      <c r="D3879" s="4">
        <v>5130264</v>
      </c>
    </row>
    <row r="3880" spans="1:4" x14ac:dyDescent="0.25">
      <c r="A3880" t="str">
        <f>T("   701090")</f>
        <v xml:space="preserve">   701090</v>
      </c>
      <c r="B3880" t="str">
        <f>T("   AUTRES")</f>
        <v xml:space="preserve">   AUTRES</v>
      </c>
      <c r="C3880" s="4">
        <v>6507698</v>
      </c>
      <c r="D3880" s="4">
        <v>3306240109</v>
      </c>
    </row>
    <row r="3881" spans="1:4" x14ac:dyDescent="0.25">
      <c r="A3881" t="str">
        <f>T("   701399")</f>
        <v xml:space="preserve">   701399</v>
      </c>
      <c r="B3881" t="str">
        <f>T("   AUTRES")</f>
        <v xml:space="preserve">   AUTRES</v>
      </c>
      <c r="C3881" s="4">
        <v>576</v>
      </c>
      <c r="D3881" s="4">
        <v>393576</v>
      </c>
    </row>
    <row r="3882" spans="1:4" x14ac:dyDescent="0.25">
      <c r="A3882" t="str">
        <f>T("   701610")</f>
        <v xml:space="preserve">   701610</v>
      </c>
      <c r="B3882" t="str">
        <f>T("   CUBES, DES ET AUTRE VERRERIE, MEME SUR SUPPORT, POUR MOSAIQUES OU DECORATIONS SIMILAI")</f>
        <v xml:space="preserve">   CUBES, DES ET AUTRE VERRERIE, MEME SUR SUPPORT, POUR MOSAIQUES OU DECORATIONS SIMILAI</v>
      </c>
      <c r="C3882" s="4">
        <v>378</v>
      </c>
      <c r="D3882" s="4">
        <v>1051897</v>
      </c>
    </row>
    <row r="3883" spans="1:4" x14ac:dyDescent="0.25">
      <c r="A3883" t="str">
        <f>T("   701690")</f>
        <v xml:space="preserve">   701690</v>
      </c>
      <c r="B3883" t="str">
        <f>T("   AUTRES")</f>
        <v xml:space="preserve">   AUTRES</v>
      </c>
      <c r="C3883" s="4">
        <v>9048</v>
      </c>
      <c r="D3883" s="4">
        <v>6231620</v>
      </c>
    </row>
    <row r="3884" spans="1:4" x14ac:dyDescent="0.25">
      <c r="A3884" t="str">
        <f>T("   702000")</f>
        <v xml:space="preserve">   702000</v>
      </c>
      <c r="B3884" t="str">
        <f>T("   AUTRES OUVRAGES EN VERRE.")</f>
        <v xml:space="preserve">   AUTRES OUVRAGES EN VERRE.</v>
      </c>
      <c r="C3884" s="4">
        <v>4285</v>
      </c>
      <c r="D3884" s="4">
        <v>3055331</v>
      </c>
    </row>
    <row r="3885" spans="1:4" x14ac:dyDescent="0.25">
      <c r="A3885" t="str">
        <f>T("   720690")</f>
        <v xml:space="preserve">   720690</v>
      </c>
      <c r="B3885" t="str">
        <f>T("   AUTRES")</f>
        <v xml:space="preserve">   AUTRES</v>
      </c>
      <c r="C3885" s="4">
        <v>4434</v>
      </c>
      <c r="D3885" s="4">
        <v>8931980</v>
      </c>
    </row>
    <row r="3886" spans="1:4" x14ac:dyDescent="0.25">
      <c r="A3886" t="str">
        <f>T("   730799")</f>
        <v xml:space="preserve">   730799</v>
      </c>
      <c r="B3886" t="str">
        <f>T("   AUTRES")</f>
        <v xml:space="preserve">   AUTRES</v>
      </c>
      <c r="C3886" s="4">
        <v>3080</v>
      </c>
      <c r="D3886" s="4">
        <v>8786584</v>
      </c>
    </row>
    <row r="3887" spans="1:4" x14ac:dyDescent="0.25">
      <c r="A3887" t="str">
        <f>T("   730820")</f>
        <v xml:space="preserve">   730820</v>
      </c>
      <c r="B3887" t="str">
        <f>T("   TOURS ET PYLONES")</f>
        <v xml:space="preserve">   TOURS ET PYLONES</v>
      </c>
      <c r="C3887" s="4">
        <v>10630</v>
      </c>
      <c r="D3887" s="4">
        <v>610043</v>
      </c>
    </row>
    <row r="3888" spans="1:4" x14ac:dyDescent="0.25">
      <c r="A3888" t="str">
        <f>T("   730840")</f>
        <v xml:space="preserve">   730840</v>
      </c>
      <c r="B3888" t="str">
        <f>T("   MATERIEL D'ECHAFAUDAGE, DE COFFRAGE, D'ETANCONNEMENT OU D'ETAYAGE")</f>
        <v xml:space="preserve">   MATERIEL D'ECHAFAUDAGE, DE COFFRAGE, D'ETANCONNEMENT OU D'ETAYAGE</v>
      </c>
      <c r="C3888" s="4">
        <v>72</v>
      </c>
      <c r="D3888" s="4">
        <v>44605</v>
      </c>
    </row>
    <row r="3889" spans="1:4" x14ac:dyDescent="0.25">
      <c r="A3889" t="str">
        <f>T("   730890")</f>
        <v xml:space="preserve">   730890</v>
      </c>
      <c r="B3889" t="str">
        <f>T("   AUTRES")</f>
        <v xml:space="preserve">   AUTRES</v>
      </c>
      <c r="C3889" s="4">
        <v>128</v>
      </c>
      <c r="D3889" s="4">
        <v>534607</v>
      </c>
    </row>
    <row r="3890" spans="1:4" x14ac:dyDescent="0.25">
      <c r="A3890" t="str">
        <f>T("   731100")</f>
        <v xml:space="preserve">   731100</v>
      </c>
      <c r="B3890" t="str">
        <f>T("   RECIPIENTS POUR GAZ COMPRIMES OU LIQUEFIES, EN FONTE, FER OU ACIER.")</f>
        <v xml:space="preserve">   RECIPIENTS POUR GAZ COMPRIMES OU LIQUEFIES, EN FONTE, FER OU ACIER.</v>
      </c>
      <c r="C3890" s="4">
        <v>26906</v>
      </c>
      <c r="D3890" s="4">
        <v>23579794</v>
      </c>
    </row>
    <row r="3891" spans="1:4" x14ac:dyDescent="0.25">
      <c r="A3891" t="str">
        <f>T("   731815")</f>
        <v xml:space="preserve">   731815</v>
      </c>
      <c r="B3891" t="str">
        <f>T("   AUTRES VIS ET BOULONS, MEME AVEC LEURS ECROUS OU RONDELLES")</f>
        <v xml:space="preserve">   AUTRES VIS ET BOULONS, MEME AVEC LEURS ECROUS OU RONDELLES</v>
      </c>
      <c r="C3891" s="4">
        <v>6420</v>
      </c>
      <c r="D3891" s="4">
        <v>20280315</v>
      </c>
    </row>
    <row r="3892" spans="1:4" x14ac:dyDescent="0.25">
      <c r="A3892" t="str">
        <f>T("   732111")</f>
        <v xml:space="preserve">   732111</v>
      </c>
      <c r="B3892" t="str">
        <f>T("   A COMBUSTIBLES GAZEUX OU A GAZ ET AUTRES COMBUSTIBLES")</f>
        <v xml:space="preserve">   A COMBUSTIBLES GAZEUX OU A GAZ ET AUTRES COMBUSTIBLES</v>
      </c>
      <c r="C3892" s="4">
        <v>165</v>
      </c>
      <c r="D3892" s="4">
        <v>138152</v>
      </c>
    </row>
    <row r="3893" spans="1:4" x14ac:dyDescent="0.25">
      <c r="A3893" t="str">
        <f>T("   732394")</f>
        <v xml:space="preserve">   732394</v>
      </c>
      <c r="B3893" t="str">
        <f>T("   EN FER OU EN ACIER, EMAILLES")</f>
        <v xml:space="preserve">   EN FER OU EN ACIER, EMAILLES</v>
      </c>
      <c r="C3893" s="4">
        <v>100</v>
      </c>
      <c r="D3893" s="4">
        <v>538543</v>
      </c>
    </row>
    <row r="3894" spans="1:4" x14ac:dyDescent="0.25">
      <c r="A3894" t="str">
        <f>T("   732399")</f>
        <v xml:space="preserve">   732399</v>
      </c>
      <c r="B3894" t="str">
        <f>T("   AUTRES")</f>
        <v xml:space="preserve">   AUTRES</v>
      </c>
      <c r="C3894" s="4">
        <v>2540</v>
      </c>
      <c r="D3894" s="4">
        <v>438837</v>
      </c>
    </row>
    <row r="3895" spans="1:4" x14ac:dyDescent="0.25">
      <c r="A3895" t="str">
        <f>T("   732619")</f>
        <v xml:space="preserve">   732619</v>
      </c>
      <c r="B3895" t="str">
        <f>T("   AUTRES")</f>
        <v xml:space="preserve">   AUTRES</v>
      </c>
      <c r="C3895" s="4">
        <v>100</v>
      </c>
      <c r="D3895" s="4">
        <v>249855</v>
      </c>
    </row>
    <row r="3896" spans="1:4" x14ac:dyDescent="0.25">
      <c r="A3896" t="str">
        <f>T("   741220")</f>
        <v xml:space="preserve">   741220</v>
      </c>
      <c r="B3896" t="str">
        <f>T("   EN ALLIAGES DE CUIVRE")</f>
        <v xml:space="preserve">   EN ALLIAGES DE CUIVRE</v>
      </c>
      <c r="C3896" s="4">
        <v>162</v>
      </c>
      <c r="D3896" s="4">
        <v>681622</v>
      </c>
    </row>
    <row r="3897" spans="1:4" x14ac:dyDescent="0.25">
      <c r="A3897" t="str">
        <f>T("   760429")</f>
        <v xml:space="preserve">   760429</v>
      </c>
      <c r="B3897" t="str">
        <f>T("   AUTRES")</f>
        <v xml:space="preserve">   AUTRES</v>
      </c>
      <c r="C3897" s="4">
        <v>49549</v>
      </c>
      <c r="D3897" s="4">
        <v>21227561</v>
      </c>
    </row>
    <row r="3898" spans="1:4" x14ac:dyDescent="0.25">
      <c r="A3898" t="str">
        <f>T("   761010")</f>
        <v xml:space="preserve">   761010</v>
      </c>
      <c r="B3898" t="str">
        <f>T("   PORTES, FENETRES ET LEURS CADRES, CHAMBRANLES ET SEUILS")</f>
        <v xml:space="preserve">   PORTES, FENETRES ET LEURS CADRES, CHAMBRANLES ET SEUILS</v>
      </c>
      <c r="C3898" s="4">
        <v>10600</v>
      </c>
      <c r="D3898" s="4">
        <v>5596651</v>
      </c>
    </row>
    <row r="3899" spans="1:4" x14ac:dyDescent="0.25">
      <c r="A3899" t="str">
        <f>T("   761090")</f>
        <v xml:space="preserve">   761090</v>
      </c>
      <c r="B3899" t="str">
        <f>T("   AUTRES")</f>
        <v xml:space="preserve">   AUTRES</v>
      </c>
      <c r="C3899" s="4">
        <v>2270</v>
      </c>
      <c r="D3899" s="4">
        <v>4688146</v>
      </c>
    </row>
    <row r="3900" spans="1:4" x14ac:dyDescent="0.25">
      <c r="A3900" t="str">
        <f>T("   761699")</f>
        <v xml:space="preserve">   761699</v>
      </c>
      <c r="B3900" t="str">
        <f>T("   AUTRES")</f>
        <v xml:space="preserve">   AUTRES</v>
      </c>
      <c r="C3900" s="4">
        <v>963</v>
      </c>
      <c r="D3900" s="4">
        <v>1296833</v>
      </c>
    </row>
    <row r="3901" spans="1:4" x14ac:dyDescent="0.25">
      <c r="A3901" t="str">
        <f>T("   790700")</f>
        <v xml:space="preserve">   790700</v>
      </c>
      <c r="B3901" t="str">
        <f>T("   AUTRES OUVRAGES EN ZINC.")</f>
        <v xml:space="preserve">   AUTRES OUVRAGES EN ZINC.</v>
      </c>
      <c r="C3901" s="4">
        <v>200</v>
      </c>
      <c r="D3901" s="4">
        <v>1513359</v>
      </c>
    </row>
    <row r="3902" spans="1:4" x14ac:dyDescent="0.25">
      <c r="A3902" t="str">
        <f>T("   820559")</f>
        <v xml:space="preserve">   820559</v>
      </c>
      <c r="B3902" t="str">
        <f>T("   AUTRES")</f>
        <v xml:space="preserve">   AUTRES</v>
      </c>
      <c r="C3902" s="4">
        <v>1000</v>
      </c>
      <c r="D3902" s="4">
        <v>6498517</v>
      </c>
    </row>
    <row r="3903" spans="1:4" x14ac:dyDescent="0.25">
      <c r="A3903" t="str">
        <f>T("   820719")</f>
        <v xml:space="preserve">   820719</v>
      </c>
      <c r="B3903" t="str">
        <f>T("   AUTRES, Y COMPRIS LES PARTIES")</f>
        <v xml:space="preserve">   AUTRES, Y COMPRIS LES PARTIES</v>
      </c>
      <c r="C3903" s="4">
        <v>2850</v>
      </c>
      <c r="D3903" s="4">
        <v>10646597</v>
      </c>
    </row>
    <row r="3904" spans="1:4" x14ac:dyDescent="0.25">
      <c r="A3904" t="str">
        <f>T("   830140")</f>
        <v xml:space="preserve">   830140</v>
      </c>
      <c r="B3904" t="str">
        <f>T("   AUTRES SERRURES; VERROUS")</f>
        <v xml:space="preserve">   AUTRES SERRURES; VERROUS</v>
      </c>
      <c r="C3904" s="4">
        <v>843</v>
      </c>
      <c r="D3904" s="4">
        <v>1231641</v>
      </c>
    </row>
    <row r="3905" spans="1:4" x14ac:dyDescent="0.25">
      <c r="A3905" t="str">
        <f>T("   830242")</f>
        <v xml:space="preserve">   830242</v>
      </c>
      <c r="B3905" t="str">
        <f>T("   AUTRES, POUR MEUBLES")</f>
        <v xml:space="preserve">   AUTRES, POUR MEUBLES</v>
      </c>
      <c r="C3905" s="4">
        <v>210</v>
      </c>
      <c r="D3905" s="4">
        <v>2349073</v>
      </c>
    </row>
    <row r="3906" spans="1:4" x14ac:dyDescent="0.25">
      <c r="A3906" t="str">
        <f>T("   830249")</f>
        <v xml:space="preserve">   830249</v>
      </c>
      <c r="B3906" t="str">
        <f>T("   AUTRES")</f>
        <v xml:space="preserve">   AUTRES</v>
      </c>
      <c r="C3906" s="4">
        <v>100</v>
      </c>
      <c r="D3906" s="4">
        <v>870000</v>
      </c>
    </row>
    <row r="3907" spans="1:4" x14ac:dyDescent="0.25">
      <c r="A3907" t="str">
        <f>T("   830710")</f>
        <v xml:space="preserve">   830710</v>
      </c>
      <c r="B3907" t="str">
        <f>T("   EN FER OU EN ACIER")</f>
        <v xml:space="preserve">   EN FER OU EN ACIER</v>
      </c>
      <c r="C3907" s="4">
        <v>103</v>
      </c>
      <c r="D3907" s="4">
        <v>250577</v>
      </c>
    </row>
    <row r="3908" spans="1:4" x14ac:dyDescent="0.25">
      <c r="A3908" t="str">
        <f>T("   830910")</f>
        <v xml:space="preserve">   830910</v>
      </c>
      <c r="B3908" t="str">
        <f>T("   BOUCHONSCOURONNES")</f>
        <v xml:space="preserve">   BOUCHONSCOURONNES</v>
      </c>
      <c r="C3908" s="4">
        <v>14027</v>
      </c>
      <c r="D3908" s="4">
        <v>24448521</v>
      </c>
    </row>
    <row r="3909" spans="1:4" x14ac:dyDescent="0.25">
      <c r="A3909" t="str">
        <f>T("   831110")</f>
        <v xml:space="preserve">   831110</v>
      </c>
      <c r="B3909" t="str">
        <f>T("   ELECTRODES ENROBEES POUR LE SOUDAGE A L'ARC, EN METAUX COMMUNS")</f>
        <v xml:space="preserve">   ELECTRODES ENROBEES POUR LE SOUDAGE A L'ARC, EN METAUX COMMUNS</v>
      </c>
      <c r="C3909" s="4">
        <v>60</v>
      </c>
      <c r="D3909" s="4">
        <v>146280</v>
      </c>
    </row>
    <row r="3910" spans="1:4" x14ac:dyDescent="0.25">
      <c r="A3910" t="str">
        <f>T("   840999")</f>
        <v xml:space="preserve">   840999</v>
      </c>
      <c r="B3910" t="str">
        <f>T("   AUTRES")</f>
        <v xml:space="preserve">   AUTRES</v>
      </c>
      <c r="C3910" s="4">
        <v>55</v>
      </c>
      <c r="D3910" s="4">
        <v>327980</v>
      </c>
    </row>
    <row r="3911" spans="1:4" x14ac:dyDescent="0.25">
      <c r="A3911" t="str">
        <f>T("   841370")</f>
        <v xml:space="preserve">   841370</v>
      </c>
      <c r="B3911" t="str">
        <f>T("   Autres pompes centrifuges")</f>
        <v xml:space="preserve">   Autres pompes centrifuges</v>
      </c>
      <c r="C3911" s="4">
        <v>2196</v>
      </c>
      <c r="D3911" s="4">
        <v>2091200</v>
      </c>
    </row>
    <row r="3912" spans="1:4" x14ac:dyDescent="0.25">
      <c r="A3912" t="str">
        <f>T("   841381")</f>
        <v xml:space="preserve">   841381</v>
      </c>
      <c r="B3912" t="str">
        <f>T("   POMPES")</f>
        <v xml:space="preserve">   POMPES</v>
      </c>
      <c r="C3912" s="4">
        <v>2644</v>
      </c>
      <c r="D3912" s="4">
        <v>6323184</v>
      </c>
    </row>
    <row r="3913" spans="1:4" x14ac:dyDescent="0.25">
      <c r="A3913" t="str">
        <f>T("   841391")</f>
        <v xml:space="preserve">   841391</v>
      </c>
      <c r="B3913" t="str">
        <f>T("   DE POMPES")</f>
        <v xml:space="preserve">   DE POMPES</v>
      </c>
      <c r="C3913" s="4">
        <v>1053</v>
      </c>
      <c r="D3913" s="4">
        <v>7299333</v>
      </c>
    </row>
    <row r="3914" spans="1:4" x14ac:dyDescent="0.25">
      <c r="A3914" t="str">
        <f>T("   841392")</f>
        <v xml:space="preserve">   841392</v>
      </c>
      <c r="B3914" t="str">
        <f>T("   D'ELEVATEURS A LIQUIDES")</f>
        <v xml:space="preserve">   D'ELEVATEURS A LIQUIDES</v>
      </c>
      <c r="C3914" s="4">
        <v>6</v>
      </c>
      <c r="D3914" s="4">
        <v>14682</v>
      </c>
    </row>
    <row r="3915" spans="1:4" x14ac:dyDescent="0.25">
      <c r="A3915" t="str">
        <f>T("   841420")</f>
        <v xml:space="preserve">   841420</v>
      </c>
      <c r="B3915" t="str">
        <f>T("   POMPES A AIR, A MAIN OU A PIED")</f>
        <v xml:space="preserve">   POMPES A AIR, A MAIN OU A PIED</v>
      </c>
      <c r="C3915" s="4">
        <v>243</v>
      </c>
      <c r="D3915" s="4">
        <v>816015</v>
      </c>
    </row>
    <row r="3916" spans="1:4" x14ac:dyDescent="0.25">
      <c r="A3916" t="str">
        <f>T("   841451")</f>
        <v xml:space="preserve">   841451</v>
      </c>
      <c r="B3916" t="str">
        <f>T("   VENTILATEURS DE TABLE, DE SOL, MURAUX, PLAFONNIERS, DE TOITURES OU DE FENETRES, A MO")</f>
        <v xml:space="preserve">   VENTILATEURS DE TABLE, DE SOL, MURAUX, PLAFONNIERS, DE TOITURES OU DE FENETRES, A MO</v>
      </c>
      <c r="C3916" s="4">
        <v>3932</v>
      </c>
      <c r="D3916" s="4">
        <v>5461523</v>
      </c>
    </row>
    <row r="3917" spans="1:4" x14ac:dyDescent="0.25">
      <c r="A3917" t="str">
        <f>T("   841460")</f>
        <v xml:space="preserve">   841460</v>
      </c>
      <c r="B3917" t="str">
        <f>T("   HOTTES DONT LE PLUS GRAND COTE HORIZONTAL N'EXCEDE PAS 120 CM")</f>
        <v xml:space="preserve">   HOTTES DONT LE PLUS GRAND COTE HORIZONTAL N'EXCEDE PAS 120 CM</v>
      </c>
      <c r="C3917" s="4">
        <v>665</v>
      </c>
      <c r="D3917" s="4">
        <v>1297942</v>
      </c>
    </row>
    <row r="3918" spans="1:4" x14ac:dyDescent="0.25">
      <c r="A3918" t="str">
        <f>T("   841490")</f>
        <v xml:space="preserve">   841490</v>
      </c>
      <c r="B3918" t="str">
        <f>T("   PARTIES")</f>
        <v xml:space="preserve">   PARTIES</v>
      </c>
      <c r="C3918" s="4">
        <v>35</v>
      </c>
      <c r="D3918" s="4">
        <v>174354</v>
      </c>
    </row>
    <row r="3919" spans="1:4" x14ac:dyDescent="0.25">
      <c r="A3919" t="str">
        <f>T("   841510")</f>
        <v xml:space="preserve">   841510</v>
      </c>
      <c r="B3919" t="str">
        <f>T("   DU TYPE MURAL OU POUR FENETRES, FORMANT UN SEUL CORPS OU DU TYPE «SPLITSYSTEM» (SYST")</f>
        <v xml:space="preserve">   DU TYPE MURAL OU POUR FENETRES, FORMANT UN SEUL CORPS OU DU TYPE «SPLITSYSTEM» (SYST</v>
      </c>
      <c r="C3919" s="4">
        <v>992</v>
      </c>
      <c r="D3919" s="4">
        <v>3902076</v>
      </c>
    </row>
    <row r="3920" spans="1:4" x14ac:dyDescent="0.25">
      <c r="A3920" t="str">
        <f>T("   841790")</f>
        <v xml:space="preserve">   841790</v>
      </c>
      <c r="B3920" t="str">
        <f>T("   PARTIES")</f>
        <v xml:space="preserve">   PARTIES</v>
      </c>
      <c r="C3920" s="4">
        <v>620</v>
      </c>
      <c r="D3920" s="4">
        <v>2659262</v>
      </c>
    </row>
    <row r="3921" spans="1:4" x14ac:dyDescent="0.25">
      <c r="A3921" t="str">
        <f>T("   841821")</f>
        <v xml:space="preserve">   841821</v>
      </c>
      <c r="B3921" t="str">
        <f>T("   A COMPRESSION")</f>
        <v xml:space="preserve">   A COMPRESSION</v>
      </c>
      <c r="C3921" s="4">
        <v>14095</v>
      </c>
      <c r="D3921" s="4">
        <v>3917256</v>
      </c>
    </row>
    <row r="3922" spans="1:4" x14ac:dyDescent="0.25">
      <c r="A3922" t="str">
        <f>T("   841829")</f>
        <v xml:space="preserve">   841829</v>
      </c>
      <c r="B3922" t="str">
        <f>T("   AUTRES")</f>
        <v xml:space="preserve">   AUTRES</v>
      </c>
      <c r="C3922" s="4">
        <v>13809</v>
      </c>
      <c r="D3922" s="4">
        <v>183722589</v>
      </c>
    </row>
    <row r="3923" spans="1:4" x14ac:dyDescent="0.25">
      <c r="A3923" t="str">
        <f>T("   841899")</f>
        <v xml:space="preserve">   841899</v>
      </c>
      <c r="B3923" t="str">
        <f>T("   AUTRES")</f>
        <v xml:space="preserve">   AUTRES</v>
      </c>
      <c r="C3923" s="4">
        <v>3300</v>
      </c>
      <c r="D3923" s="4">
        <v>6208661</v>
      </c>
    </row>
    <row r="3924" spans="1:4" x14ac:dyDescent="0.25">
      <c r="A3924" t="str">
        <f>T("   842121")</f>
        <v xml:space="preserve">   842121</v>
      </c>
      <c r="B3924" t="str">
        <f>T("   POUR LA FILTRATION OU L'EPURATION DES EAUX")</f>
        <v xml:space="preserve">   POUR LA FILTRATION OU L'EPURATION DES EAUX</v>
      </c>
      <c r="C3924" s="4">
        <v>321</v>
      </c>
      <c r="D3924" s="4">
        <v>770097</v>
      </c>
    </row>
    <row r="3925" spans="1:4" x14ac:dyDescent="0.25">
      <c r="A3925" t="str">
        <f>T("   842219")</f>
        <v xml:space="preserve">   842219</v>
      </c>
      <c r="B3925" t="str">
        <f>T("   AUTRES")</f>
        <v xml:space="preserve">   AUTRES</v>
      </c>
      <c r="C3925" s="4">
        <v>200</v>
      </c>
      <c r="D3925" s="4">
        <v>459172</v>
      </c>
    </row>
    <row r="3926" spans="1:4" x14ac:dyDescent="0.25">
      <c r="A3926" t="str">
        <f>T("   842290")</f>
        <v xml:space="preserve">   842290</v>
      </c>
      <c r="B3926" t="str">
        <f>T("   PARTIES")</f>
        <v xml:space="preserve">   PARTIES</v>
      </c>
      <c r="C3926" s="4">
        <v>70</v>
      </c>
      <c r="D3926" s="4">
        <v>708437</v>
      </c>
    </row>
    <row r="3927" spans="1:4" x14ac:dyDescent="0.25">
      <c r="A3927" t="str">
        <f>T("   842481")</f>
        <v xml:space="preserve">   842481</v>
      </c>
      <c r="B3927" t="str">
        <f>T("   POUR L'AGRICULTURE OU L'HORTICULTURE")</f>
        <v xml:space="preserve">   POUR L'AGRICULTURE OU L'HORTICULTURE</v>
      </c>
      <c r="C3927" s="4">
        <v>700</v>
      </c>
      <c r="D3927" s="4">
        <v>13189265</v>
      </c>
    </row>
    <row r="3928" spans="1:4" x14ac:dyDescent="0.25">
      <c r="A3928" t="str">
        <f>T("   842531")</f>
        <v xml:space="preserve">   842531</v>
      </c>
      <c r="B3928" t="str">
        <f>T("   A MOTEUR ELECTRIQUE")</f>
        <v xml:space="preserve">   A MOTEUR ELECTRIQUE</v>
      </c>
      <c r="C3928" s="4">
        <v>3300</v>
      </c>
      <c r="D3928" s="4">
        <v>36461415</v>
      </c>
    </row>
    <row r="3929" spans="1:4" x14ac:dyDescent="0.25">
      <c r="A3929" t="str">
        <f>T("   842890")</f>
        <v xml:space="preserve">   842890</v>
      </c>
      <c r="B3929" t="str">
        <f>T("   AUTRES MACHINES ET APPAREILS")</f>
        <v xml:space="preserve">   AUTRES MACHINES ET APPAREILS</v>
      </c>
      <c r="C3929" s="4">
        <v>7585</v>
      </c>
      <c r="D3929" s="4">
        <v>33539829</v>
      </c>
    </row>
    <row r="3930" spans="1:4" x14ac:dyDescent="0.25">
      <c r="A3930" t="str">
        <f>T("   842920")</f>
        <v xml:space="preserve">   842920</v>
      </c>
      <c r="B3930" t="str">
        <f>T("   NIVELEUSES")</f>
        <v xml:space="preserve">   NIVELEUSES</v>
      </c>
      <c r="C3930" s="4">
        <v>14360</v>
      </c>
      <c r="D3930" s="4">
        <v>8000003</v>
      </c>
    </row>
    <row r="3931" spans="1:4" x14ac:dyDescent="0.25">
      <c r="A3931" t="str">
        <f>T("   843050")</f>
        <v xml:space="preserve">   843050</v>
      </c>
      <c r="B3931" t="str">
        <f>T("   AUTRES MACHINES ET APPAREILS, AUTOPROPULSES")</f>
        <v xml:space="preserve">   AUTRES MACHINES ET APPAREILS, AUTOPROPULSES</v>
      </c>
      <c r="C3931" s="4">
        <v>140000</v>
      </c>
      <c r="D3931" s="4">
        <v>262971741</v>
      </c>
    </row>
    <row r="3932" spans="1:4" x14ac:dyDescent="0.25">
      <c r="A3932" t="str">
        <f>T("   843131")</f>
        <v xml:space="preserve">   843131</v>
      </c>
      <c r="B3932" t="str">
        <f>T("   D'ASCENSEURS, MONTECHARGE OU ESCALIERS MECANIQUES")</f>
        <v xml:space="preserve">   D'ASCENSEURS, MONTECHARGE OU ESCALIERS MECANIQUES</v>
      </c>
      <c r="C3932" s="4">
        <v>0.8</v>
      </c>
      <c r="D3932" s="4">
        <v>154273</v>
      </c>
    </row>
    <row r="3933" spans="1:4" x14ac:dyDescent="0.25">
      <c r="A3933" t="str">
        <f>T("   843139")</f>
        <v xml:space="preserve">   843139</v>
      </c>
      <c r="B3933" t="str">
        <f>T("   AUTRES")</f>
        <v xml:space="preserve">   AUTRES</v>
      </c>
      <c r="C3933" s="4">
        <v>16.399999999999999</v>
      </c>
      <c r="D3933" s="4">
        <v>803551</v>
      </c>
    </row>
    <row r="3934" spans="1:4" x14ac:dyDescent="0.25">
      <c r="A3934" t="str">
        <f>T("   843319")</f>
        <v xml:space="preserve">   843319</v>
      </c>
      <c r="B3934" t="str">
        <f>T("   AUTRES")</f>
        <v xml:space="preserve">   AUTRES</v>
      </c>
      <c r="C3934" s="4">
        <v>3</v>
      </c>
      <c r="D3934" s="4">
        <v>63661</v>
      </c>
    </row>
    <row r="3935" spans="1:4" x14ac:dyDescent="0.25">
      <c r="A3935" t="str">
        <f>T("   843840")</f>
        <v xml:space="preserve">   843840</v>
      </c>
      <c r="B3935" t="str">
        <f>T("   Machines et appareils pour la brasserie")</f>
        <v xml:space="preserve">   Machines et appareils pour la brasserie</v>
      </c>
      <c r="C3935" s="4">
        <v>3000</v>
      </c>
      <c r="D3935" s="4">
        <v>25005195</v>
      </c>
    </row>
    <row r="3936" spans="1:4" x14ac:dyDescent="0.25">
      <c r="A3936" t="str">
        <f>T("   845229")</f>
        <v xml:space="preserve">   845229</v>
      </c>
      <c r="B3936" t="str">
        <f>T("   AUTRES")</f>
        <v xml:space="preserve">   AUTRES</v>
      </c>
      <c r="C3936" s="4">
        <v>588</v>
      </c>
      <c r="D3936" s="4">
        <v>128319</v>
      </c>
    </row>
    <row r="3937" spans="1:4" x14ac:dyDescent="0.25">
      <c r="A3937" t="str">
        <f>T("   846420")</f>
        <v xml:space="preserve">   846420</v>
      </c>
      <c r="B3937" t="str">
        <f>T("   MACHINES A MEULER OU A POLIR")</f>
        <v xml:space="preserve">   MACHINES A MEULER OU A POLIR</v>
      </c>
      <c r="C3937" s="4">
        <v>1500</v>
      </c>
      <c r="D3937" s="4">
        <v>1538226</v>
      </c>
    </row>
    <row r="3938" spans="1:4" x14ac:dyDescent="0.25">
      <c r="A3938" t="str">
        <f>T("   846490")</f>
        <v xml:space="preserve">   846490</v>
      </c>
      <c r="B3938" t="str">
        <f>T("   AUTRES")</f>
        <v xml:space="preserve">   AUTRES</v>
      </c>
      <c r="C3938" s="4">
        <v>14</v>
      </c>
      <c r="D3938" s="4">
        <v>65596</v>
      </c>
    </row>
    <row r="3939" spans="1:4" x14ac:dyDescent="0.25">
      <c r="A3939" t="str">
        <f>T("   846599")</f>
        <v xml:space="preserve">   846599</v>
      </c>
      <c r="B3939" t="str">
        <f>T("   AUTRES")</f>
        <v xml:space="preserve">   AUTRES</v>
      </c>
      <c r="C3939" s="4">
        <v>267</v>
      </c>
      <c r="D3939" s="4">
        <v>32798</v>
      </c>
    </row>
    <row r="3940" spans="1:4" x14ac:dyDescent="0.25">
      <c r="A3940" t="str">
        <f>T("   847130")</f>
        <v xml:space="preserve">   847130</v>
      </c>
      <c r="B3940" t="str">
        <f>T("   MACHINES AUTOMATIQUES DE TRAITEMENT DE L'INFORMATION PORTATIVES, D'UN POIDS N'EXCEDAN")</f>
        <v xml:space="preserve">   MACHINES AUTOMATIQUES DE TRAITEMENT DE L'INFORMATION PORTATIVES, D'UN POIDS N'EXCEDAN</v>
      </c>
      <c r="C3940" s="4">
        <v>29</v>
      </c>
      <c r="D3940" s="4">
        <v>506598</v>
      </c>
    </row>
    <row r="3941" spans="1:4" x14ac:dyDescent="0.25">
      <c r="A3941" t="str">
        <f>T("   847180")</f>
        <v xml:space="preserve">   847180</v>
      </c>
      <c r="B3941" t="str">
        <f>T("   AUTRES UNITES DE MACHINES AUTOMATIQUES DE TRAITEMENT DE L'INFORMATION")</f>
        <v xml:space="preserve">   AUTRES UNITES DE MACHINES AUTOMATIQUES DE TRAITEMENT DE L'INFORMATION</v>
      </c>
      <c r="C3941" s="4">
        <v>1221</v>
      </c>
      <c r="D3941" s="4">
        <v>9137786</v>
      </c>
    </row>
    <row r="3942" spans="1:4" x14ac:dyDescent="0.25">
      <c r="A3942" t="str">
        <f>T("   847190")</f>
        <v xml:space="preserve">   847190</v>
      </c>
      <c r="B3942" t="str">
        <f>T("   AUTRES")</f>
        <v xml:space="preserve">   AUTRES</v>
      </c>
      <c r="C3942" s="4">
        <v>1</v>
      </c>
      <c r="D3942" s="4">
        <v>136592</v>
      </c>
    </row>
    <row r="3943" spans="1:4" x14ac:dyDescent="0.25">
      <c r="A3943" t="str">
        <f>T("   847330")</f>
        <v xml:space="preserve">   847330</v>
      </c>
      <c r="B3943" t="str">
        <f>T("   PARTIES ET ACCESSOIRES DES MACHINES DU N° 84.71")</f>
        <v xml:space="preserve">   PARTIES ET ACCESSOIRES DES MACHINES DU N° 84.71</v>
      </c>
      <c r="C3943" s="4">
        <v>143</v>
      </c>
      <c r="D3943" s="4">
        <v>143293</v>
      </c>
    </row>
    <row r="3944" spans="1:4" x14ac:dyDescent="0.25">
      <c r="A3944" t="str">
        <f>T("   847490")</f>
        <v xml:space="preserve">   847490</v>
      </c>
      <c r="B3944" t="str">
        <f>T("   PARTIES")</f>
        <v xml:space="preserve">   PARTIES</v>
      </c>
      <c r="C3944" s="4">
        <v>231</v>
      </c>
      <c r="D3944" s="4">
        <v>1706878</v>
      </c>
    </row>
    <row r="3945" spans="1:4" x14ac:dyDescent="0.25">
      <c r="A3945" t="str">
        <f>T("   847740")</f>
        <v xml:space="preserve">   847740</v>
      </c>
      <c r="B3945" t="str">
        <f>T("   Machines a mouler sous vide et autres machines a thermoformer")</f>
        <v xml:space="preserve">   Machines a mouler sous vide et autres machines a thermoformer</v>
      </c>
      <c r="C3945" s="4">
        <v>1850</v>
      </c>
      <c r="D3945" s="4">
        <v>3044310</v>
      </c>
    </row>
    <row r="3946" spans="1:4" x14ac:dyDescent="0.25">
      <c r="A3946" t="str">
        <f>T("   847759")</f>
        <v xml:space="preserve">   847759</v>
      </c>
      <c r="B3946" t="str">
        <f>T("   AUTRES")</f>
        <v xml:space="preserve">   AUTRES</v>
      </c>
      <c r="C3946" s="4">
        <v>10020</v>
      </c>
      <c r="D3946" s="4">
        <v>46380964</v>
      </c>
    </row>
    <row r="3947" spans="1:4" x14ac:dyDescent="0.25">
      <c r="A3947" t="str">
        <f>T("   847990")</f>
        <v xml:space="preserve">   847990</v>
      </c>
      <c r="B3947" t="str">
        <f>T("   PARTIES")</f>
        <v xml:space="preserve">   PARTIES</v>
      </c>
      <c r="C3947" s="4">
        <v>800</v>
      </c>
      <c r="D3947" s="4">
        <v>1647250</v>
      </c>
    </row>
    <row r="3948" spans="1:4" x14ac:dyDescent="0.25">
      <c r="A3948" t="str">
        <f>T("   848180")</f>
        <v xml:space="preserve">   848180</v>
      </c>
      <c r="B3948" t="str">
        <f>T("   Autres articles de robinetterie et organes similaires")</f>
        <v xml:space="preserve">   Autres articles de robinetterie et organes similaires</v>
      </c>
      <c r="C3948" s="4">
        <v>3627</v>
      </c>
      <c r="D3948" s="4">
        <v>15108091</v>
      </c>
    </row>
    <row r="3949" spans="1:4" x14ac:dyDescent="0.25">
      <c r="A3949" t="str">
        <f>T("   850211")</f>
        <v xml:space="preserve">   850211</v>
      </c>
      <c r="B3949" t="str">
        <f>T("   D'UNE PUISSANCE N'EXCEDANT PAS 75 KVA")</f>
        <v xml:space="preserve">   D'UNE PUISSANCE N'EXCEDANT PAS 75 KVA</v>
      </c>
      <c r="C3949" s="4">
        <v>100</v>
      </c>
      <c r="D3949" s="4">
        <v>961318</v>
      </c>
    </row>
    <row r="3950" spans="1:4" x14ac:dyDescent="0.25">
      <c r="A3950" t="str">
        <f>T("   850213")</f>
        <v xml:space="preserve">   850213</v>
      </c>
      <c r="B3950" t="str">
        <f>T("   D'UNE PUISSANCE EXCEDANT 375 KVA")</f>
        <v xml:space="preserve">   D'UNE PUISSANCE EXCEDANT 375 KVA</v>
      </c>
      <c r="C3950" s="4">
        <v>5301</v>
      </c>
      <c r="D3950" s="4">
        <v>34862903</v>
      </c>
    </row>
    <row r="3951" spans="1:4" x14ac:dyDescent="0.25">
      <c r="A3951" t="str">
        <f>T("   850239")</f>
        <v xml:space="preserve">   850239</v>
      </c>
      <c r="B3951" t="str">
        <f>T("   AUTRES")</f>
        <v xml:space="preserve">   AUTRES</v>
      </c>
      <c r="C3951" s="4">
        <v>22785</v>
      </c>
      <c r="D3951" s="4">
        <v>30245796</v>
      </c>
    </row>
    <row r="3952" spans="1:4" x14ac:dyDescent="0.25">
      <c r="A3952" t="str">
        <f>T("   850240")</f>
        <v xml:space="preserve">   850240</v>
      </c>
      <c r="B3952" t="str">
        <f>T("   CONVERTISSEURS ROTATIFS ELECTRIQUES")</f>
        <v xml:space="preserve">   CONVERTISSEURS ROTATIFS ELECTRIQUES</v>
      </c>
      <c r="C3952" s="4">
        <v>26</v>
      </c>
      <c r="D3952" s="4">
        <v>240286</v>
      </c>
    </row>
    <row r="3953" spans="1:4" x14ac:dyDescent="0.25">
      <c r="A3953" t="str">
        <f>T("   850421")</f>
        <v xml:space="preserve">   850421</v>
      </c>
      <c r="B3953" t="str">
        <f>T("   D'UNE PUISSANCE N'EXCEDANT PAS 650 KVA")</f>
        <v xml:space="preserve">   D'UNE PUISSANCE N'EXCEDANT PAS 650 KVA</v>
      </c>
      <c r="C3953" s="4">
        <v>241</v>
      </c>
      <c r="D3953" s="4">
        <v>590364</v>
      </c>
    </row>
    <row r="3954" spans="1:4" x14ac:dyDescent="0.25">
      <c r="A3954" t="str">
        <f>T("   850432")</f>
        <v xml:space="preserve">   850432</v>
      </c>
      <c r="B3954" t="str">
        <f>T("   D'UNE PUISSANCE EXCEDANT 1 KVA MAIS N'EXCEDANT PAS 16 KVA")</f>
        <v xml:space="preserve">   D'UNE PUISSANCE EXCEDANT 1 KVA MAIS N'EXCEDANT PAS 16 KVA</v>
      </c>
      <c r="C3954" s="4">
        <v>24</v>
      </c>
      <c r="D3954" s="4">
        <v>65596</v>
      </c>
    </row>
    <row r="3955" spans="1:4" x14ac:dyDescent="0.25">
      <c r="A3955" t="str">
        <f>T("   850440")</f>
        <v xml:space="preserve">   850440</v>
      </c>
      <c r="B3955" t="str">
        <f>T("   CONVERTISSEURS STATIQUES")</f>
        <v xml:space="preserve">   CONVERTISSEURS STATIQUES</v>
      </c>
      <c r="C3955" s="4">
        <v>365</v>
      </c>
      <c r="D3955" s="4">
        <v>6260483</v>
      </c>
    </row>
    <row r="3956" spans="1:4" x14ac:dyDescent="0.25">
      <c r="A3956" t="str">
        <f>T("   850690")</f>
        <v xml:space="preserve">   850690</v>
      </c>
      <c r="B3956" t="str">
        <f>T("   PARTIES")</f>
        <v xml:space="preserve">   PARTIES</v>
      </c>
      <c r="C3956" s="4">
        <v>4</v>
      </c>
      <c r="D3956" s="4">
        <v>2135937</v>
      </c>
    </row>
    <row r="3957" spans="1:4" x14ac:dyDescent="0.25">
      <c r="A3957" t="str">
        <f>T("   851610")</f>
        <v xml:space="preserve">   851610</v>
      </c>
      <c r="B3957" t="str">
        <f>T("   CHAUFFEEAU ET THERMOPLONGEURS ELECTRIQUES")</f>
        <v xml:space="preserve">   CHAUFFEEAU ET THERMOPLONGEURS ELECTRIQUES</v>
      </c>
      <c r="C3957" s="4">
        <v>100</v>
      </c>
      <c r="D3957" s="4">
        <v>1725437</v>
      </c>
    </row>
    <row r="3958" spans="1:4" x14ac:dyDescent="0.25">
      <c r="A3958" t="str">
        <f>T("   851631")</f>
        <v xml:space="preserve">   851631</v>
      </c>
      <c r="B3958" t="str">
        <f>T("   SECHECHEVEUX")</f>
        <v xml:space="preserve">   SECHECHEVEUX</v>
      </c>
      <c r="C3958" s="4">
        <v>25</v>
      </c>
      <c r="D3958" s="4">
        <v>1339707</v>
      </c>
    </row>
    <row r="3959" spans="1:4" x14ac:dyDescent="0.25">
      <c r="A3959" t="str">
        <f>T("   851660")</f>
        <v xml:space="preserve">   851660</v>
      </c>
      <c r="B3959" t="str">
        <f>T("   AUTRES FOURS; CUISINIERES, RECHAUDS (Y COMPRIS LES TABLES DE CUISSON), GRILS ET ROTIS")</f>
        <v xml:space="preserve">   AUTRES FOURS; CUISINIERES, RECHAUDS (Y COMPRIS LES TABLES DE CUISSON), GRILS ET ROTIS</v>
      </c>
      <c r="C3959" s="4">
        <v>2446</v>
      </c>
      <c r="D3959" s="4">
        <v>2910147</v>
      </c>
    </row>
    <row r="3960" spans="1:4" x14ac:dyDescent="0.25">
      <c r="A3960" t="str">
        <f>T("   852380")</f>
        <v xml:space="preserve">   852380</v>
      </c>
      <c r="B3960" t="str">
        <f>T("   AUTRES")</f>
        <v xml:space="preserve">   AUTRES</v>
      </c>
      <c r="C3960" s="4">
        <v>29</v>
      </c>
      <c r="D3960" s="4">
        <v>103931</v>
      </c>
    </row>
    <row r="3961" spans="1:4" x14ac:dyDescent="0.25">
      <c r="A3961" t="str">
        <f>T("   853590")</f>
        <v xml:space="preserve">   853590</v>
      </c>
      <c r="B3961" t="str">
        <f>T("   AUTRES")</f>
        <v xml:space="preserve">   AUTRES</v>
      </c>
      <c r="C3961" s="4">
        <v>720</v>
      </c>
      <c r="D3961" s="4">
        <v>686134</v>
      </c>
    </row>
    <row r="3962" spans="1:4" x14ac:dyDescent="0.25">
      <c r="A3962" t="str">
        <f>T("   853620")</f>
        <v xml:space="preserve">   853620</v>
      </c>
      <c r="B3962" t="str">
        <f>T("   DISJONCTEURS")</f>
        <v xml:space="preserve">   DISJONCTEURS</v>
      </c>
      <c r="C3962" s="4">
        <v>166</v>
      </c>
      <c r="D3962" s="4">
        <v>1336768</v>
      </c>
    </row>
    <row r="3963" spans="1:4" x14ac:dyDescent="0.25">
      <c r="A3963" t="str">
        <f>T("   853650")</f>
        <v xml:space="preserve">   853650</v>
      </c>
      <c r="B3963" t="str">
        <f>T("   AUTRES INTERRUPTEURS, SECTIONNEURS ET COMMUTATEURS")</f>
        <v xml:space="preserve">   AUTRES INTERRUPTEURS, SECTIONNEURS ET COMMUTATEURS</v>
      </c>
      <c r="C3963" s="4">
        <v>67.459999999999994</v>
      </c>
      <c r="D3963" s="4">
        <v>2093838</v>
      </c>
    </row>
    <row r="3964" spans="1:4" x14ac:dyDescent="0.25">
      <c r="A3964" t="str">
        <f>T("   853669")</f>
        <v xml:space="preserve">   853669</v>
      </c>
      <c r="B3964" t="str">
        <f>T("   AUTRES")</f>
        <v xml:space="preserve">   AUTRES</v>
      </c>
      <c r="C3964" s="4">
        <v>790.5</v>
      </c>
      <c r="D3964" s="4">
        <v>3918287</v>
      </c>
    </row>
    <row r="3965" spans="1:4" x14ac:dyDescent="0.25">
      <c r="A3965" t="str">
        <f>T("   853690")</f>
        <v xml:space="preserve">   853690</v>
      </c>
      <c r="B3965" t="str">
        <f>T("   AUTRES APPAREILS")</f>
        <v xml:space="preserve">   AUTRES APPAREILS</v>
      </c>
      <c r="C3965" s="4">
        <v>13.84</v>
      </c>
      <c r="D3965" s="4">
        <v>41726</v>
      </c>
    </row>
    <row r="3966" spans="1:4" x14ac:dyDescent="0.25">
      <c r="A3966" t="str">
        <f>T("   853890")</f>
        <v xml:space="preserve">   853890</v>
      </c>
      <c r="B3966" t="str">
        <f>T("   AUTRES")</f>
        <v xml:space="preserve">   AUTRES</v>
      </c>
      <c r="C3966" s="4">
        <v>394</v>
      </c>
      <c r="D3966" s="4">
        <v>3472303</v>
      </c>
    </row>
    <row r="3967" spans="1:4" x14ac:dyDescent="0.25">
      <c r="A3967" t="str">
        <f>T("   853929")</f>
        <v xml:space="preserve">   853929</v>
      </c>
      <c r="B3967" t="str">
        <f>T("   AUTRES")</f>
        <v xml:space="preserve">   AUTRES</v>
      </c>
      <c r="C3967" s="4">
        <v>106</v>
      </c>
      <c r="D3967" s="4">
        <v>1641868</v>
      </c>
    </row>
    <row r="3968" spans="1:4" x14ac:dyDescent="0.25">
      <c r="A3968" t="str">
        <f>T("   854411")</f>
        <v xml:space="preserve">   854411</v>
      </c>
      <c r="B3968" t="str">
        <f>T("   EN CUIVRE")</f>
        <v xml:space="preserve">   EN CUIVRE</v>
      </c>
      <c r="C3968" s="4">
        <v>77683</v>
      </c>
      <c r="D3968" s="4">
        <v>257823766</v>
      </c>
    </row>
    <row r="3969" spans="1:4" x14ac:dyDescent="0.25">
      <c r="A3969" t="str">
        <f>T("   854420")</f>
        <v xml:space="preserve">   854420</v>
      </c>
      <c r="B3969" t="str">
        <f>T("   Cables coaxiaux et autres conducteurs electriques coaxiaux")</f>
        <v xml:space="preserve">   Cables coaxiaux et autres conducteurs electriques coaxiaux</v>
      </c>
      <c r="C3969" s="4">
        <v>20</v>
      </c>
      <c r="D3969" s="4">
        <v>339788</v>
      </c>
    </row>
    <row r="3970" spans="1:4" x14ac:dyDescent="0.25">
      <c r="A3970" t="str">
        <f>T("   854460")</f>
        <v xml:space="preserve">   854460</v>
      </c>
      <c r="B3970" t="str">
        <f>T("   AUTRES CONDUCTEURS ELECTRIQUES, POUR TENSIONS EXCEDANT 1.000 V")</f>
        <v xml:space="preserve">   AUTRES CONDUCTEURS ELECTRIQUES, POUR TENSIONS EXCEDANT 1.000 V</v>
      </c>
      <c r="C3970" s="4">
        <v>22405</v>
      </c>
      <c r="D3970" s="4">
        <v>90567282</v>
      </c>
    </row>
    <row r="3971" spans="1:4" x14ac:dyDescent="0.25">
      <c r="A3971" t="str">
        <f>T("   870120")</f>
        <v xml:space="preserve">   870120</v>
      </c>
      <c r="B3971" t="str">
        <f>T("   TRACTEURS ROUTIERS POUR SEMIREMORQUES")</f>
        <v xml:space="preserve">   TRACTEURS ROUTIERS POUR SEMIREMORQUES</v>
      </c>
      <c r="C3971" s="4">
        <v>27915</v>
      </c>
      <c r="D3971" s="4">
        <v>7200000</v>
      </c>
    </row>
    <row r="3972" spans="1:4" x14ac:dyDescent="0.25">
      <c r="A3972" t="str">
        <f>T("   870210")</f>
        <v xml:space="preserve">   870210</v>
      </c>
      <c r="B3972" t="str">
        <f>T("   A MOTEUR A PISTON A ALLUMAGE PAR COMPRESSION (DIESEL OU SEMIDIESEL)")</f>
        <v xml:space="preserve">   A MOTEUR A PISTON A ALLUMAGE PAR COMPRESSION (DIESEL OU SEMIDIESEL)</v>
      </c>
      <c r="C3972" s="4">
        <v>21000</v>
      </c>
      <c r="D3972" s="4">
        <v>14315071</v>
      </c>
    </row>
    <row r="3973" spans="1:4" x14ac:dyDescent="0.25">
      <c r="A3973" t="str">
        <f>T("   870322")</f>
        <v xml:space="preserve">   870322</v>
      </c>
      <c r="B3973" t="str">
        <f>T("   D’UNE CYLINDREE EXCEDANT 1.000 CM³ MAIS N’EXCEDANT PAS 1.500 CM³")</f>
        <v xml:space="preserve">   D’UNE CYLINDREE EXCEDANT 1.000 CM³ MAIS N’EXCEDANT PAS 1.500 CM³</v>
      </c>
      <c r="C3973" s="4">
        <v>2719</v>
      </c>
      <c r="D3973" s="4">
        <v>21611862</v>
      </c>
    </row>
    <row r="3974" spans="1:4" x14ac:dyDescent="0.25">
      <c r="A3974" t="str">
        <f>T("   870323")</f>
        <v xml:space="preserve">   870323</v>
      </c>
      <c r="B3974" t="str">
        <f>T("   D’UNE CYLINDREE EXCEDANT 1.500 CM³ MAIS N’EXCEDANT PAS 3.000 CM³")</f>
        <v xml:space="preserve">   D’UNE CYLINDREE EXCEDANT 1.500 CM³ MAIS N’EXCEDANT PAS 3.000 CM³</v>
      </c>
      <c r="C3974" s="4">
        <v>26808</v>
      </c>
      <c r="D3974" s="4">
        <v>162991785</v>
      </c>
    </row>
    <row r="3975" spans="1:4" x14ac:dyDescent="0.25">
      <c r="A3975" t="str">
        <f>T("   870324")</f>
        <v xml:space="preserve">   870324</v>
      </c>
      <c r="B3975" t="str">
        <f>T("   D’UNE CYLINDREE EXCEDANT 3.000 CM³")</f>
        <v xml:space="preserve">   D’UNE CYLINDREE EXCEDANT 3.000 CM³</v>
      </c>
      <c r="C3975" s="4">
        <v>1200</v>
      </c>
      <c r="D3975" s="4">
        <v>3091753</v>
      </c>
    </row>
    <row r="3976" spans="1:4" x14ac:dyDescent="0.25">
      <c r="A3976" t="str">
        <f>T("   870332")</f>
        <v xml:space="preserve">   870332</v>
      </c>
      <c r="B3976" t="str">
        <f>T("   D'UNE CYLINDREE EXCEDANT 1.500 CM³ MAIS N'EXCEDANT PAS 2.500 CM³")</f>
        <v xml:space="preserve">   D'UNE CYLINDREE EXCEDANT 1.500 CM³ MAIS N'EXCEDANT PAS 2.500 CM³</v>
      </c>
      <c r="C3976" s="4">
        <v>950</v>
      </c>
      <c r="D3976" s="4">
        <v>1290495</v>
      </c>
    </row>
    <row r="3977" spans="1:4" x14ac:dyDescent="0.25">
      <c r="A3977" t="str">
        <f>T("   870333")</f>
        <v xml:space="preserve">   870333</v>
      </c>
      <c r="B3977" t="str">
        <f>T("   D'UNE CYLINDREE EXCEDANT 2.500 CM³")</f>
        <v xml:space="preserve">   D'UNE CYLINDREE EXCEDANT 2.500 CM³</v>
      </c>
      <c r="C3977" s="4">
        <v>12039</v>
      </c>
      <c r="D3977" s="4">
        <v>83144281</v>
      </c>
    </row>
    <row r="3978" spans="1:4" x14ac:dyDescent="0.25">
      <c r="A3978" t="str">
        <f>T("   870421")</f>
        <v xml:space="preserve">   870421</v>
      </c>
      <c r="B3978" t="str">
        <f>T("   D'UN POIDS EN CHARGE MAXIMAL N'EXCEDANT PAS 5 TONNES")</f>
        <v xml:space="preserve">   D'UN POIDS EN CHARGE MAXIMAL N'EXCEDANT PAS 5 TONNES</v>
      </c>
      <c r="C3978" s="4">
        <v>8291</v>
      </c>
      <c r="D3978" s="4">
        <v>20139186</v>
      </c>
    </row>
    <row r="3979" spans="1:4" x14ac:dyDescent="0.25">
      <c r="A3979" t="str">
        <f>T("   870422")</f>
        <v xml:space="preserve">   870422</v>
      </c>
      <c r="B3979" t="str">
        <f>T("   D'UN POIDS EN CHARGE MAXIMAL EXCEDANT 5 TONNES MAIS N'EXCEDANT PAS 20 TONNES")</f>
        <v xml:space="preserve">   D'UN POIDS EN CHARGE MAXIMAL EXCEDANT 5 TONNES MAIS N'EXCEDANT PAS 20 TONNES</v>
      </c>
      <c r="C3979" s="4">
        <v>27935</v>
      </c>
      <c r="D3979" s="4">
        <v>6211914</v>
      </c>
    </row>
    <row r="3980" spans="1:4" x14ac:dyDescent="0.25">
      <c r="A3980" t="str">
        <f>T("   870431")</f>
        <v xml:space="preserve">   870431</v>
      </c>
      <c r="B3980" t="str">
        <f>T("   D'UN POIDS EN CHARGE MAXIMAL N'EXCEDANT PAS 5 TONNES")</f>
        <v xml:space="preserve">   D'UN POIDS EN CHARGE MAXIMAL N'EXCEDANT PAS 5 TONNES</v>
      </c>
      <c r="C3980" s="4">
        <v>4439</v>
      </c>
      <c r="D3980" s="4">
        <v>7325644</v>
      </c>
    </row>
    <row r="3981" spans="1:4" x14ac:dyDescent="0.25">
      <c r="A3981" t="str">
        <f>T("   870590")</f>
        <v xml:space="preserve">   870590</v>
      </c>
      <c r="B3981" t="str">
        <f>T("   AUTRES")</f>
        <v xml:space="preserve">   AUTRES</v>
      </c>
      <c r="C3981" s="4">
        <v>403</v>
      </c>
      <c r="D3981" s="4">
        <v>1200000</v>
      </c>
    </row>
    <row r="3982" spans="1:4" x14ac:dyDescent="0.25">
      <c r="A3982" t="str">
        <f>T("   870919")</f>
        <v xml:space="preserve">   870919</v>
      </c>
      <c r="B3982" t="str">
        <f>T("   AUTRES")</f>
        <v xml:space="preserve">   AUTRES</v>
      </c>
      <c r="C3982" s="4">
        <v>52000</v>
      </c>
      <c r="D3982" s="4">
        <v>18301284</v>
      </c>
    </row>
    <row r="3983" spans="1:4" x14ac:dyDescent="0.25">
      <c r="A3983" t="str">
        <f>T("   870990")</f>
        <v xml:space="preserve">   870990</v>
      </c>
      <c r="B3983" t="str">
        <f>T("   PARTIES")</f>
        <v xml:space="preserve">   PARTIES</v>
      </c>
      <c r="C3983" s="4">
        <v>12500</v>
      </c>
      <c r="D3983" s="4">
        <v>6150281</v>
      </c>
    </row>
    <row r="3984" spans="1:4" x14ac:dyDescent="0.25">
      <c r="A3984" t="str">
        <f>T("   871130")</f>
        <v xml:space="preserve">   871130</v>
      </c>
      <c r="B3984" t="str">
        <f>T("   A MOTEUR A PISTON ALTERNATIF, D'UNE CYLINDREE EXCEDANT 250 CM³ MAIS N'EXCEDANT PAS 50")</f>
        <v xml:space="preserve">   A MOTEUR A PISTON ALTERNATIF, D'UNE CYLINDREE EXCEDANT 250 CM³ MAIS N'EXCEDANT PAS 50</v>
      </c>
      <c r="C3984" s="4">
        <v>560</v>
      </c>
      <c r="D3984" s="4">
        <v>300000</v>
      </c>
    </row>
    <row r="3985" spans="1:4" x14ac:dyDescent="0.25">
      <c r="A3985" t="str">
        <f>T("   871190")</f>
        <v xml:space="preserve">   871190</v>
      </c>
      <c r="B3985" t="str">
        <f>T("   AUTRES")</f>
        <v xml:space="preserve">   AUTRES</v>
      </c>
      <c r="C3985" s="4">
        <v>705</v>
      </c>
      <c r="D3985" s="4">
        <v>294195</v>
      </c>
    </row>
    <row r="3986" spans="1:4" x14ac:dyDescent="0.25">
      <c r="A3986" t="str">
        <f>T("   871640")</f>
        <v xml:space="preserve">   871640</v>
      </c>
      <c r="B3986" t="str">
        <f>T("   AUTRES REMORQUES ET SEMIREMORQUES")</f>
        <v xml:space="preserve">   AUTRES REMORQUES ET SEMIREMORQUES</v>
      </c>
      <c r="C3986" s="4">
        <v>4000</v>
      </c>
      <c r="D3986" s="4">
        <v>2000000</v>
      </c>
    </row>
    <row r="3987" spans="1:4" x14ac:dyDescent="0.25">
      <c r="A3987" t="str">
        <f>T("   871690")</f>
        <v xml:space="preserve">   871690</v>
      </c>
      <c r="B3987" t="str">
        <f>T("   PARTIES")</f>
        <v xml:space="preserve">   PARTIES</v>
      </c>
      <c r="C3987" s="4">
        <v>350</v>
      </c>
      <c r="D3987" s="4">
        <v>10878441</v>
      </c>
    </row>
    <row r="3988" spans="1:4" x14ac:dyDescent="0.25">
      <c r="A3988" t="str">
        <f>T("   880230")</f>
        <v xml:space="preserve">   880230</v>
      </c>
      <c r="B3988" t="str">
        <f>T("   AVIONS ET AUTRES VEHICULES AERIENS, D'UN POIDS A VIDE EXCEDANT 2.000 KG MAIS N'EXCEDA")</f>
        <v xml:space="preserve">   AVIONS ET AUTRES VEHICULES AERIENS, D'UN POIDS A VIDE EXCEDANT 2.000 KG MAIS N'EXCEDA</v>
      </c>
      <c r="C3988" s="4">
        <v>30000</v>
      </c>
      <c r="D3988" s="4">
        <v>40727177</v>
      </c>
    </row>
    <row r="3989" spans="1:4" x14ac:dyDescent="0.25">
      <c r="A3989" t="str">
        <f>T("   900490")</f>
        <v xml:space="preserve">   900490</v>
      </c>
      <c r="B3989" t="str">
        <f>T("   AUTRES")</f>
        <v xml:space="preserve">   AUTRES</v>
      </c>
      <c r="C3989" s="4">
        <v>11</v>
      </c>
      <c r="D3989" s="4">
        <v>131192</v>
      </c>
    </row>
    <row r="3990" spans="1:4" x14ac:dyDescent="0.25">
      <c r="A3990" t="str">
        <f>T("   900830")</f>
        <v xml:space="preserve">   900830</v>
      </c>
      <c r="B3990" t="str">
        <f>T("   Autres projecteurs d'images fixes")</f>
        <v xml:space="preserve">   Autres projecteurs d'images fixes</v>
      </c>
      <c r="C3990" s="4">
        <v>562</v>
      </c>
      <c r="D3990" s="4">
        <v>535263</v>
      </c>
    </row>
    <row r="3991" spans="1:4" x14ac:dyDescent="0.25">
      <c r="A3991" t="str">
        <f>T("   901839")</f>
        <v xml:space="preserve">   901839</v>
      </c>
      <c r="B3991" t="str">
        <f>T("   AUTRES")</f>
        <v xml:space="preserve">   AUTRES</v>
      </c>
      <c r="C3991" s="4">
        <v>1411</v>
      </c>
      <c r="D3991" s="4">
        <v>2951820</v>
      </c>
    </row>
    <row r="3992" spans="1:4" x14ac:dyDescent="0.25">
      <c r="A3992" t="str">
        <f>T("   901890")</f>
        <v xml:space="preserve">   901890</v>
      </c>
      <c r="B3992" t="str">
        <f>T("   AUTRES INSTRUMENTS ET APPAREILS")</f>
        <v xml:space="preserve">   AUTRES INSTRUMENTS ET APPAREILS</v>
      </c>
      <c r="C3992" s="4">
        <v>2385</v>
      </c>
      <c r="D3992" s="4">
        <v>7251048</v>
      </c>
    </row>
    <row r="3993" spans="1:4" x14ac:dyDescent="0.25">
      <c r="A3993" t="str">
        <f>T("   902190")</f>
        <v xml:space="preserve">   902190</v>
      </c>
      <c r="B3993" t="str">
        <f>T("   AUTRES")</f>
        <v xml:space="preserve">   AUTRES</v>
      </c>
      <c r="C3993" s="4">
        <v>2000</v>
      </c>
      <c r="D3993" s="4">
        <v>2704018</v>
      </c>
    </row>
    <row r="3994" spans="1:4" x14ac:dyDescent="0.25">
      <c r="A3994" t="str">
        <f>T("   902300")</f>
        <v xml:space="preserve">   902300</v>
      </c>
      <c r="B3994" t="str">
        <f>T("   INSTRUMENTS, APPAREILS ET MODELES CONCUS POUR LA DEMONSTRATION (DANS L'ENSEIGNEMENT OU")</f>
        <v xml:space="preserve">   INSTRUMENTS, APPAREILS ET MODELES CONCUS POUR LA DEMONSTRATION (DANS L'ENSEIGNEMENT OU</v>
      </c>
      <c r="C3994" s="4">
        <v>56</v>
      </c>
      <c r="D3994" s="4">
        <v>126240</v>
      </c>
    </row>
    <row r="3995" spans="1:4" x14ac:dyDescent="0.25">
      <c r="A3995" t="str">
        <f>T("   902620")</f>
        <v xml:space="preserve">   902620</v>
      </c>
      <c r="B3995" t="str">
        <f>T("   POUR LA MESURE OU LE CONTROLE DE LA PRESSION")</f>
        <v xml:space="preserve">   POUR LA MESURE OU LE CONTROLE DE LA PRESSION</v>
      </c>
      <c r="C3995" s="4">
        <v>100</v>
      </c>
      <c r="D3995" s="4">
        <v>95114</v>
      </c>
    </row>
    <row r="3996" spans="1:4" x14ac:dyDescent="0.25">
      <c r="A3996" t="str">
        <f>T("   910121")</f>
        <v xml:space="preserve">   910121</v>
      </c>
      <c r="B3996" t="str">
        <f>T("   A REMONTAGE AUTOMATIQUE")</f>
        <v xml:space="preserve">   A REMONTAGE AUTOMATIQUE</v>
      </c>
      <c r="C3996" s="4">
        <v>27</v>
      </c>
      <c r="D3996" s="4">
        <v>2735353</v>
      </c>
    </row>
    <row r="3997" spans="1:4" x14ac:dyDescent="0.25">
      <c r="A3997" t="str">
        <f>T("   910129")</f>
        <v xml:space="preserve">   910129</v>
      </c>
      <c r="B3997" t="str">
        <f>T("   AUTRES")</f>
        <v xml:space="preserve">   AUTRES</v>
      </c>
      <c r="C3997" s="4">
        <v>14.5</v>
      </c>
      <c r="D3997" s="4">
        <v>1405703</v>
      </c>
    </row>
    <row r="3998" spans="1:4" x14ac:dyDescent="0.25">
      <c r="A3998" t="str">
        <f>T("   940179")</f>
        <v xml:space="preserve">   940179</v>
      </c>
      <c r="B3998" t="str">
        <f>T("   AUTRES")</f>
        <v xml:space="preserve">   AUTRES</v>
      </c>
      <c r="C3998" s="4">
        <v>1968</v>
      </c>
      <c r="D3998" s="4">
        <v>6075507</v>
      </c>
    </row>
    <row r="3999" spans="1:4" x14ac:dyDescent="0.25">
      <c r="A3999" t="str">
        <f>T("   940180")</f>
        <v xml:space="preserve">   940180</v>
      </c>
      <c r="B3999" t="str">
        <f>T("   AUTRES SIEGES")</f>
        <v xml:space="preserve">   AUTRES SIEGES</v>
      </c>
      <c r="C3999" s="4">
        <v>35</v>
      </c>
      <c r="D3999" s="4">
        <v>1573786</v>
      </c>
    </row>
    <row r="4000" spans="1:4" x14ac:dyDescent="0.25">
      <c r="A4000" t="str">
        <f>T("   940290")</f>
        <v xml:space="preserve">   940290</v>
      </c>
      <c r="B4000" t="str">
        <f>T("   AUTRES")</f>
        <v xml:space="preserve">   AUTRES</v>
      </c>
      <c r="C4000" s="4">
        <v>3500</v>
      </c>
      <c r="D4000" s="4">
        <v>550000</v>
      </c>
    </row>
    <row r="4001" spans="1:4" x14ac:dyDescent="0.25">
      <c r="A4001" t="str">
        <f>T("   940310")</f>
        <v xml:space="preserve">   940310</v>
      </c>
      <c r="B4001" t="str">
        <f>T("   MEUBLES EN METAL DES TYPES UTILISES DANS LES BUREAUX")</f>
        <v xml:space="preserve">   MEUBLES EN METAL DES TYPES UTILISES DANS LES BUREAUX</v>
      </c>
      <c r="C4001" s="4">
        <v>23490</v>
      </c>
      <c r="D4001" s="4">
        <v>11899685</v>
      </c>
    </row>
    <row r="4002" spans="1:4" x14ac:dyDescent="0.25">
      <c r="A4002" t="str">
        <f>T("   940340")</f>
        <v xml:space="preserve">   940340</v>
      </c>
      <c r="B4002" t="str">
        <f>T("   MEUBLES EN BOIS DES TYPES UTILISES DANS LES CUISINES")</f>
        <v xml:space="preserve">   MEUBLES EN BOIS DES TYPES UTILISES DANS LES CUISINES</v>
      </c>
      <c r="C4002" s="4">
        <v>5510</v>
      </c>
      <c r="D4002" s="4">
        <v>5061715</v>
      </c>
    </row>
    <row r="4003" spans="1:4" x14ac:dyDescent="0.25">
      <c r="A4003" t="str">
        <f>T("   940350")</f>
        <v xml:space="preserve">   940350</v>
      </c>
      <c r="B4003" t="str">
        <f>T("   MEUBLES EN BOIS DES TYPES UTILISES DANS LES CHAMBRES A COUCHER")</f>
        <v xml:space="preserve">   MEUBLES EN BOIS DES TYPES UTILISES DANS LES CHAMBRES A COUCHER</v>
      </c>
      <c r="C4003" s="4">
        <v>15055</v>
      </c>
      <c r="D4003" s="4">
        <v>4171905</v>
      </c>
    </row>
    <row r="4004" spans="1:4" x14ac:dyDescent="0.25">
      <c r="A4004" t="str">
        <f>T("   940360")</f>
        <v xml:space="preserve">   940360</v>
      </c>
      <c r="B4004" t="str">
        <f>T("   Autres meubles en bois")</f>
        <v xml:space="preserve">   Autres meubles en bois</v>
      </c>
      <c r="C4004" s="4">
        <v>27680</v>
      </c>
      <c r="D4004" s="4">
        <v>50477474</v>
      </c>
    </row>
    <row r="4005" spans="1:4" x14ac:dyDescent="0.25">
      <c r="A4005" t="str">
        <f>T("   940389")</f>
        <v xml:space="preserve">   940389</v>
      </c>
      <c r="B4005" t="str">
        <f>T("   AUTRES")</f>
        <v xml:space="preserve">   AUTRES</v>
      </c>
      <c r="C4005" s="4">
        <v>15206</v>
      </c>
      <c r="D4005" s="4">
        <v>2740509</v>
      </c>
    </row>
    <row r="4006" spans="1:4" x14ac:dyDescent="0.25">
      <c r="A4006" t="str">
        <f>T("   940390")</f>
        <v xml:space="preserve">   940390</v>
      </c>
      <c r="B4006" t="str">
        <f>T("   PARTIES")</f>
        <v xml:space="preserve">   PARTIES</v>
      </c>
      <c r="C4006" s="4">
        <v>70</v>
      </c>
      <c r="D4006" s="4">
        <v>941919</v>
      </c>
    </row>
    <row r="4007" spans="1:4" x14ac:dyDescent="0.25">
      <c r="A4007" t="str">
        <f>T("   940421")</f>
        <v xml:space="preserve">   940421</v>
      </c>
      <c r="B4007" t="str">
        <f>T("   EN CAOUTCHOUC ALVEOLAIRE OU EN MATIERES PLASTIQUES ALVEOLAIRES, RECOUVERTS OU NON")</f>
        <v xml:space="preserve">   EN CAOUTCHOUC ALVEOLAIRE OU EN MATIERES PLASTIQUES ALVEOLAIRES, RECOUVERTS OU NON</v>
      </c>
      <c r="C4007" s="4">
        <v>6000</v>
      </c>
      <c r="D4007" s="4">
        <v>3230603</v>
      </c>
    </row>
    <row r="4008" spans="1:4" x14ac:dyDescent="0.25">
      <c r="A4008" t="str">
        <f>T("   940490")</f>
        <v xml:space="preserve">   940490</v>
      </c>
      <c r="B4008" t="str">
        <f>T("   AUTRES")</f>
        <v xml:space="preserve">   AUTRES</v>
      </c>
      <c r="C4008" s="4">
        <v>4875</v>
      </c>
      <c r="D4008" s="4">
        <v>5636981</v>
      </c>
    </row>
    <row r="4009" spans="1:4" x14ac:dyDescent="0.25">
      <c r="A4009" t="str">
        <f>T("   940510")</f>
        <v xml:space="preserve">   940510</v>
      </c>
      <c r="B4009" t="str">
        <f>T("   LUSTRES ET AUTRES APPAREILS D'ECLAIRAGE ELECTRIQUES A SUSPENDRE OU A FIXER AU PLAFOND")</f>
        <v xml:space="preserve">   LUSTRES ET AUTRES APPAREILS D'ECLAIRAGE ELECTRIQUES A SUSPENDRE OU A FIXER AU PLAFOND</v>
      </c>
      <c r="C4009" s="4">
        <v>245</v>
      </c>
      <c r="D4009" s="4">
        <v>4390327</v>
      </c>
    </row>
    <row r="4010" spans="1:4" x14ac:dyDescent="0.25">
      <c r="A4010" t="str">
        <f>T("   940540")</f>
        <v xml:space="preserve">   940540</v>
      </c>
      <c r="B4010" t="str">
        <f>T("   AUTRES APPAREILS D'ECLAIRAGE ELECTRIQUES")</f>
        <v xml:space="preserve">   AUTRES APPAREILS D'ECLAIRAGE ELECTRIQUES</v>
      </c>
      <c r="C4010" s="4">
        <v>173</v>
      </c>
      <c r="D4010" s="4">
        <v>407351</v>
      </c>
    </row>
    <row r="4011" spans="1:4" x14ac:dyDescent="0.25">
      <c r="A4011" t="str">
        <f>T("   940560")</f>
        <v xml:space="preserve">   940560</v>
      </c>
      <c r="B4011" t="str">
        <f>T("   LAMPESRECLAMES, ENSEIGNES LUMINEUSES, PLAQUES INDICATRICES LUMINEUSES ET ARTICLES SI")</f>
        <v xml:space="preserve">   LAMPESRECLAMES, ENSEIGNES LUMINEUSES, PLAQUES INDICATRICES LUMINEUSES ET ARTICLES SI</v>
      </c>
      <c r="C4011" s="4">
        <v>180</v>
      </c>
      <c r="D4011" s="4">
        <v>10891307</v>
      </c>
    </row>
    <row r="4012" spans="1:4" x14ac:dyDescent="0.25">
      <c r="A4012" t="str">
        <f>T("   950490")</f>
        <v xml:space="preserve">   950490</v>
      </c>
      <c r="B4012" t="str">
        <f>T("   AUTRES")</f>
        <v xml:space="preserve">   AUTRES</v>
      </c>
      <c r="C4012" s="4">
        <v>19533</v>
      </c>
      <c r="D4012" s="4">
        <v>85382744</v>
      </c>
    </row>
    <row r="4013" spans="1:4" x14ac:dyDescent="0.25">
      <c r="A4013" t="str">
        <f>T("   950699")</f>
        <v xml:space="preserve">   950699</v>
      </c>
      <c r="B4013" t="str">
        <f>T("   AUTRES")</f>
        <v xml:space="preserve">   AUTRES</v>
      </c>
      <c r="C4013" s="4">
        <v>1481</v>
      </c>
      <c r="D4013" s="4">
        <v>4475826</v>
      </c>
    </row>
    <row r="4014" spans="1:4" x14ac:dyDescent="0.25">
      <c r="A4014" t="str">
        <f>T("   960310")</f>
        <v xml:space="preserve">   960310</v>
      </c>
      <c r="B4014" t="str">
        <f>T("   BALAIS ET BALAYETTES CONSISTANT EN BRINDILLES OU AUTRES MATIERES VEGETALES EN BOTTES")</f>
        <v xml:space="preserve">   BALAIS ET BALAYETTES CONSISTANT EN BRINDILLES OU AUTRES MATIERES VEGETALES EN BOTTES</v>
      </c>
      <c r="C4014" s="4">
        <v>374</v>
      </c>
      <c r="D4014" s="4">
        <v>356186</v>
      </c>
    </row>
    <row r="4015" spans="1:4" x14ac:dyDescent="0.25">
      <c r="A4015" t="str">
        <f>T("   960899")</f>
        <v xml:space="preserve">   960899</v>
      </c>
      <c r="B4015" t="str">
        <f>T("   AUTRES")</f>
        <v xml:space="preserve">   AUTRES</v>
      </c>
      <c r="C4015" s="4">
        <v>11</v>
      </c>
      <c r="D4015" s="4">
        <v>72221</v>
      </c>
    </row>
    <row r="4016" spans="1:4" s="5" customFormat="1" x14ac:dyDescent="0.25">
      <c r="A4016" s="5" t="str">
        <f>T("   ZZ_Total_Produit_SH6")</f>
        <v xml:space="preserve">   ZZ_Total_Produit_SH6</v>
      </c>
      <c r="B4016" s="5" t="str">
        <f>T("   ZZ_Total_Produit_SH6")</f>
        <v xml:space="preserve">   ZZ_Total_Produit_SH6</v>
      </c>
      <c r="C4016" s="1">
        <v>494116707.54000002</v>
      </c>
      <c r="D4016" s="1">
        <v>37757728386.835999</v>
      </c>
    </row>
    <row r="4017" spans="1:4" s="5" customFormat="1" x14ac:dyDescent="0.25">
      <c r="B4017" s="5" t="str">
        <f>T("Ethiopie")</f>
        <v>Ethiopie</v>
      </c>
      <c r="C4017" s="1"/>
      <c r="D4017" s="1"/>
    </row>
    <row r="4018" spans="1:4" x14ac:dyDescent="0.25">
      <c r="A4018" t="str">
        <f>T("   200899")</f>
        <v xml:space="preserve">   200899</v>
      </c>
      <c r="B4018" t="str">
        <f>T("   AUTRES")</f>
        <v xml:space="preserve">   AUTRES</v>
      </c>
      <c r="C4018" s="4">
        <v>177.5</v>
      </c>
      <c r="D4018" s="4">
        <v>300000</v>
      </c>
    </row>
    <row r="4019" spans="1:4" x14ac:dyDescent="0.25">
      <c r="A4019" t="str">
        <f>T("   300390")</f>
        <v xml:space="preserve">   300390</v>
      </c>
      <c r="B4019" t="str">
        <f>T("   AUTRES")</f>
        <v xml:space="preserve">   AUTRES</v>
      </c>
      <c r="C4019" s="4">
        <v>18</v>
      </c>
      <c r="D4019" s="4">
        <v>366704</v>
      </c>
    </row>
    <row r="4020" spans="1:4" x14ac:dyDescent="0.25">
      <c r="A4020" t="str">
        <f>T("   350790")</f>
        <v xml:space="preserve">   350790</v>
      </c>
      <c r="B4020" t="str">
        <f>T("   AUTRES")</f>
        <v xml:space="preserve">   AUTRES</v>
      </c>
      <c r="C4020" s="4">
        <v>10</v>
      </c>
      <c r="D4020" s="4">
        <v>20000</v>
      </c>
    </row>
    <row r="4021" spans="1:4" x14ac:dyDescent="0.25">
      <c r="A4021" t="str">
        <f>T("   482110")</f>
        <v xml:space="preserve">   482110</v>
      </c>
      <c r="B4021" t="str">
        <f>T("   IMPRIMEES")</f>
        <v xml:space="preserve">   IMPRIMEES</v>
      </c>
      <c r="C4021" s="4">
        <v>210</v>
      </c>
      <c r="D4021" s="4">
        <v>45000</v>
      </c>
    </row>
    <row r="4022" spans="1:4" x14ac:dyDescent="0.25">
      <c r="A4022" t="str">
        <f>T("   491110")</f>
        <v xml:space="preserve">   491110</v>
      </c>
      <c r="B4022" t="str">
        <f>T("   IMPRIMES PUBLICITAIRES, CATALOGUES COMMERCIAUX ET SIMILAIRES")</f>
        <v xml:space="preserve">   IMPRIMES PUBLICITAIRES, CATALOGUES COMMERCIAUX ET SIMILAIRES</v>
      </c>
      <c r="C4022" s="4">
        <v>70</v>
      </c>
      <c r="D4022" s="4">
        <v>100000</v>
      </c>
    </row>
    <row r="4023" spans="1:4" x14ac:dyDescent="0.25">
      <c r="A4023" t="str">
        <f>T("   551219")</f>
        <v xml:space="preserve">   551219</v>
      </c>
      <c r="B4023" t="str">
        <f>T("   AUTRES")</f>
        <v xml:space="preserve">   AUTRES</v>
      </c>
      <c r="C4023" s="4">
        <v>680</v>
      </c>
      <c r="D4023" s="4">
        <v>420000</v>
      </c>
    </row>
    <row r="4024" spans="1:4" x14ac:dyDescent="0.25">
      <c r="A4024" t="str">
        <f>T("   620349")</f>
        <v xml:space="preserve">   620349</v>
      </c>
      <c r="B4024" t="str">
        <f>T("   D'AUTRES MATIERES TEXTILES")</f>
        <v xml:space="preserve">   D'AUTRES MATIERES TEXTILES</v>
      </c>
      <c r="C4024" s="4">
        <v>459</v>
      </c>
      <c r="D4024" s="4">
        <v>97000</v>
      </c>
    </row>
    <row r="4025" spans="1:4" x14ac:dyDescent="0.25">
      <c r="A4025" t="str">
        <f>T("   620590")</f>
        <v xml:space="preserve">   620590</v>
      </c>
      <c r="B4025" t="str">
        <f>T("   D'AUTRES MATIERES TEXTILES")</f>
        <v xml:space="preserve">   D'AUTRES MATIERES TEXTILES</v>
      </c>
      <c r="C4025" s="4">
        <v>3040</v>
      </c>
      <c r="D4025" s="4">
        <v>2300000</v>
      </c>
    </row>
    <row r="4026" spans="1:4" x14ac:dyDescent="0.25">
      <c r="A4026" t="str">
        <f>T("   621020")</f>
        <v xml:space="preserve">   621020</v>
      </c>
      <c r="B4026" t="str">
        <f>T("   AUTRES VETEMENTS, DES TYPES VISES DANS LES N°S 6201.11 A 6201.19")</f>
        <v xml:space="preserve">   AUTRES VETEMENTS, DES TYPES VISES DANS LES N°S 6201.11 A 6201.19</v>
      </c>
      <c r="C4026" s="4">
        <v>71</v>
      </c>
      <c r="D4026" s="4">
        <v>110000</v>
      </c>
    </row>
    <row r="4027" spans="1:4" x14ac:dyDescent="0.25">
      <c r="A4027" t="str">
        <f>T("   711790")</f>
        <v xml:space="preserve">   711790</v>
      </c>
      <c r="B4027" t="str">
        <f>T("   AUTRES")</f>
        <v xml:space="preserve">   AUTRES</v>
      </c>
      <c r="C4027" s="4">
        <v>1218</v>
      </c>
      <c r="D4027" s="4">
        <v>1425100</v>
      </c>
    </row>
    <row r="4028" spans="1:4" x14ac:dyDescent="0.25">
      <c r="A4028" t="str">
        <f>T("   732394")</f>
        <v xml:space="preserve">   732394</v>
      </c>
      <c r="B4028" t="str">
        <f>T("   EN FER OU EN ACIER, EMAILLES")</f>
        <v xml:space="preserve">   EN FER OU EN ACIER, EMAILLES</v>
      </c>
      <c r="C4028" s="4">
        <v>1240</v>
      </c>
      <c r="D4028" s="4">
        <v>900000</v>
      </c>
    </row>
    <row r="4029" spans="1:4" x14ac:dyDescent="0.25">
      <c r="A4029" t="str">
        <f>T("   732399")</f>
        <v xml:space="preserve">   732399</v>
      </c>
      <c r="B4029" t="str">
        <f>T("   AUTRES")</f>
        <v xml:space="preserve">   AUTRES</v>
      </c>
      <c r="C4029" s="4">
        <v>1000</v>
      </c>
      <c r="D4029" s="4">
        <v>1000000</v>
      </c>
    </row>
    <row r="4030" spans="1:4" x14ac:dyDescent="0.25">
      <c r="A4030" t="str">
        <f>T("   847180")</f>
        <v xml:space="preserve">   847180</v>
      </c>
      <c r="B4030" t="str">
        <f>T("   AUTRES UNITES DE MACHINES AUTOMATIQUES DE TRAITEMENT DE L'INFORMATION")</f>
        <v xml:space="preserve">   AUTRES UNITES DE MACHINES AUTOMATIQUES DE TRAITEMENT DE L'INFORMATION</v>
      </c>
      <c r="C4030" s="4">
        <v>50</v>
      </c>
      <c r="D4030" s="4">
        <v>500000</v>
      </c>
    </row>
    <row r="4031" spans="1:4" x14ac:dyDescent="0.25">
      <c r="A4031" t="str">
        <f>T("   847190")</f>
        <v xml:space="preserve">   847190</v>
      </c>
      <c r="B4031" t="str">
        <f>T("   AUTRES")</f>
        <v xml:space="preserve">   AUTRES</v>
      </c>
      <c r="C4031" s="4">
        <v>54</v>
      </c>
      <c r="D4031" s="4">
        <v>550000</v>
      </c>
    </row>
    <row r="4032" spans="1:4" x14ac:dyDescent="0.25">
      <c r="A4032" t="str">
        <f>T("   851770")</f>
        <v xml:space="preserve">   851770</v>
      </c>
      <c r="B4032" t="str">
        <f>T("   PARTIES")</f>
        <v xml:space="preserve">   PARTIES</v>
      </c>
      <c r="C4032" s="4">
        <v>334</v>
      </c>
      <c r="D4032" s="4">
        <v>1490022</v>
      </c>
    </row>
    <row r="4033" spans="1:4" x14ac:dyDescent="0.25">
      <c r="A4033" t="str">
        <f>T("   851989")</f>
        <v xml:space="preserve">   851989</v>
      </c>
      <c r="B4033" t="str">
        <f>T("   AUTRES")</f>
        <v xml:space="preserve">   AUTRES</v>
      </c>
      <c r="C4033" s="4">
        <v>300</v>
      </c>
      <c r="D4033" s="4">
        <v>499500</v>
      </c>
    </row>
    <row r="4034" spans="1:4" x14ac:dyDescent="0.25">
      <c r="A4034" t="str">
        <f>T("   870324")</f>
        <v xml:space="preserve">   870324</v>
      </c>
      <c r="B4034" t="str">
        <f>T("   D’UNE CYLINDREE EXCEDANT 3.000 CM³")</f>
        <v xml:space="preserve">   D’UNE CYLINDREE EXCEDANT 3.000 CM³</v>
      </c>
      <c r="C4034" s="4">
        <v>1600</v>
      </c>
      <c r="D4034" s="4">
        <v>3117918</v>
      </c>
    </row>
    <row r="4035" spans="1:4" x14ac:dyDescent="0.25">
      <c r="A4035" t="str">
        <f>T("   901090")</f>
        <v xml:space="preserve">   901090</v>
      </c>
      <c r="B4035" t="str">
        <f>T("   PARTIES ET ACCESSOIRES")</f>
        <v xml:space="preserve">   PARTIES ET ACCESSOIRES</v>
      </c>
      <c r="C4035" s="4">
        <v>31.7</v>
      </c>
      <c r="D4035" s="4">
        <v>150000</v>
      </c>
    </row>
    <row r="4036" spans="1:4" x14ac:dyDescent="0.25">
      <c r="A4036" t="str">
        <f>T("   940350")</f>
        <v xml:space="preserve">   940350</v>
      </c>
      <c r="B4036" t="str">
        <f>T("   MEUBLES EN BOIS DES TYPES UTILISES DANS LES CHAMBRES A COUCHER")</f>
        <v xml:space="preserve">   MEUBLES EN BOIS DES TYPES UTILISES DANS LES CHAMBRES A COUCHER</v>
      </c>
      <c r="C4036" s="4">
        <v>4900</v>
      </c>
      <c r="D4036" s="4">
        <v>3800000</v>
      </c>
    </row>
    <row r="4037" spans="1:4" x14ac:dyDescent="0.25">
      <c r="A4037" t="str">
        <f>T("   940360")</f>
        <v xml:space="preserve">   940360</v>
      </c>
      <c r="B4037" t="str">
        <f>T("   Autres meubles en bois")</f>
        <v xml:space="preserve">   Autres meubles en bois</v>
      </c>
      <c r="C4037" s="4">
        <v>2500</v>
      </c>
      <c r="D4037" s="4">
        <v>3000000</v>
      </c>
    </row>
    <row r="4038" spans="1:4" s="5" customFormat="1" x14ac:dyDescent="0.25">
      <c r="A4038" s="5" t="str">
        <f>T("   ZZ_Total_Produit_SH6")</f>
        <v xml:space="preserve">   ZZ_Total_Produit_SH6</v>
      </c>
      <c r="B4038" s="5" t="str">
        <f>T("   ZZ_Total_Produit_SH6")</f>
        <v xml:space="preserve">   ZZ_Total_Produit_SH6</v>
      </c>
      <c r="C4038" s="1">
        <v>17963.2</v>
      </c>
      <c r="D4038" s="1">
        <v>20191244</v>
      </c>
    </row>
    <row r="4039" spans="1:4" s="5" customFormat="1" x14ac:dyDescent="0.25">
      <c r="B4039" s="5" t="str">
        <f>T("Finlande")</f>
        <v>Finlande</v>
      </c>
      <c r="C4039" s="1"/>
      <c r="D4039" s="1"/>
    </row>
    <row r="4040" spans="1:4" x14ac:dyDescent="0.25">
      <c r="A4040" t="str">
        <f>T("   271011")</f>
        <v xml:space="preserve">   271011</v>
      </c>
      <c r="B4040" t="str">
        <f>T("   HUILLES DE PETROLE OU D'ESSENCE")</f>
        <v xml:space="preserve">   HUILLES DE PETROLE OU D'ESSENCE</v>
      </c>
      <c r="C4040" s="4">
        <v>100000</v>
      </c>
      <c r="D4040" s="4">
        <v>50898258</v>
      </c>
    </row>
    <row r="4041" spans="1:4" x14ac:dyDescent="0.25">
      <c r="A4041" t="str">
        <f>T("   310210")</f>
        <v xml:space="preserve">   310210</v>
      </c>
      <c r="B4041" t="str">
        <f>T("   UREE, MEME EN SOLUTION AQUEUSE")</f>
        <v xml:space="preserve">   UREE, MEME EN SOLUTION AQUEUSE</v>
      </c>
      <c r="C4041" s="4">
        <v>8250000</v>
      </c>
      <c r="D4041" s="4">
        <v>1634841516</v>
      </c>
    </row>
    <row r="4042" spans="1:4" x14ac:dyDescent="0.25">
      <c r="A4042" t="str">
        <f>T("   321410")</f>
        <v xml:space="preserve">   321410</v>
      </c>
      <c r="B4042" t="str">
        <f>T("   MASTIC DE VITRIER, CIMENTS DE RESINE ET AUTRES MASTICS; ENDUITS UTILISES EN PEINTURE")</f>
        <v xml:space="preserve">   MASTIC DE VITRIER, CIMENTS DE RESINE ET AUTRES MASTICS; ENDUITS UTILISES EN PEINTURE</v>
      </c>
      <c r="C4042" s="4">
        <v>1</v>
      </c>
      <c r="D4042" s="4">
        <v>7327</v>
      </c>
    </row>
    <row r="4043" spans="1:4" x14ac:dyDescent="0.25">
      <c r="A4043" t="str">
        <f>T("   401031")</f>
        <v xml:space="preserve">   401031</v>
      </c>
      <c r="B4043" t="str">
        <f>T("   COURROIES DE TRANSMISSION SANS FIN, DE SECTION TRAPEZOIDALE, STRIEES, D'UNE CIRCONFE")</f>
        <v xml:space="preserve">   COURROIES DE TRANSMISSION SANS FIN, DE SECTION TRAPEZOIDALE, STRIEES, D'UNE CIRCONFE</v>
      </c>
      <c r="C4043" s="4">
        <v>2</v>
      </c>
      <c r="D4043" s="4">
        <v>28397</v>
      </c>
    </row>
    <row r="4044" spans="1:4" x14ac:dyDescent="0.25">
      <c r="A4044" t="str">
        <f>T("   480100")</f>
        <v xml:space="preserve">   480100</v>
      </c>
      <c r="B4044" t="str">
        <f>T("   PAPIER JOURNAL, EN ROULEAUX OU EN FEUILLES.")</f>
        <v xml:space="preserve">   PAPIER JOURNAL, EN ROULEAUX OU EN FEUILLES.</v>
      </c>
      <c r="C4044" s="4">
        <v>49856</v>
      </c>
      <c r="D4044" s="4">
        <v>16967085</v>
      </c>
    </row>
    <row r="4045" spans="1:4" x14ac:dyDescent="0.25">
      <c r="A4045" t="str">
        <f>T("   480257")</f>
        <v xml:space="preserve">   480257</v>
      </c>
      <c r="B4045" t="str">
        <f>T("   AUTRES, D'UN POIDS AU M² DE 40 G OU PLUS MAIS N'EXCEDANT PAS 150 G")</f>
        <v xml:space="preserve">   AUTRES, D'UN POIDS AU M² DE 40 G OU PLUS MAIS N'EXCEDANT PAS 150 G</v>
      </c>
      <c r="C4045" s="4">
        <v>252413</v>
      </c>
      <c r="D4045" s="4">
        <v>95084666</v>
      </c>
    </row>
    <row r="4046" spans="1:4" x14ac:dyDescent="0.25">
      <c r="A4046" t="str">
        <f>T("   480258")</f>
        <v xml:space="preserve">   480258</v>
      </c>
      <c r="B4046" t="str">
        <f>T("   D'UN POIDS AU M² EXCEDANT 150 G")</f>
        <v xml:space="preserve">   D'UN POIDS AU M² EXCEDANT 150 G</v>
      </c>
      <c r="C4046" s="4">
        <v>60588</v>
      </c>
      <c r="D4046" s="4">
        <v>19532460</v>
      </c>
    </row>
    <row r="4047" spans="1:4" x14ac:dyDescent="0.25">
      <c r="A4047" t="str">
        <f>T("   480990")</f>
        <v xml:space="preserve">   480990</v>
      </c>
      <c r="B4047" t="str">
        <f>T("    AUTRES")</f>
        <v xml:space="preserve">    AUTRES</v>
      </c>
      <c r="C4047" s="4">
        <v>415119</v>
      </c>
      <c r="D4047" s="4">
        <v>181523156</v>
      </c>
    </row>
    <row r="4048" spans="1:4" x14ac:dyDescent="0.25">
      <c r="A4048" t="str">
        <f>T("   481019")</f>
        <v xml:space="preserve">   481019</v>
      </c>
      <c r="B4048" t="str">
        <f>T("   AUTRES")</f>
        <v xml:space="preserve">   AUTRES</v>
      </c>
      <c r="C4048" s="4">
        <v>45377</v>
      </c>
      <c r="D4048" s="4">
        <v>11322414</v>
      </c>
    </row>
    <row r="4049" spans="1:4" x14ac:dyDescent="0.25">
      <c r="A4049" t="str">
        <f>T("   731815")</f>
        <v xml:space="preserve">   731815</v>
      </c>
      <c r="B4049" t="str">
        <f>T("   AUTRES VIS ET BOULONS, MEME AVEC LEURS ECROUS OU RONDELLES")</f>
        <v xml:space="preserve">   AUTRES VIS ET BOULONS, MEME AVEC LEURS ECROUS OU RONDELLES</v>
      </c>
      <c r="C4049" s="4">
        <v>6</v>
      </c>
      <c r="D4049" s="4">
        <v>116066</v>
      </c>
    </row>
    <row r="4050" spans="1:4" x14ac:dyDescent="0.25">
      <c r="A4050" t="str">
        <f>T("   731816")</f>
        <v xml:space="preserve">   731816</v>
      </c>
      <c r="B4050" t="str">
        <f>T("   ECROUS")</f>
        <v xml:space="preserve">   ECROUS</v>
      </c>
      <c r="C4050" s="4">
        <v>4</v>
      </c>
      <c r="D4050" s="4">
        <v>63555</v>
      </c>
    </row>
    <row r="4051" spans="1:4" x14ac:dyDescent="0.25">
      <c r="A4051" t="str">
        <f>T("   731822")</f>
        <v xml:space="preserve">   731822</v>
      </c>
      <c r="B4051" t="str">
        <f>T("   AUTRES RONDELLES")</f>
        <v xml:space="preserve">   AUTRES RONDELLES</v>
      </c>
      <c r="C4051" s="4">
        <v>2</v>
      </c>
      <c r="D4051" s="4">
        <v>40086</v>
      </c>
    </row>
    <row r="4052" spans="1:4" x14ac:dyDescent="0.25">
      <c r="A4052" t="str">
        <f>T("   830210")</f>
        <v xml:space="preserve">   830210</v>
      </c>
      <c r="B4052" t="str">
        <f>T("   CHARNIERES DE TOUS GENRES (Y COMPRIS LES PAUMELLES ET PENTURES)")</f>
        <v xml:space="preserve">   CHARNIERES DE TOUS GENRES (Y COMPRIS LES PAUMELLES ET PENTURES)</v>
      </c>
      <c r="C4052" s="4">
        <v>25</v>
      </c>
      <c r="D4052" s="4">
        <v>842653</v>
      </c>
    </row>
    <row r="4053" spans="1:4" x14ac:dyDescent="0.25">
      <c r="A4053" t="str">
        <f>T("   840410")</f>
        <v xml:space="preserve">   840410</v>
      </c>
      <c r="B4053" t="str">
        <f>T("   APPAREILS AUXILIAIRES POUR CHAUDIERES DES N°S 84.02 OU 84.03")</f>
        <v xml:space="preserve">   APPAREILS AUXILIAIRES POUR CHAUDIERES DES N°S 84.02 OU 84.03</v>
      </c>
      <c r="C4053" s="4">
        <v>61710</v>
      </c>
      <c r="D4053" s="4">
        <v>437027218</v>
      </c>
    </row>
    <row r="4054" spans="1:4" x14ac:dyDescent="0.25">
      <c r="A4054" t="str">
        <f>T("   840999")</f>
        <v xml:space="preserve">   840999</v>
      </c>
      <c r="B4054" t="str">
        <f>T("   AUTRES")</f>
        <v xml:space="preserve">   AUTRES</v>
      </c>
      <c r="C4054" s="4">
        <v>26</v>
      </c>
      <c r="D4054" s="4">
        <v>1022439</v>
      </c>
    </row>
    <row r="4055" spans="1:4" x14ac:dyDescent="0.25">
      <c r="A4055" t="str">
        <f>T("   841459")</f>
        <v xml:space="preserve">   841459</v>
      </c>
      <c r="B4055" t="str">
        <f>T("   AUTRES")</f>
        <v xml:space="preserve">   AUTRES</v>
      </c>
      <c r="C4055" s="4">
        <v>11</v>
      </c>
      <c r="D4055" s="4">
        <v>171993</v>
      </c>
    </row>
    <row r="4056" spans="1:4" x14ac:dyDescent="0.25">
      <c r="A4056" t="str">
        <f>T("   843120")</f>
        <v xml:space="preserve">   843120</v>
      </c>
      <c r="B4056" t="str">
        <f>T("   DE MACHINES OU APPAREILS DU N° 84.27")</f>
        <v xml:space="preserve">   DE MACHINES OU APPAREILS DU N° 84.27</v>
      </c>
      <c r="C4056" s="4">
        <v>10194.790000000001</v>
      </c>
      <c r="D4056" s="4">
        <v>241563927</v>
      </c>
    </row>
    <row r="4057" spans="1:4" x14ac:dyDescent="0.25">
      <c r="A4057" t="str">
        <f>T("   843139")</f>
        <v xml:space="preserve">   843139</v>
      </c>
      <c r="B4057" t="str">
        <f>T("   AUTRES")</f>
        <v xml:space="preserve">   AUTRES</v>
      </c>
      <c r="C4057" s="4">
        <v>1306.2</v>
      </c>
      <c r="D4057" s="4">
        <v>38332681</v>
      </c>
    </row>
    <row r="4058" spans="1:4" x14ac:dyDescent="0.25">
      <c r="A4058" t="str">
        <f>T("   843149")</f>
        <v xml:space="preserve">   843149</v>
      </c>
      <c r="B4058" t="str">
        <f>T("   AUTRES")</f>
        <v xml:space="preserve">   AUTRES</v>
      </c>
      <c r="C4058" s="4">
        <v>36</v>
      </c>
      <c r="D4058" s="4">
        <v>1290477</v>
      </c>
    </row>
    <row r="4059" spans="1:4" x14ac:dyDescent="0.25">
      <c r="A4059" t="str">
        <f>T("   848280")</f>
        <v xml:space="preserve">   848280</v>
      </c>
      <c r="B4059" t="str">
        <f>T("   AUTRES, Y COMPRIS LES ROULEMENTS COMBINES")</f>
        <v xml:space="preserve">   AUTRES, Y COMPRIS LES ROULEMENTS COMBINES</v>
      </c>
      <c r="C4059" s="4">
        <v>4</v>
      </c>
      <c r="D4059" s="4">
        <v>129585</v>
      </c>
    </row>
    <row r="4060" spans="1:4" x14ac:dyDescent="0.25">
      <c r="A4060" t="str">
        <f>T("   848350")</f>
        <v xml:space="preserve">   848350</v>
      </c>
      <c r="B4060" t="str">
        <f>T("   VOLANTS ET POULIES, Y COMPRIS LES POULIES A MOUFLES")</f>
        <v xml:space="preserve">   VOLANTS ET POULIES, Y COMPRIS LES POULIES A MOUFLES</v>
      </c>
      <c r="C4060" s="4">
        <v>22</v>
      </c>
      <c r="D4060" s="4">
        <v>357826</v>
      </c>
    </row>
    <row r="4061" spans="1:4" x14ac:dyDescent="0.25">
      <c r="A4061" t="str">
        <f>T("   848390")</f>
        <v xml:space="preserve">   848390</v>
      </c>
      <c r="B4061" t="str">
        <f>T("   ROUES DENTEES ET AUTRES ORGANES ELEMENTAIRES DE TRANSMISSION PRESENTES SEPAREMENT; PA")</f>
        <v xml:space="preserve">   ROUES DENTEES ET AUTRES ORGANES ELEMENTAIRES DE TRANSMISSION PRESENTES SEPAREMENT; PA</v>
      </c>
      <c r="C4061" s="4">
        <v>10</v>
      </c>
      <c r="D4061" s="4">
        <v>807487</v>
      </c>
    </row>
    <row r="4062" spans="1:4" x14ac:dyDescent="0.25">
      <c r="A4062" t="str">
        <f>T("   848490")</f>
        <v xml:space="preserve">   848490</v>
      </c>
      <c r="B4062" t="str">
        <f>T("   AUTRES")</f>
        <v xml:space="preserve">   AUTRES</v>
      </c>
      <c r="C4062" s="4">
        <v>373</v>
      </c>
      <c r="D4062" s="4">
        <v>10481480</v>
      </c>
    </row>
    <row r="4063" spans="1:4" x14ac:dyDescent="0.25">
      <c r="A4063" t="str">
        <f>T("   850490")</f>
        <v xml:space="preserve">   850490</v>
      </c>
      <c r="B4063" t="str">
        <f>T("   PARTIES")</f>
        <v xml:space="preserve">   PARTIES</v>
      </c>
      <c r="C4063" s="4">
        <v>2</v>
      </c>
      <c r="D4063" s="4">
        <v>801754</v>
      </c>
    </row>
    <row r="4064" spans="1:4" x14ac:dyDescent="0.25">
      <c r="A4064" t="str">
        <f>T("   851712")</f>
        <v xml:space="preserve">   851712</v>
      </c>
      <c r="B4064" t="str">
        <f>T("   TELEPHONES POUR RESEAUX CELLULAIRES ET POUR AUTRES RESEAUX SANS FIL")</f>
        <v xml:space="preserve">   TELEPHONES POUR RESEAUX CELLULAIRES ET POUR AUTRES RESEAUX SANS FIL</v>
      </c>
      <c r="C4064" s="4">
        <v>464</v>
      </c>
      <c r="D4064" s="4">
        <v>1493417</v>
      </c>
    </row>
    <row r="4065" spans="1:4" x14ac:dyDescent="0.25">
      <c r="A4065" t="str">
        <f>T("   851769")</f>
        <v xml:space="preserve">   851769</v>
      </c>
      <c r="B4065" t="str">
        <f>T("   AUTRES")</f>
        <v xml:space="preserve">   AUTRES</v>
      </c>
      <c r="C4065" s="4">
        <v>3</v>
      </c>
      <c r="D4065" s="4">
        <v>488010</v>
      </c>
    </row>
    <row r="4066" spans="1:4" x14ac:dyDescent="0.25">
      <c r="A4066" t="str">
        <f>T("   854430")</f>
        <v xml:space="preserve">   854430</v>
      </c>
      <c r="B4066" t="str">
        <f>T("   JEUX DE FILS POUR BOUGIES D'ALLUMAGE ET AUTRES JEUX DE FILS DES TYPES UTILISES DANS L")</f>
        <v xml:space="preserve">   JEUX DE FILS POUR BOUGIES D'ALLUMAGE ET AUTRES JEUX DE FILS DES TYPES UTILISES DANS L</v>
      </c>
      <c r="C4066" s="4">
        <v>73</v>
      </c>
      <c r="D4066" s="4">
        <v>1808298</v>
      </c>
    </row>
    <row r="4067" spans="1:4" x14ac:dyDescent="0.25">
      <c r="A4067" t="str">
        <f>T("   901890")</f>
        <v xml:space="preserve">   901890</v>
      </c>
      <c r="B4067" t="str">
        <f>T("   AUTRES INSTRUMENTS ET APPAREILS")</f>
        <v xml:space="preserve">   AUTRES INSTRUMENTS ET APPAREILS</v>
      </c>
      <c r="C4067" s="4">
        <v>285</v>
      </c>
      <c r="D4067" s="4">
        <v>12367142</v>
      </c>
    </row>
    <row r="4068" spans="1:4" s="5" customFormat="1" x14ac:dyDescent="0.25">
      <c r="A4068" s="5" t="str">
        <f>T("   ZZ_Total_Produit_SH6")</f>
        <v xml:space="preserve">   ZZ_Total_Produit_SH6</v>
      </c>
      <c r="B4068" s="5" t="str">
        <f>T("   ZZ_Total_Produit_SH6")</f>
        <v xml:space="preserve">   ZZ_Total_Produit_SH6</v>
      </c>
      <c r="C4068" s="1">
        <v>9247912.9900000002</v>
      </c>
      <c r="D4068" s="1">
        <v>2759411373</v>
      </c>
    </row>
    <row r="4069" spans="1:4" s="5" customFormat="1" x14ac:dyDescent="0.25">
      <c r="B4069" s="5" t="str">
        <f>T("Micronésie, Etats Fédérés de")</f>
        <v>Micronésie, Etats Fédérés de</v>
      </c>
      <c r="C4069" s="1"/>
      <c r="D4069" s="1"/>
    </row>
    <row r="4070" spans="1:4" x14ac:dyDescent="0.25">
      <c r="A4070" t="str">
        <f>T("   850490")</f>
        <v xml:space="preserve">   850490</v>
      </c>
      <c r="B4070" t="str">
        <f>T("   PARTIES")</f>
        <v xml:space="preserve">   PARTIES</v>
      </c>
      <c r="C4070" s="4">
        <v>69</v>
      </c>
      <c r="D4070" s="4">
        <v>3533573</v>
      </c>
    </row>
    <row r="4071" spans="1:4" s="5" customFormat="1" x14ac:dyDescent="0.25">
      <c r="A4071" s="5" t="str">
        <f>T("   ZZ_Total_Produit_SH6")</f>
        <v xml:space="preserve">   ZZ_Total_Produit_SH6</v>
      </c>
      <c r="B4071" s="5" t="str">
        <f>T("   ZZ_Total_Produit_SH6")</f>
        <v xml:space="preserve">   ZZ_Total_Produit_SH6</v>
      </c>
      <c r="C4071" s="1">
        <v>69</v>
      </c>
      <c r="D4071" s="1">
        <v>3533573</v>
      </c>
    </row>
    <row r="4072" spans="1:4" s="5" customFormat="1" x14ac:dyDescent="0.25">
      <c r="B4072" s="5" t="str">
        <f>T("France")</f>
        <v>France</v>
      </c>
      <c r="C4072" s="1"/>
      <c r="D4072" s="1"/>
    </row>
    <row r="4073" spans="1:4" x14ac:dyDescent="0.25">
      <c r="A4073" t="str">
        <f>T("   010511")</f>
        <v xml:space="preserve">   010511</v>
      </c>
      <c r="B4073" t="str">
        <f>T("   COQS ET POULES")</f>
        <v xml:space="preserve">   COQS ET POULES</v>
      </c>
      <c r="C4073" s="4">
        <v>13045</v>
      </c>
      <c r="D4073" s="4">
        <v>32154628</v>
      </c>
    </row>
    <row r="4074" spans="1:4" x14ac:dyDescent="0.25">
      <c r="A4074" t="str">
        <f>T("   020110")</f>
        <v xml:space="preserve">   020110</v>
      </c>
      <c r="B4074" t="str">
        <f>T("   EN CARCASSES OU DEMICARCASSES")</f>
        <v xml:space="preserve">   EN CARCASSES OU DEMICARCASSES</v>
      </c>
      <c r="C4074" s="4">
        <v>898</v>
      </c>
      <c r="D4074" s="4">
        <v>2071522</v>
      </c>
    </row>
    <row r="4075" spans="1:4" x14ac:dyDescent="0.25">
      <c r="A4075" t="str">
        <f>T("   020220")</f>
        <v xml:space="preserve">   020220</v>
      </c>
      <c r="B4075" t="str">
        <f>T("   AUTRES MORCEAUX NON DESOSSES")</f>
        <v xml:space="preserve">   AUTRES MORCEAUX NON DESOSSES</v>
      </c>
      <c r="C4075" s="4">
        <v>26387</v>
      </c>
      <c r="D4075" s="4">
        <v>18306083</v>
      </c>
    </row>
    <row r="4076" spans="1:4" x14ac:dyDescent="0.25">
      <c r="A4076" t="str">
        <f>T("   020230")</f>
        <v xml:space="preserve">   020230</v>
      </c>
      <c r="B4076" t="str">
        <f>T("   DESOSSEES")</f>
        <v xml:space="preserve">   DESOSSEES</v>
      </c>
      <c r="C4076" s="4">
        <v>3704</v>
      </c>
      <c r="D4076" s="4">
        <v>6314926</v>
      </c>
    </row>
    <row r="4077" spans="1:4" x14ac:dyDescent="0.25">
      <c r="A4077" t="str">
        <f>T("   020312")</f>
        <v xml:space="preserve">   020312</v>
      </c>
      <c r="B4077" t="str">
        <f>T("   JAMBONS, EPAULES ET LEURS MORCEAUX, NON DESOSSES")</f>
        <v xml:space="preserve">   JAMBONS, EPAULES ET LEURS MORCEAUX, NON DESOSSES</v>
      </c>
      <c r="C4077" s="4">
        <v>122</v>
      </c>
      <c r="D4077" s="4">
        <v>276160</v>
      </c>
    </row>
    <row r="4078" spans="1:4" x14ac:dyDescent="0.25">
      <c r="A4078" t="str">
        <f>T("   020430")</f>
        <v xml:space="preserve">   020430</v>
      </c>
      <c r="B4078" t="str">
        <f>T("   CARCASSES ET DEMICARCASSES D’AGNEAU, CONGELEES")</f>
        <v xml:space="preserve">   CARCASSES ET DEMICARCASSES D’AGNEAU, CONGELEES</v>
      </c>
      <c r="C4078" s="4">
        <v>16589</v>
      </c>
      <c r="D4078" s="4">
        <v>15914247</v>
      </c>
    </row>
    <row r="4079" spans="1:4" x14ac:dyDescent="0.25">
      <c r="A4079" t="str">
        <f>T("   020629")</f>
        <v xml:space="preserve">   020629</v>
      </c>
      <c r="B4079" t="str">
        <f>T("   AUTRES")</f>
        <v xml:space="preserve">   AUTRES</v>
      </c>
      <c r="C4079" s="4">
        <v>45007</v>
      </c>
      <c r="D4079" s="4">
        <v>34310456</v>
      </c>
    </row>
    <row r="4080" spans="1:4" x14ac:dyDescent="0.25">
      <c r="A4080" t="str">
        <f>T("   020649")</f>
        <v xml:space="preserve">   020649</v>
      </c>
      <c r="B4080" t="str">
        <f>T("   AUTRES")</f>
        <v xml:space="preserve">   AUTRES</v>
      </c>
      <c r="C4080" s="4">
        <v>340</v>
      </c>
      <c r="D4080" s="4">
        <v>408000</v>
      </c>
    </row>
    <row r="4081" spans="1:4" x14ac:dyDescent="0.25">
      <c r="A4081" t="str">
        <f>T("   020711")</f>
        <v xml:space="preserve">   020711</v>
      </c>
      <c r="B4081" t="str">
        <f>T("   NON DECOUPES EN MORCEAUX, FRAIS OU REFRIGERES")</f>
        <v xml:space="preserve">   NON DECOUPES EN MORCEAUX, FRAIS OU REFRIGERES</v>
      </c>
      <c r="C4081" s="4">
        <v>26750</v>
      </c>
      <c r="D4081" s="4">
        <v>15550188</v>
      </c>
    </row>
    <row r="4082" spans="1:4" x14ac:dyDescent="0.25">
      <c r="A4082" t="str">
        <f>T("   020712")</f>
        <v xml:space="preserve">   020712</v>
      </c>
      <c r="B4082" t="str">
        <f>T("   NON DECOUPES EN MORCEAUX, CONGELES")</f>
        <v xml:space="preserve">   NON DECOUPES EN MORCEAUX, CONGELES</v>
      </c>
      <c r="C4082" s="4">
        <v>4953630</v>
      </c>
      <c r="D4082" s="4">
        <v>3079331061</v>
      </c>
    </row>
    <row r="4083" spans="1:4" x14ac:dyDescent="0.25">
      <c r="A4083" t="str">
        <f>T("   020713")</f>
        <v xml:space="preserve">   020713</v>
      </c>
      <c r="B4083" t="str">
        <f>T("   MORCEAUX ET ABATS, FRAIS OU REFRIGERES")</f>
        <v xml:space="preserve">   MORCEAUX ET ABATS, FRAIS OU REFRIGERES</v>
      </c>
      <c r="C4083" s="4">
        <v>150000</v>
      </c>
      <c r="D4083" s="4">
        <v>93300561</v>
      </c>
    </row>
    <row r="4084" spans="1:4" x14ac:dyDescent="0.25">
      <c r="A4084" t="str">
        <f>T("   020714")</f>
        <v xml:space="preserve">   020714</v>
      </c>
      <c r="B4084" t="str">
        <f>T("   MORCEAUX ET ABATS, CONGELES")</f>
        <v xml:space="preserve">   MORCEAUX ET ABATS, CONGELES</v>
      </c>
      <c r="C4084" s="4">
        <v>12189683.619999999</v>
      </c>
      <c r="D4084" s="4">
        <v>7559111653</v>
      </c>
    </row>
    <row r="4085" spans="1:4" x14ac:dyDescent="0.25">
      <c r="A4085" t="str">
        <f>T("   020725")</f>
        <v xml:space="preserve">   020725</v>
      </c>
      <c r="B4085" t="str">
        <f>T("   NON DECOUPES EN MORCEAUX, CONGELES")</f>
        <v xml:space="preserve">   NON DECOUPES EN MORCEAUX, CONGELES</v>
      </c>
      <c r="C4085" s="4">
        <v>27045</v>
      </c>
      <c r="D4085" s="4">
        <v>16823874</v>
      </c>
    </row>
    <row r="4086" spans="1:4" x14ac:dyDescent="0.25">
      <c r="A4086" t="str">
        <f>T("   020726")</f>
        <v xml:space="preserve">   020726</v>
      </c>
      <c r="B4086" t="str">
        <f>T("   MORCEAUX ET ABATS, FRAIS OU REFRIGERES")</f>
        <v xml:space="preserve">   MORCEAUX ET ABATS, FRAIS OU REFRIGERES</v>
      </c>
      <c r="C4086" s="4">
        <v>50730</v>
      </c>
      <c r="D4086" s="4">
        <v>31100000</v>
      </c>
    </row>
    <row r="4087" spans="1:4" x14ac:dyDescent="0.25">
      <c r="A4087" t="str">
        <f>T("   020727")</f>
        <v xml:space="preserve">   020727</v>
      </c>
      <c r="B4087" t="str">
        <f>T("   MORCEAUX ET ABATS, CONGELES")</f>
        <v xml:space="preserve">   MORCEAUX ET ABATS, CONGELES</v>
      </c>
      <c r="C4087" s="4">
        <v>14597566.18</v>
      </c>
      <c r="D4087" s="4">
        <v>9000571939</v>
      </c>
    </row>
    <row r="4088" spans="1:4" x14ac:dyDescent="0.25">
      <c r="A4088" t="str">
        <f>T("   020734")</f>
        <v xml:space="preserve">   020734</v>
      </c>
      <c r="B4088" t="str">
        <f>T("   FOIES GRAS, FRAIS OU REFRIGERES")</f>
        <v xml:space="preserve">   FOIES GRAS, FRAIS OU REFRIGERES</v>
      </c>
      <c r="C4088" s="4">
        <v>804.61</v>
      </c>
      <c r="D4088" s="4">
        <v>5541173</v>
      </c>
    </row>
    <row r="4089" spans="1:4" x14ac:dyDescent="0.25">
      <c r="A4089" t="str">
        <f>T("   020735")</f>
        <v xml:space="preserve">   020735</v>
      </c>
      <c r="B4089" t="str">
        <f>T("   AUTRES VIANDES ET ABATS DE CANARDS, OIES OU PINTADES, FRAIS OU REFRIGERES")</f>
        <v xml:space="preserve">   AUTRES VIANDES ET ABATS DE CANARDS, OIES OU PINTADES, FRAIS OU REFRIGERES</v>
      </c>
      <c r="C4089" s="4">
        <v>449</v>
      </c>
      <c r="D4089" s="4">
        <v>3069572</v>
      </c>
    </row>
    <row r="4090" spans="1:4" x14ac:dyDescent="0.25">
      <c r="A4090" t="str">
        <f>T("   020736")</f>
        <v xml:space="preserve">   020736</v>
      </c>
      <c r="B4090" t="str">
        <f>T("   AUTRES VIANDES ET ABATS DE CANARDS, OIES OU DE PINTADES, CONGELES")</f>
        <v xml:space="preserve">   AUTRES VIANDES ET ABATS DE CANARDS, OIES OU DE PINTADES, CONGELES</v>
      </c>
      <c r="C4090" s="4">
        <v>60953</v>
      </c>
      <c r="D4090" s="4">
        <v>38043949</v>
      </c>
    </row>
    <row r="4091" spans="1:4" x14ac:dyDescent="0.25">
      <c r="A4091" t="str">
        <f>T("   020810")</f>
        <v xml:space="preserve">   020810</v>
      </c>
      <c r="B4091" t="str">
        <f>T("   DE LAPINS OU DE LIEVRES")</f>
        <v xml:space="preserve">   DE LAPINS OU DE LIEVRES</v>
      </c>
      <c r="C4091" s="4">
        <v>65640</v>
      </c>
      <c r="D4091" s="4">
        <v>48591460</v>
      </c>
    </row>
    <row r="4092" spans="1:4" x14ac:dyDescent="0.25">
      <c r="A4092" t="str">
        <f>T("   021011")</f>
        <v xml:space="preserve">   021011</v>
      </c>
      <c r="B4092" t="str">
        <f>T("   JAMBONS, EPAULES ET LEURS MORCEAUX, NON DESOSSES")</f>
        <v xml:space="preserve">   JAMBONS, EPAULES ET LEURS MORCEAUX, NON DESOSSES</v>
      </c>
      <c r="C4092" s="4">
        <v>2637</v>
      </c>
      <c r="D4092" s="4">
        <v>2887537</v>
      </c>
    </row>
    <row r="4093" spans="1:4" x14ac:dyDescent="0.25">
      <c r="A4093" t="str">
        <f>T("   021012")</f>
        <v xml:space="preserve">   021012</v>
      </c>
      <c r="B4093" t="str">
        <f>T("   POITRINES (ENTRELARDEES) ET LEURS MORCEAUX")</f>
        <v xml:space="preserve">   POITRINES (ENTRELARDEES) ET LEURS MORCEAUX</v>
      </c>
      <c r="C4093" s="4">
        <v>396</v>
      </c>
      <c r="D4093" s="4">
        <v>888170</v>
      </c>
    </row>
    <row r="4094" spans="1:4" x14ac:dyDescent="0.25">
      <c r="A4094" t="str">
        <f>T("   021019")</f>
        <v xml:space="preserve">   021019</v>
      </c>
      <c r="B4094" t="str">
        <f>T("   AUTRES")</f>
        <v xml:space="preserve">   AUTRES</v>
      </c>
      <c r="C4094" s="4">
        <v>9283</v>
      </c>
      <c r="D4094" s="4">
        <v>4182628</v>
      </c>
    </row>
    <row r="4095" spans="1:4" x14ac:dyDescent="0.25">
      <c r="A4095" t="str">
        <f>T("   021099")</f>
        <v xml:space="preserve">   021099</v>
      </c>
      <c r="B4095" t="str">
        <f>T("   AUTRES")</f>
        <v xml:space="preserve">   AUTRES</v>
      </c>
      <c r="C4095" s="4">
        <v>18227</v>
      </c>
      <c r="D4095" s="4">
        <v>12520240</v>
      </c>
    </row>
    <row r="4096" spans="1:4" x14ac:dyDescent="0.25">
      <c r="A4096" t="str">
        <f>T("   030219")</f>
        <v xml:space="preserve">   030219</v>
      </c>
      <c r="B4096" t="str">
        <f>T("   AUTRES")</f>
        <v xml:space="preserve">   AUTRES</v>
      </c>
      <c r="C4096" s="4">
        <v>429300</v>
      </c>
      <c r="D4096" s="4">
        <v>171720000</v>
      </c>
    </row>
    <row r="4097" spans="1:4" x14ac:dyDescent="0.25">
      <c r="A4097" t="str">
        <f>T("   030229")</f>
        <v xml:space="preserve">   030229</v>
      </c>
      <c r="B4097" t="str">
        <f>T("   AUTRES")</f>
        <v xml:space="preserve">   AUTRES</v>
      </c>
      <c r="C4097" s="4">
        <v>26250</v>
      </c>
      <c r="D4097" s="4">
        <v>10500000</v>
      </c>
    </row>
    <row r="4098" spans="1:4" x14ac:dyDescent="0.25">
      <c r="A4098" t="str">
        <f>T("   030269")</f>
        <v xml:space="preserve">   030269</v>
      </c>
      <c r="B4098" t="str">
        <f>T("   Autres poissons entiers,frais ou refrigeres.(foies,oeufs laitances exclus)")</f>
        <v xml:space="preserve">   Autres poissons entiers,frais ou refrigeres.(foies,oeufs laitances exclus)</v>
      </c>
      <c r="C4098" s="4">
        <v>77500</v>
      </c>
      <c r="D4098" s="4">
        <v>31000000</v>
      </c>
    </row>
    <row r="4099" spans="1:4" x14ac:dyDescent="0.25">
      <c r="A4099" t="str">
        <f>T("   030311")</f>
        <v xml:space="preserve">   030311</v>
      </c>
      <c r="B4099" t="str">
        <f>T("   SAUMONS ROUGES (ONCORHYNCHUS NERKA)")</f>
        <v xml:space="preserve">   SAUMONS ROUGES (ONCORHYNCHUS NERKA)</v>
      </c>
      <c r="C4099" s="4">
        <v>331</v>
      </c>
      <c r="D4099" s="4">
        <v>1525435</v>
      </c>
    </row>
    <row r="4100" spans="1:4" x14ac:dyDescent="0.25">
      <c r="A4100" t="str">
        <f>T("   030322")</f>
        <v xml:space="preserve">   030322</v>
      </c>
      <c r="B4100" t="str">
        <f>T("   SAUMONS DU DANUBE OU ATLANTIQUE,ENTIERS,CONGELES.(FOIES,OEUFS,... EXCLUS)")</f>
        <v xml:space="preserve">   SAUMONS DU DANUBE OU ATLANTIQUE,ENTIERS,CONGELES.(FOIES,OEUFS,... EXCLUS)</v>
      </c>
      <c r="C4100" s="4">
        <v>1528</v>
      </c>
      <c r="D4100" s="4">
        <v>1104637</v>
      </c>
    </row>
    <row r="4101" spans="1:4" x14ac:dyDescent="0.25">
      <c r="A4101" t="str">
        <f>T("   030329")</f>
        <v xml:space="preserve">   030329</v>
      </c>
      <c r="B4101" t="str">
        <f>T("   AUTRES")</f>
        <v xml:space="preserve">   AUTRES</v>
      </c>
      <c r="C4101" s="4">
        <v>340</v>
      </c>
      <c r="D4101" s="4">
        <v>186949</v>
      </c>
    </row>
    <row r="4102" spans="1:4" x14ac:dyDescent="0.25">
      <c r="A4102" t="str">
        <f>T("   030339")</f>
        <v xml:space="preserve">   030339</v>
      </c>
      <c r="B4102" t="str">
        <f>T("   AUTRES")</f>
        <v xml:space="preserve">   AUTRES</v>
      </c>
      <c r="C4102" s="4">
        <v>100810</v>
      </c>
      <c r="D4102" s="4">
        <v>22682250</v>
      </c>
    </row>
    <row r="4103" spans="1:4" x14ac:dyDescent="0.25">
      <c r="A4103" t="str">
        <f>T("   030371")</f>
        <v xml:space="preserve">   030371</v>
      </c>
      <c r="B4103" t="str">
        <f>T("   SARDINES,SARDINELLES,SPRATS ENTIERS,CONGELES(FOIES,OEUFS,LAITANCES EXCLUS)")</f>
        <v xml:space="preserve">   SARDINES,SARDINELLES,SPRATS ENTIERS,CONGELES(FOIES,OEUFS,LAITANCES EXCLUS)</v>
      </c>
      <c r="C4103" s="4">
        <v>76000</v>
      </c>
      <c r="D4103" s="4">
        <v>22450000</v>
      </c>
    </row>
    <row r="4104" spans="1:4" x14ac:dyDescent="0.25">
      <c r="A4104" t="str">
        <f>T("   030374")</f>
        <v xml:space="preserve">   030374</v>
      </c>
      <c r="B4104" t="str">
        <f>T("   MAQUEREAUX ENTIERS CONGELES.(FOIES,OEUFS,LAITANCES EXCLUS)")</f>
        <v xml:space="preserve">   MAQUEREAUX ENTIERS CONGELES.(FOIES,OEUFS,LAITANCES EXCLUS)</v>
      </c>
      <c r="C4104" s="4">
        <v>53250</v>
      </c>
      <c r="D4104" s="4">
        <v>16575502</v>
      </c>
    </row>
    <row r="4105" spans="1:4" x14ac:dyDescent="0.25">
      <c r="A4105" t="str">
        <f>T("   030379")</f>
        <v xml:space="preserve">   030379</v>
      </c>
      <c r="B4105" t="str">
        <f>T("   AUTRES POISSONS ENTIERS CONGELES.(FOIES,OEUFS,LAITANCES EXCLUS)")</f>
        <v xml:space="preserve">   AUTRES POISSONS ENTIERS CONGELES.(FOIES,OEUFS,LAITANCES EXCLUS)</v>
      </c>
      <c r="C4105" s="4">
        <v>17487545</v>
      </c>
      <c r="D4105" s="4">
        <v>6934459077</v>
      </c>
    </row>
    <row r="4106" spans="1:4" x14ac:dyDescent="0.25">
      <c r="A4106" t="str">
        <f>T("   030429")</f>
        <v xml:space="preserve">   030429</v>
      </c>
      <c r="B4106" t="str">
        <f>T("   AUTRES")</f>
        <v xml:space="preserve">   AUTRES</v>
      </c>
      <c r="C4106" s="4">
        <v>5588</v>
      </c>
      <c r="D4106" s="4">
        <v>2235200</v>
      </c>
    </row>
    <row r="4107" spans="1:4" x14ac:dyDescent="0.25">
      <c r="A4107" t="str">
        <f>T("   030492")</f>
        <v xml:space="preserve">   030492</v>
      </c>
      <c r="B4107" t="str">
        <f>T("   LEGINES (DISSOSTICHUS SPP.)")</f>
        <v xml:space="preserve">   LEGINES (DISSOSTICHUS SPP.)</v>
      </c>
      <c r="C4107" s="4">
        <v>387</v>
      </c>
      <c r="D4107" s="4">
        <v>954422</v>
      </c>
    </row>
    <row r="4108" spans="1:4" x14ac:dyDescent="0.25">
      <c r="A4108" t="str">
        <f>T("   030520")</f>
        <v xml:space="preserve">   030520</v>
      </c>
      <c r="B4108" t="str">
        <f>T("   FOIES, œUFS ET LAITANCES DE POISSONS, SECHES, FUMES, SALES OU EN SAUMURE")</f>
        <v xml:space="preserve">   FOIES, œUFS ET LAITANCES DE POISSONS, SECHES, FUMES, SALES OU EN SAUMURE</v>
      </c>
      <c r="C4108" s="4">
        <v>40</v>
      </c>
      <c r="D4108" s="4">
        <v>151265</v>
      </c>
    </row>
    <row r="4109" spans="1:4" x14ac:dyDescent="0.25">
      <c r="A4109" t="str">
        <f>T("   030530")</f>
        <v xml:space="preserve">   030530</v>
      </c>
      <c r="B4109" t="str">
        <f>T("   FILETS DE POISSONS SALES,SECHES OU EN SAUMURE, MAIS NON FUMES")</f>
        <v xml:space="preserve">   FILETS DE POISSONS SALES,SECHES OU EN SAUMURE, MAIS NON FUMES</v>
      </c>
      <c r="C4109" s="4">
        <v>4008.8</v>
      </c>
      <c r="D4109" s="4">
        <v>3605238</v>
      </c>
    </row>
    <row r="4110" spans="1:4" x14ac:dyDescent="0.25">
      <c r="A4110" t="str">
        <f>T("   030541")</f>
        <v xml:space="preserve">   030541</v>
      </c>
      <c r="B4110" t="str">
        <f>T("   SAUMONS DU PACIFIQUE (ONCORHYNCHUS NERKA, ONCORHYNCHUS GORBUSCHA, ONCORHYNCHUS KETA,")</f>
        <v xml:space="preserve">   SAUMONS DU PACIFIQUE (ONCORHYNCHUS NERKA, ONCORHYNCHUS GORBUSCHA, ONCORHYNCHUS KETA,</v>
      </c>
      <c r="C4110" s="4">
        <v>924</v>
      </c>
      <c r="D4110" s="4">
        <v>1622845</v>
      </c>
    </row>
    <row r="4111" spans="1:4" x14ac:dyDescent="0.25">
      <c r="A4111" t="str">
        <f>T("   030542")</f>
        <v xml:space="preserve">   030542</v>
      </c>
      <c r="B4111" t="str">
        <f>T("   HARENGS (CLUPEA HARENGUS, CLUPEA PALLASII)")</f>
        <v xml:space="preserve">   HARENGS (CLUPEA HARENGUS, CLUPEA PALLASII)</v>
      </c>
      <c r="C4111" s="4">
        <v>76</v>
      </c>
      <c r="D4111" s="4">
        <v>30400</v>
      </c>
    </row>
    <row r="4112" spans="1:4" x14ac:dyDescent="0.25">
      <c r="A4112" t="str">
        <f>T("   030549")</f>
        <v xml:space="preserve">   030549</v>
      </c>
      <c r="B4112" t="str">
        <f>T("   AUTRES")</f>
        <v xml:space="preserve">   AUTRES</v>
      </c>
      <c r="C4112" s="4">
        <v>6322</v>
      </c>
      <c r="D4112" s="4">
        <v>2589336</v>
      </c>
    </row>
    <row r="4113" spans="1:4" x14ac:dyDescent="0.25">
      <c r="A4113" t="str">
        <f>T("   030563")</f>
        <v xml:space="preserve">   030563</v>
      </c>
      <c r="B4113" t="str">
        <f>T("   ANCHOIS (ENGRAULIS SPP.)")</f>
        <v xml:space="preserve">   ANCHOIS (ENGRAULIS SPP.)</v>
      </c>
      <c r="C4113" s="4">
        <v>90</v>
      </c>
      <c r="D4113" s="4">
        <v>36000</v>
      </c>
    </row>
    <row r="4114" spans="1:4" x14ac:dyDescent="0.25">
      <c r="A4114" t="str">
        <f>T("   030613")</f>
        <v xml:space="preserve">   030613</v>
      </c>
      <c r="B4114" t="str">
        <f>T("   CREVETTES CONGELEES")</f>
        <v xml:space="preserve">   CREVETTES CONGELEES</v>
      </c>
      <c r="C4114" s="4">
        <v>442</v>
      </c>
      <c r="D4114" s="4">
        <v>699909</v>
      </c>
    </row>
    <row r="4115" spans="1:4" x14ac:dyDescent="0.25">
      <c r="A4115" t="str">
        <f>T("   030619")</f>
        <v xml:space="preserve">   030619</v>
      </c>
      <c r="B4115" t="str">
        <f>T("   AUTRES, Y COMPRIS LES FARINES, POUDRES ET AGGLOMERES SOUS FORME DE PELLETS DE CRUSTA")</f>
        <v xml:space="preserve">   AUTRES, Y COMPRIS LES FARINES, POUDRES ET AGGLOMERES SOUS FORME DE PELLETS DE CRUSTA</v>
      </c>
      <c r="C4115" s="4">
        <v>2924</v>
      </c>
      <c r="D4115" s="4">
        <v>5607145</v>
      </c>
    </row>
    <row r="4116" spans="1:4" x14ac:dyDescent="0.25">
      <c r="A4116" t="str">
        <f>T("   030710")</f>
        <v xml:space="preserve">   030710</v>
      </c>
      <c r="B4116" t="str">
        <f>T("   HUITRES")</f>
        <v xml:space="preserve">   HUITRES</v>
      </c>
      <c r="C4116" s="4">
        <v>285</v>
      </c>
      <c r="D4116" s="4">
        <v>601240</v>
      </c>
    </row>
    <row r="4117" spans="1:4" x14ac:dyDescent="0.25">
      <c r="A4117" t="str">
        <f>T("   030739")</f>
        <v xml:space="preserve">   030739</v>
      </c>
      <c r="B4117" t="str">
        <f>T("   AUTRES")</f>
        <v xml:space="preserve">   AUTRES</v>
      </c>
      <c r="C4117" s="4">
        <v>1074</v>
      </c>
      <c r="D4117" s="4">
        <v>526080</v>
      </c>
    </row>
    <row r="4118" spans="1:4" x14ac:dyDescent="0.25">
      <c r="A4118" t="str">
        <f>T("   030749")</f>
        <v xml:space="preserve">   030749</v>
      </c>
      <c r="B4118" t="str">
        <f>T("   AUTRES")</f>
        <v xml:space="preserve">   AUTRES</v>
      </c>
      <c r="C4118" s="4">
        <v>290</v>
      </c>
      <c r="D4118" s="4">
        <v>619227</v>
      </c>
    </row>
    <row r="4119" spans="1:4" x14ac:dyDescent="0.25">
      <c r="A4119" t="str">
        <f>T("   030799")</f>
        <v xml:space="preserve">   030799</v>
      </c>
      <c r="B4119" t="str">
        <f>T("   AUTRES")</f>
        <v xml:space="preserve">   AUTRES</v>
      </c>
      <c r="C4119" s="4">
        <v>706</v>
      </c>
      <c r="D4119" s="4">
        <v>636282</v>
      </c>
    </row>
    <row r="4120" spans="1:4" x14ac:dyDescent="0.25">
      <c r="A4120" t="str">
        <f>T("   040110")</f>
        <v xml:space="preserve">   040110</v>
      </c>
      <c r="B4120" t="str">
        <f>T("   D’UNE TENEUR EN POIDS DE MATIERES GRASSES N’EXCEDANT PAS 1 %")</f>
        <v xml:space="preserve">   D’UNE TENEUR EN POIDS DE MATIERES GRASSES N’EXCEDANT PAS 1 %</v>
      </c>
      <c r="C4120" s="4">
        <v>11424</v>
      </c>
      <c r="D4120" s="4">
        <v>11139515</v>
      </c>
    </row>
    <row r="4121" spans="1:4" x14ac:dyDescent="0.25">
      <c r="A4121" t="str">
        <f>T("   040120")</f>
        <v xml:space="preserve">   040120</v>
      </c>
      <c r="B4121" t="str">
        <f>T("   D’UNE TENEUR EN POIDS DE MATIERES GRASSES EXCEDANT 1 % MAIS N’EXCEDANT PAS 6 %")</f>
        <v xml:space="preserve">   D’UNE TENEUR EN POIDS DE MATIERES GRASSES EXCEDANT 1 % MAIS N’EXCEDANT PAS 6 %</v>
      </c>
      <c r="C4121" s="4">
        <v>644952</v>
      </c>
      <c r="D4121" s="4">
        <v>296989445</v>
      </c>
    </row>
    <row r="4122" spans="1:4" x14ac:dyDescent="0.25">
      <c r="A4122" t="str">
        <f>T("   040130")</f>
        <v xml:space="preserve">   040130</v>
      </c>
      <c r="B4122" t="str">
        <f>T("   LAIT ET CREME DE LAIT NON CONCENTRES NI SUCRES, + 6 % DE MAT. GRASSES")</f>
        <v xml:space="preserve">   LAIT ET CREME DE LAIT NON CONCENTRES NI SUCRES, + 6 % DE MAT. GRASSES</v>
      </c>
      <c r="C4122" s="4">
        <v>229831</v>
      </c>
      <c r="D4122" s="4">
        <v>90460125</v>
      </c>
    </row>
    <row r="4123" spans="1:4" x14ac:dyDescent="0.25">
      <c r="A4123" t="str">
        <f>T("   040210")</f>
        <v xml:space="preserve">   040210</v>
      </c>
      <c r="B4123" t="str">
        <f>T("   EN POUDRE, EN GRANULES OU SOUS D’AUTRES FORMES SOLIDES, D’UNE TENEUR EN POIDS DE MATI")</f>
        <v xml:space="preserve">   EN POUDRE, EN GRANULES OU SOUS D’AUTRES FORMES SOLIDES, D’UNE TENEUR EN POIDS DE MATI</v>
      </c>
      <c r="C4123" s="4">
        <v>221368</v>
      </c>
      <c r="D4123" s="4">
        <v>290998240</v>
      </c>
    </row>
    <row r="4124" spans="1:4" x14ac:dyDescent="0.25">
      <c r="A4124" t="str">
        <f>T("   040221")</f>
        <v xml:space="preserve">   040221</v>
      </c>
      <c r="B4124" t="str">
        <f>T("   SANS ADDITION DE SUCRE OU D'AUTRES EDULCORANTS")</f>
        <v xml:space="preserve">   SANS ADDITION DE SUCRE OU D'AUTRES EDULCORANTS</v>
      </c>
      <c r="C4124" s="4">
        <v>53300</v>
      </c>
      <c r="D4124" s="4">
        <v>122029551</v>
      </c>
    </row>
    <row r="4125" spans="1:4" x14ac:dyDescent="0.25">
      <c r="A4125" t="str">
        <f>T("   040229")</f>
        <v xml:space="preserve">   040229</v>
      </c>
      <c r="B4125" t="str">
        <f>T("   AUTRES")</f>
        <v xml:space="preserve">   AUTRES</v>
      </c>
      <c r="C4125" s="4">
        <v>13617</v>
      </c>
      <c r="D4125" s="4">
        <v>36416700</v>
      </c>
    </row>
    <row r="4126" spans="1:4" x14ac:dyDescent="0.25">
      <c r="A4126" t="str">
        <f>T("   040299")</f>
        <v xml:space="preserve">   040299</v>
      </c>
      <c r="B4126" t="str">
        <f>T("   AUTRES")</f>
        <v xml:space="preserve">   AUTRES</v>
      </c>
      <c r="C4126" s="4">
        <v>97207</v>
      </c>
      <c r="D4126" s="4">
        <v>73267401</v>
      </c>
    </row>
    <row r="4127" spans="1:4" x14ac:dyDescent="0.25">
      <c r="A4127" t="str">
        <f>T("   040310")</f>
        <v xml:space="preserve">   040310</v>
      </c>
      <c r="B4127" t="str">
        <f>T("   YOGHOURT")</f>
        <v xml:space="preserve">   YOGHOURT</v>
      </c>
      <c r="C4127" s="4">
        <v>141809</v>
      </c>
      <c r="D4127" s="4">
        <v>89954692</v>
      </c>
    </row>
    <row r="4128" spans="1:4" x14ac:dyDescent="0.25">
      <c r="A4128" t="str">
        <f>T("   040390")</f>
        <v xml:space="preserve">   040390</v>
      </c>
      <c r="B4128" t="str">
        <f>T("   AUTRES")</f>
        <v xml:space="preserve">   AUTRES</v>
      </c>
      <c r="C4128" s="4">
        <v>52935</v>
      </c>
      <c r="D4128" s="4">
        <v>22087911</v>
      </c>
    </row>
    <row r="4129" spans="1:4" x14ac:dyDescent="0.25">
      <c r="A4129" t="str">
        <f>T("   040510")</f>
        <v xml:space="preserve">   040510</v>
      </c>
      <c r="B4129" t="str">
        <f>T("   BEURRE")</f>
        <v xml:space="preserve">   BEURRE</v>
      </c>
      <c r="C4129" s="4">
        <v>300539.09999999998</v>
      </c>
      <c r="D4129" s="4">
        <v>191808024</v>
      </c>
    </row>
    <row r="4130" spans="1:4" x14ac:dyDescent="0.25">
      <c r="A4130" t="str">
        <f>T("   040590")</f>
        <v xml:space="preserve">   040590</v>
      </c>
      <c r="B4130" t="str">
        <f>T("   AUTRES")</f>
        <v xml:space="preserve">   AUTRES</v>
      </c>
      <c r="C4130" s="4">
        <v>3</v>
      </c>
      <c r="D4130" s="4">
        <v>8908</v>
      </c>
    </row>
    <row r="4131" spans="1:4" x14ac:dyDescent="0.25">
      <c r="A4131" t="str">
        <f>T("   040610")</f>
        <v xml:space="preserve">   040610</v>
      </c>
      <c r="B4131" t="str">
        <f>T("   FROMAGES FRAIS (NON AFFINES), Y COMPRIS LE FROMAGE DE LACTOSERUM, ET CAILLEBOTTE")</f>
        <v xml:space="preserve">   FROMAGES FRAIS (NON AFFINES), Y COMPRIS LE FROMAGE DE LACTOSERUM, ET CAILLEBOTTE</v>
      </c>
      <c r="C4131" s="4">
        <v>73</v>
      </c>
      <c r="D4131" s="4">
        <v>20335</v>
      </c>
    </row>
    <row r="4132" spans="1:4" x14ac:dyDescent="0.25">
      <c r="A4132" t="str">
        <f>T("   040620")</f>
        <v xml:space="preserve">   040620</v>
      </c>
      <c r="B4132" t="str">
        <f>T("   FROMAGES RAPES OU EN POUDRE, DE TOUS TYPES")</f>
        <v xml:space="preserve">   FROMAGES RAPES OU EN POUDRE, DE TOUS TYPES</v>
      </c>
      <c r="C4132" s="4">
        <v>3540</v>
      </c>
      <c r="D4132" s="4">
        <v>1757316</v>
      </c>
    </row>
    <row r="4133" spans="1:4" x14ac:dyDescent="0.25">
      <c r="A4133" t="str">
        <f>T("   040630")</f>
        <v xml:space="preserve">   040630</v>
      </c>
      <c r="B4133" t="str">
        <f>T("   FROMAGES FONDUS, AUTRES QUE RAPES OU EN POUDRE")</f>
        <v xml:space="preserve">   FROMAGES FONDUS, AUTRES QUE RAPES OU EN POUDRE</v>
      </c>
      <c r="C4133" s="4">
        <v>8187</v>
      </c>
      <c r="D4133" s="4">
        <v>6481040</v>
      </c>
    </row>
    <row r="4134" spans="1:4" x14ac:dyDescent="0.25">
      <c r="A4134" t="str">
        <f>T("   040640")</f>
        <v xml:space="preserve">   040640</v>
      </c>
      <c r="B4134" t="str">
        <f>T("   FROMAGES A PATE PERSILLEE ET AUTRES FROMAGES PRESENTANT DES MARBRURES OBTENUES EN UTI")</f>
        <v xml:space="preserve">   FROMAGES A PATE PERSILLEE ET AUTRES FROMAGES PRESENTANT DES MARBRURES OBTENUES EN UTI</v>
      </c>
      <c r="C4134" s="4">
        <v>1666</v>
      </c>
      <c r="D4134" s="4">
        <v>765506</v>
      </c>
    </row>
    <row r="4135" spans="1:4" x14ac:dyDescent="0.25">
      <c r="A4135" t="str">
        <f>T("   040690")</f>
        <v xml:space="preserve">   040690</v>
      </c>
      <c r="B4135" t="str">
        <f>T("   AUTRES FROMAGES")</f>
        <v xml:space="preserve">   AUTRES FROMAGES</v>
      </c>
      <c r="C4135" s="4">
        <v>354641.63</v>
      </c>
      <c r="D4135" s="4">
        <v>270925214</v>
      </c>
    </row>
    <row r="4136" spans="1:4" x14ac:dyDescent="0.25">
      <c r="A4136" t="str">
        <f>T("   040900")</f>
        <v xml:space="preserve">   040900</v>
      </c>
      <c r="B4136" t="str">
        <f>T("   MIEL NATUREL.")</f>
        <v xml:space="preserve">   MIEL NATUREL.</v>
      </c>
      <c r="C4136" s="4">
        <v>2087</v>
      </c>
      <c r="D4136" s="4">
        <v>865211</v>
      </c>
    </row>
    <row r="4137" spans="1:4" x14ac:dyDescent="0.25">
      <c r="A4137" t="str">
        <f>T("   041000")</f>
        <v xml:space="preserve">   041000</v>
      </c>
      <c r="B4137" t="str">
        <f>T("   PRODUITS COMESTIBLES D'ORIGINE ANIMALE, NON DENOMMES NI COMPRIS AILLEURS.")</f>
        <v xml:space="preserve">   PRODUITS COMESTIBLES D'ORIGINE ANIMALE, NON DENOMMES NI COMPRIS AILLEURS.</v>
      </c>
      <c r="C4137" s="4">
        <v>37</v>
      </c>
      <c r="D4137" s="4">
        <v>381769</v>
      </c>
    </row>
    <row r="4138" spans="1:4" x14ac:dyDescent="0.25">
      <c r="A4138" t="str">
        <f>T("   050400")</f>
        <v xml:space="preserve">   050400</v>
      </c>
      <c r="B4138" t="str">
        <f>T("   BOYAUX, VESSIES ET ESTOMACS D'ANIMAUX, ENTIERS OU EN MORCEAUX, AUTRES QUE CEUX DE POISS")</f>
        <v xml:space="preserve">   BOYAUX, VESSIES ET ESTOMACS D'ANIMAUX, ENTIERS OU EN MORCEAUX, AUTRES QUE CEUX DE POISS</v>
      </c>
      <c r="C4138" s="4">
        <v>853815.2</v>
      </c>
      <c r="D4138" s="4">
        <v>1008812043</v>
      </c>
    </row>
    <row r="4139" spans="1:4" x14ac:dyDescent="0.25">
      <c r="A4139" t="str">
        <f>T("   060311")</f>
        <v xml:space="preserve">   060311</v>
      </c>
      <c r="B4139" t="str">
        <f>T("   ROSES")</f>
        <v xml:space="preserve">   ROSES</v>
      </c>
      <c r="C4139" s="4">
        <v>99</v>
      </c>
      <c r="D4139" s="4">
        <v>140000</v>
      </c>
    </row>
    <row r="4140" spans="1:4" x14ac:dyDescent="0.25">
      <c r="A4140" t="str">
        <f>T("   070110")</f>
        <v xml:space="preserve">   070110</v>
      </c>
      <c r="B4140" t="str">
        <f>T("   DE SEMENCE")</f>
        <v xml:space="preserve">   DE SEMENCE</v>
      </c>
      <c r="C4140" s="4">
        <v>75</v>
      </c>
      <c r="D4140" s="4">
        <v>186711</v>
      </c>
    </row>
    <row r="4141" spans="1:4" x14ac:dyDescent="0.25">
      <c r="A4141" t="str">
        <f>T("   070190")</f>
        <v xml:space="preserve">   070190</v>
      </c>
      <c r="B4141" t="str">
        <f>T("   AUTRES")</f>
        <v xml:space="preserve">   AUTRES</v>
      </c>
      <c r="C4141" s="4">
        <v>119877</v>
      </c>
      <c r="D4141" s="4">
        <v>38234269</v>
      </c>
    </row>
    <row r="4142" spans="1:4" x14ac:dyDescent="0.25">
      <c r="A4142" t="str">
        <f>T("   070200")</f>
        <v xml:space="preserve">   070200</v>
      </c>
      <c r="B4142" t="str">
        <f>T("   TOMATES, A L'ETAT FRAIS OU REFRIGERE.")</f>
        <v xml:space="preserve">   TOMATES, A L'ETAT FRAIS OU REFRIGERE.</v>
      </c>
      <c r="C4142" s="4">
        <v>291</v>
      </c>
      <c r="D4142" s="4">
        <v>446558</v>
      </c>
    </row>
    <row r="4143" spans="1:4" x14ac:dyDescent="0.25">
      <c r="A4143" t="str">
        <f>T("   070390")</f>
        <v xml:space="preserve">   070390</v>
      </c>
      <c r="B4143" t="str">
        <f>T("   POIREAUX ET AUTRES LEGUMES ALLIACES")</f>
        <v xml:space="preserve">   POIREAUX ET AUTRES LEGUMES ALLIACES</v>
      </c>
      <c r="C4143" s="4">
        <v>820</v>
      </c>
      <c r="D4143" s="4">
        <v>1510676</v>
      </c>
    </row>
    <row r="4144" spans="1:4" x14ac:dyDescent="0.25">
      <c r="A4144" t="str">
        <f>T("   070490")</f>
        <v xml:space="preserve">   070490</v>
      </c>
      <c r="B4144" t="str">
        <f>T("   AUTRES")</f>
        <v xml:space="preserve">   AUTRES</v>
      </c>
      <c r="C4144" s="4">
        <v>1446</v>
      </c>
      <c r="D4144" s="4">
        <v>2488057</v>
      </c>
    </row>
    <row r="4145" spans="1:4" x14ac:dyDescent="0.25">
      <c r="A4145" t="str">
        <f>T("   070519")</f>
        <v xml:space="preserve">   070519</v>
      </c>
      <c r="B4145" t="str">
        <f>T("   AUTRES")</f>
        <v xml:space="preserve">   AUTRES</v>
      </c>
      <c r="C4145" s="4">
        <v>4302</v>
      </c>
      <c r="D4145" s="4">
        <v>6319396</v>
      </c>
    </row>
    <row r="4146" spans="1:4" x14ac:dyDescent="0.25">
      <c r="A4146" t="str">
        <f>T("   070700")</f>
        <v xml:space="preserve">   070700</v>
      </c>
      <c r="B4146" t="str">
        <f>T("   CONCOMBRES ET CORNICHONS, A L'ETAT FRAIS OU REFRIGERE.")</f>
        <v xml:space="preserve">   CONCOMBRES ET CORNICHONS, A L'ETAT FRAIS OU REFRIGERE.</v>
      </c>
      <c r="C4146" s="4">
        <v>5352</v>
      </c>
      <c r="D4146" s="4">
        <v>2923226</v>
      </c>
    </row>
    <row r="4147" spans="1:4" x14ac:dyDescent="0.25">
      <c r="A4147" t="str">
        <f>T("   070810")</f>
        <v xml:space="preserve">   070810</v>
      </c>
      <c r="B4147" t="str">
        <f>T("   POIS (PISUM SATIVUM)")</f>
        <v xml:space="preserve">   POIS (PISUM SATIVUM)</v>
      </c>
      <c r="C4147" s="4">
        <v>16</v>
      </c>
      <c r="D4147" s="4">
        <v>117496</v>
      </c>
    </row>
    <row r="4148" spans="1:4" x14ac:dyDescent="0.25">
      <c r="A4148" t="str">
        <f>T("   070990")</f>
        <v xml:space="preserve">   070990</v>
      </c>
      <c r="B4148" t="str">
        <f>T("   AUTRES LEGUMES FRAIS OU REFRIGERES")</f>
        <v xml:space="preserve">   AUTRES LEGUMES FRAIS OU REFRIGERES</v>
      </c>
      <c r="C4148" s="4">
        <v>1553</v>
      </c>
      <c r="D4148" s="4">
        <v>3900994</v>
      </c>
    </row>
    <row r="4149" spans="1:4" x14ac:dyDescent="0.25">
      <c r="A4149" t="str">
        <f>T("   071010")</f>
        <v xml:space="preserve">   071010</v>
      </c>
      <c r="B4149" t="str">
        <f>T("   POMMES DE TERRE")</f>
        <v xml:space="preserve">   POMMES DE TERRE</v>
      </c>
      <c r="C4149" s="4">
        <v>213438</v>
      </c>
      <c r="D4149" s="4">
        <v>43841011</v>
      </c>
    </row>
    <row r="4150" spans="1:4" x14ac:dyDescent="0.25">
      <c r="A4150" t="str">
        <f>T("   071021")</f>
        <v xml:space="preserve">   071021</v>
      </c>
      <c r="B4150" t="str">
        <f>T("   POIS (PISUM SATIVUM)")</f>
        <v xml:space="preserve">   POIS (PISUM SATIVUM)</v>
      </c>
      <c r="C4150" s="4">
        <v>2640</v>
      </c>
      <c r="D4150" s="4">
        <v>1075774</v>
      </c>
    </row>
    <row r="4151" spans="1:4" x14ac:dyDescent="0.25">
      <c r="A4151" t="str">
        <f>T("   071080")</f>
        <v xml:space="preserve">   071080</v>
      </c>
      <c r="B4151" t="str">
        <f>T("   AUTRES LEGUMES")</f>
        <v xml:space="preserve">   AUTRES LEGUMES</v>
      </c>
      <c r="C4151" s="4">
        <v>4670</v>
      </c>
      <c r="D4151" s="4">
        <v>4685524</v>
      </c>
    </row>
    <row r="4152" spans="1:4" x14ac:dyDescent="0.25">
      <c r="A4152" t="str">
        <f>T("   071090")</f>
        <v xml:space="preserve">   071090</v>
      </c>
      <c r="B4152" t="str">
        <f>T("   MELANGES DE LEGUMES")</f>
        <v xml:space="preserve">   MELANGES DE LEGUMES</v>
      </c>
      <c r="C4152" s="4">
        <v>26271</v>
      </c>
      <c r="D4152" s="4">
        <v>29648736</v>
      </c>
    </row>
    <row r="4153" spans="1:4" x14ac:dyDescent="0.25">
      <c r="A4153" t="str">
        <f>T("   071331")</f>
        <v xml:space="preserve">   071331</v>
      </c>
      <c r="B4153" t="str">
        <f>T("   HARICOTS DES ESPECES VIGNA MUNGO (L.) HEPPER OU VIGNA RADIATA (L.) WILCZEK")</f>
        <v xml:space="preserve">   HARICOTS DES ESPECES VIGNA MUNGO (L.) HEPPER OU VIGNA RADIATA (L.) WILCZEK</v>
      </c>
      <c r="C4153" s="4">
        <v>3689</v>
      </c>
      <c r="D4153" s="4">
        <v>1306239</v>
      </c>
    </row>
    <row r="4154" spans="1:4" x14ac:dyDescent="0.25">
      <c r="A4154" t="str">
        <f>T("   080111")</f>
        <v xml:space="preserve">   080111</v>
      </c>
      <c r="B4154" t="str">
        <f>T("   DESSECHEES")</f>
        <v xml:space="preserve">   DESSECHEES</v>
      </c>
      <c r="C4154" s="4">
        <v>480</v>
      </c>
      <c r="D4154" s="4">
        <v>535263</v>
      </c>
    </row>
    <row r="4155" spans="1:4" x14ac:dyDescent="0.25">
      <c r="A4155" t="str">
        <f>T("   080119")</f>
        <v xml:space="preserve">   080119</v>
      </c>
      <c r="B4155" t="str">
        <f>T("   AUTRES")</f>
        <v xml:space="preserve">   AUTRES</v>
      </c>
      <c r="C4155" s="4">
        <v>460</v>
      </c>
      <c r="D4155" s="4">
        <v>442117</v>
      </c>
    </row>
    <row r="4156" spans="1:4" x14ac:dyDescent="0.25">
      <c r="A4156" t="str">
        <f>T("   080212")</f>
        <v xml:space="preserve">   080212</v>
      </c>
      <c r="B4156" t="str">
        <f>T("   SANS COQUES")</f>
        <v xml:space="preserve">   SANS COQUES</v>
      </c>
      <c r="C4156" s="4">
        <v>1128</v>
      </c>
      <c r="D4156" s="4">
        <v>2033409</v>
      </c>
    </row>
    <row r="4157" spans="1:4" x14ac:dyDescent="0.25">
      <c r="A4157" t="str">
        <f>T("   080290")</f>
        <v xml:space="preserve">   080290</v>
      </c>
      <c r="B4157" t="str">
        <f>T("   AUTRES")</f>
        <v xml:space="preserve">   AUTRES</v>
      </c>
      <c r="C4157" s="4">
        <v>983</v>
      </c>
      <c r="D4157" s="4">
        <v>2309636</v>
      </c>
    </row>
    <row r="4158" spans="1:4" x14ac:dyDescent="0.25">
      <c r="A4158" t="str">
        <f>T("   080510")</f>
        <v xml:space="preserve">   080510</v>
      </c>
      <c r="B4158" t="str">
        <f>T("   ORANGES")</f>
        <v xml:space="preserve">   ORANGES</v>
      </c>
      <c r="C4158" s="4">
        <v>2343</v>
      </c>
      <c r="D4158" s="4">
        <v>2080051</v>
      </c>
    </row>
    <row r="4159" spans="1:4" x14ac:dyDescent="0.25">
      <c r="A4159" t="str">
        <f>T("   080540")</f>
        <v xml:space="preserve">   080540</v>
      </c>
      <c r="B4159" t="str">
        <f>T("   PAMPLEMOUSSES ET POMELOS")</f>
        <v xml:space="preserve">   PAMPLEMOUSSES ET POMELOS</v>
      </c>
      <c r="C4159" s="4">
        <v>831</v>
      </c>
      <c r="D4159" s="4">
        <v>539199</v>
      </c>
    </row>
    <row r="4160" spans="1:4" x14ac:dyDescent="0.25">
      <c r="A4160" t="str">
        <f>T("   080550")</f>
        <v xml:space="preserve">   080550</v>
      </c>
      <c r="B4160" t="str">
        <f>T("   CITRONS (CITRUS LIMON, CITRUS LIMONUM) ET LIMES (CITRUS AURANTIFOLIA, CITRUS LATIFOLI")</f>
        <v xml:space="preserve">   CITRONS (CITRUS LIMON, CITRUS LIMONUM) ET LIMES (CITRUS AURANTIFOLIA, CITRUS LATIFOLI</v>
      </c>
      <c r="C4160" s="4">
        <v>4894</v>
      </c>
      <c r="D4160" s="4">
        <v>2713110</v>
      </c>
    </row>
    <row r="4161" spans="1:4" x14ac:dyDescent="0.25">
      <c r="A4161" t="str">
        <f>T("   080610")</f>
        <v xml:space="preserve">   080610</v>
      </c>
      <c r="B4161" t="str">
        <f>T("   FRAIS")</f>
        <v xml:space="preserve">   FRAIS</v>
      </c>
      <c r="C4161" s="4">
        <v>18704</v>
      </c>
      <c r="D4161" s="4">
        <v>9540703</v>
      </c>
    </row>
    <row r="4162" spans="1:4" x14ac:dyDescent="0.25">
      <c r="A4162" t="str">
        <f>T("   080620")</f>
        <v xml:space="preserve">   080620</v>
      </c>
      <c r="B4162" t="str">
        <f>T("   SECS")</f>
        <v xml:space="preserve">   SECS</v>
      </c>
      <c r="C4162" s="4">
        <v>57</v>
      </c>
      <c r="D4162" s="4">
        <v>134932</v>
      </c>
    </row>
    <row r="4163" spans="1:4" x14ac:dyDescent="0.25">
      <c r="A4163" t="str">
        <f>T("   080810")</f>
        <v xml:space="preserve">   080810</v>
      </c>
      <c r="B4163" t="str">
        <f>T("   POMMES")</f>
        <v xml:space="preserve">   POMMES</v>
      </c>
      <c r="C4163" s="4">
        <v>13354</v>
      </c>
      <c r="D4163" s="4">
        <v>13397523</v>
      </c>
    </row>
    <row r="4164" spans="1:4" x14ac:dyDescent="0.25">
      <c r="A4164" t="str">
        <f>T("   080820")</f>
        <v xml:space="preserve">   080820</v>
      </c>
      <c r="B4164" t="str">
        <f>T("   Poires et coings,frais")</f>
        <v xml:space="preserve">   Poires et coings,frais</v>
      </c>
      <c r="C4164" s="4">
        <v>1218</v>
      </c>
      <c r="D4164" s="4">
        <v>789776</v>
      </c>
    </row>
    <row r="4165" spans="1:4" x14ac:dyDescent="0.25">
      <c r="A4165" t="str">
        <f>T("   080930")</f>
        <v xml:space="preserve">   080930</v>
      </c>
      <c r="B4165" t="str">
        <f>T("   PECHES, Y COMPRIS LES BRUGNONS ET NECTARINES")</f>
        <v xml:space="preserve">   PECHES, Y COMPRIS LES BRUGNONS ET NECTARINES</v>
      </c>
      <c r="C4165" s="4">
        <v>508</v>
      </c>
      <c r="D4165" s="4">
        <v>1281746</v>
      </c>
    </row>
    <row r="4166" spans="1:4" x14ac:dyDescent="0.25">
      <c r="A4166" t="str">
        <f>T("   081010")</f>
        <v xml:space="preserve">   081010</v>
      </c>
      <c r="B4166" t="str">
        <f>T("   FRAISES")</f>
        <v xml:space="preserve">   FRAISES</v>
      </c>
      <c r="C4166" s="4">
        <v>1311</v>
      </c>
      <c r="D4166" s="4">
        <v>1066396</v>
      </c>
    </row>
    <row r="4167" spans="1:4" x14ac:dyDescent="0.25">
      <c r="A4167" t="str">
        <f>T("   081090")</f>
        <v xml:space="preserve">   081090</v>
      </c>
      <c r="B4167" t="str">
        <f>T("   AUTRES")</f>
        <v xml:space="preserve">   AUTRES</v>
      </c>
      <c r="C4167" s="4">
        <v>4435</v>
      </c>
      <c r="D4167" s="4">
        <v>4259989</v>
      </c>
    </row>
    <row r="4168" spans="1:4" x14ac:dyDescent="0.25">
      <c r="A4168" t="str">
        <f>T("   090121")</f>
        <v xml:space="preserve">   090121</v>
      </c>
      <c r="B4168" t="str">
        <f>T("   NON DECAFEINE")</f>
        <v xml:space="preserve">   NON DECAFEINE</v>
      </c>
      <c r="C4168" s="4">
        <v>7607</v>
      </c>
      <c r="D4168" s="4">
        <v>36232401</v>
      </c>
    </row>
    <row r="4169" spans="1:4" x14ac:dyDescent="0.25">
      <c r="A4169" t="str">
        <f>T("   090190")</f>
        <v xml:space="preserve">   090190</v>
      </c>
      <c r="B4169" t="str">
        <f>T("   AUTRES")</f>
        <v xml:space="preserve">   AUTRES</v>
      </c>
      <c r="C4169" s="4">
        <v>452</v>
      </c>
      <c r="D4169" s="4">
        <v>3492089</v>
      </c>
    </row>
    <row r="4170" spans="1:4" x14ac:dyDescent="0.25">
      <c r="A4170" t="str">
        <f>T("   090210")</f>
        <v xml:space="preserve">   090210</v>
      </c>
      <c r="B4170" t="str">
        <f>T("   THE VERT (NON FERMENTE) PRESENTE EN EMBALLAGES IMMEDIATS D'UN CONTENU N'EXCEDANT PAS")</f>
        <v xml:space="preserve">   THE VERT (NON FERMENTE) PRESENTE EN EMBALLAGES IMMEDIATS D'UN CONTENU N'EXCEDANT PAS</v>
      </c>
      <c r="C4170" s="4">
        <v>12344</v>
      </c>
      <c r="D4170" s="4">
        <v>15873275</v>
      </c>
    </row>
    <row r="4171" spans="1:4" x14ac:dyDescent="0.25">
      <c r="A4171" t="str">
        <f>T("   090220")</f>
        <v xml:space="preserve">   090220</v>
      </c>
      <c r="B4171" t="str">
        <f>T("   THE VERT (NON FERMENTE) PRESENTE AUTREMENT")</f>
        <v xml:space="preserve">   THE VERT (NON FERMENTE) PRESENTE AUTREMENT</v>
      </c>
      <c r="C4171" s="4">
        <v>8656</v>
      </c>
      <c r="D4171" s="4">
        <v>3428048</v>
      </c>
    </row>
    <row r="4172" spans="1:4" x14ac:dyDescent="0.25">
      <c r="A4172" t="str">
        <f>T("   090230")</f>
        <v xml:space="preserve">   090230</v>
      </c>
      <c r="B4172" t="str">
        <f>T("   THE NOIR (FERMENTE) ET THE PARTIELLEMENT FERMENTE, PRESENTES EN EMBALLAGES IMMEDIATS")</f>
        <v xml:space="preserve">   THE NOIR (FERMENTE) ET THE PARTIELLEMENT FERMENTE, PRESENTES EN EMBALLAGES IMMEDIATS</v>
      </c>
      <c r="C4172" s="4">
        <v>11127</v>
      </c>
      <c r="D4172" s="4">
        <v>30262950</v>
      </c>
    </row>
    <row r="4173" spans="1:4" x14ac:dyDescent="0.25">
      <c r="A4173" t="str">
        <f>T("   090420")</f>
        <v xml:space="preserve">   090420</v>
      </c>
      <c r="B4173" t="str">
        <f>T("   PIMENTS SECHES OU BROYES OU PULVERISES")</f>
        <v xml:space="preserve">   PIMENTS SECHES OU BROYES OU PULVERISES</v>
      </c>
      <c r="C4173" s="4">
        <v>6</v>
      </c>
      <c r="D4173" s="4">
        <v>9839</v>
      </c>
    </row>
    <row r="4174" spans="1:4" x14ac:dyDescent="0.25">
      <c r="A4174" t="str">
        <f>T("   090500")</f>
        <v xml:space="preserve">   090500</v>
      </c>
      <c r="B4174" t="str">
        <f>T("   Vanille")</f>
        <v xml:space="preserve">   Vanille</v>
      </c>
      <c r="C4174" s="4">
        <v>3085</v>
      </c>
      <c r="D4174" s="4">
        <v>1831441</v>
      </c>
    </row>
    <row r="4175" spans="1:4" x14ac:dyDescent="0.25">
      <c r="A4175" t="str">
        <f>T("   090910")</f>
        <v xml:space="preserve">   090910</v>
      </c>
      <c r="B4175" t="str">
        <f>T("   Graines d'anis ou de badiane")</f>
        <v xml:space="preserve">   Graines d'anis ou de badiane</v>
      </c>
      <c r="C4175" s="4">
        <v>25</v>
      </c>
      <c r="D4175" s="4">
        <v>184325</v>
      </c>
    </row>
    <row r="4176" spans="1:4" x14ac:dyDescent="0.25">
      <c r="A4176" t="str">
        <f>T("   091099")</f>
        <v xml:space="preserve">   091099</v>
      </c>
      <c r="B4176" t="str">
        <f>T("   AUTRES")</f>
        <v xml:space="preserve">   AUTRES</v>
      </c>
      <c r="C4176" s="4">
        <v>15539</v>
      </c>
      <c r="D4176" s="4">
        <v>10715980</v>
      </c>
    </row>
    <row r="4177" spans="1:4" x14ac:dyDescent="0.25">
      <c r="A4177" t="str">
        <f>T("   100630")</f>
        <v xml:space="preserve">   100630</v>
      </c>
      <c r="B4177" t="str">
        <f>T("   RIZ SEMIBLANCHI OU BLANCHI, MEME POLI OU GLACE")</f>
        <v xml:space="preserve">   RIZ SEMIBLANCHI OU BLANCHI, MEME POLI OU GLACE</v>
      </c>
      <c r="C4177" s="4">
        <v>236937</v>
      </c>
      <c r="D4177" s="4">
        <v>54029390</v>
      </c>
    </row>
    <row r="4178" spans="1:4" x14ac:dyDescent="0.25">
      <c r="A4178" t="str">
        <f>T("   100640")</f>
        <v xml:space="preserve">   100640</v>
      </c>
      <c r="B4178" t="str">
        <f>T("   RIZ EN BRISURES")</f>
        <v xml:space="preserve">   RIZ EN BRISURES</v>
      </c>
      <c r="C4178" s="4">
        <v>125000</v>
      </c>
      <c r="D4178" s="4">
        <v>41128552.446999997</v>
      </c>
    </row>
    <row r="4179" spans="1:4" x14ac:dyDescent="0.25">
      <c r="A4179" t="str">
        <f>T("   100890")</f>
        <v xml:space="preserve">   100890</v>
      </c>
      <c r="B4179" t="str">
        <f>T("   Autres cereales")</f>
        <v xml:space="preserve">   Autres cereales</v>
      </c>
      <c r="C4179" s="4">
        <v>3467</v>
      </c>
      <c r="D4179" s="4">
        <v>1721037</v>
      </c>
    </row>
    <row r="4180" spans="1:4" x14ac:dyDescent="0.25">
      <c r="A4180" t="str">
        <f>T("   110100")</f>
        <v xml:space="preserve">   110100</v>
      </c>
      <c r="B4180" t="str">
        <f>T("   FARINES DE FROMENT (BLE) OU DE METEIL.")</f>
        <v xml:space="preserve">   FARINES DE FROMENT (BLE) OU DE METEIL.</v>
      </c>
      <c r="C4180" s="4">
        <v>25183911</v>
      </c>
      <c r="D4180" s="4">
        <v>6745469925.1040001</v>
      </c>
    </row>
    <row r="4181" spans="1:4" x14ac:dyDescent="0.25">
      <c r="A4181" t="str">
        <f>T("   110290")</f>
        <v xml:space="preserve">   110290</v>
      </c>
      <c r="B4181" t="str">
        <f>T("   AUTRES")</f>
        <v xml:space="preserve">   AUTRES</v>
      </c>
      <c r="C4181" s="4">
        <v>100320</v>
      </c>
      <c r="D4181" s="4">
        <v>15160000</v>
      </c>
    </row>
    <row r="4182" spans="1:4" x14ac:dyDescent="0.25">
      <c r="A4182" t="str">
        <f>T("   110311")</f>
        <v xml:space="preserve">   110311</v>
      </c>
      <c r="B4182" t="str">
        <f>T("   DE FROMENT (BLE)")</f>
        <v xml:space="preserve">   DE FROMENT (BLE)</v>
      </c>
      <c r="C4182" s="4">
        <v>6980000</v>
      </c>
      <c r="D4182" s="4">
        <v>1975882911</v>
      </c>
    </row>
    <row r="4183" spans="1:4" x14ac:dyDescent="0.25">
      <c r="A4183" t="str">
        <f>T("   110313")</f>
        <v xml:space="preserve">   110313</v>
      </c>
      <c r="B4183" t="str">
        <f>T("   DE MAIS")</f>
        <v xml:space="preserve">   DE MAIS</v>
      </c>
      <c r="C4183" s="4">
        <v>22074</v>
      </c>
      <c r="D4183" s="4">
        <v>6228340</v>
      </c>
    </row>
    <row r="4184" spans="1:4" x14ac:dyDescent="0.25">
      <c r="A4184" t="str">
        <f>T("   110412")</f>
        <v xml:space="preserve">   110412</v>
      </c>
      <c r="B4184" t="str">
        <f>T("   D'AVOINE")</f>
        <v xml:space="preserve">   D'AVOINE</v>
      </c>
      <c r="C4184" s="4">
        <v>16980</v>
      </c>
      <c r="D4184" s="4">
        <v>7829538</v>
      </c>
    </row>
    <row r="4185" spans="1:4" x14ac:dyDescent="0.25">
      <c r="A4185" t="str">
        <f>T("   110510")</f>
        <v xml:space="preserve">   110510</v>
      </c>
      <c r="B4185" t="str">
        <f>T("   FARINE, SEMOULE ET POUDRE")</f>
        <v xml:space="preserve">   FARINE, SEMOULE ET POUDRE</v>
      </c>
      <c r="C4185" s="4">
        <v>50</v>
      </c>
      <c r="D4185" s="4">
        <v>39358</v>
      </c>
    </row>
    <row r="4186" spans="1:4" x14ac:dyDescent="0.25">
      <c r="A4186" t="str">
        <f>T("   110710")</f>
        <v xml:space="preserve">   110710</v>
      </c>
      <c r="B4186" t="str">
        <f>T("   NON TORREFIE")</f>
        <v xml:space="preserve">   NON TORREFIE</v>
      </c>
      <c r="C4186" s="4">
        <v>1838790</v>
      </c>
      <c r="D4186" s="4">
        <v>703792462</v>
      </c>
    </row>
    <row r="4187" spans="1:4" x14ac:dyDescent="0.25">
      <c r="A4187" t="str">
        <f>T("   110720")</f>
        <v xml:space="preserve">   110720</v>
      </c>
      <c r="B4187" t="str">
        <f>T("   TORREFIE")</f>
        <v xml:space="preserve">   TORREFIE</v>
      </c>
      <c r="C4187" s="4">
        <v>11088</v>
      </c>
      <c r="D4187" s="4">
        <v>9575796</v>
      </c>
    </row>
    <row r="4188" spans="1:4" x14ac:dyDescent="0.25">
      <c r="A4188" t="str">
        <f>T("   120720")</f>
        <v xml:space="preserve">   120720</v>
      </c>
      <c r="B4188" t="str">
        <f>T("   GRAINES DE COTON,MEME CONCASSEES")</f>
        <v xml:space="preserve">   GRAINES DE COTON,MEME CONCASSEES</v>
      </c>
      <c r="C4188" s="4">
        <v>2130</v>
      </c>
      <c r="D4188" s="4">
        <v>520000</v>
      </c>
    </row>
    <row r="4189" spans="1:4" x14ac:dyDescent="0.25">
      <c r="A4189" t="str">
        <f>T("   120910")</f>
        <v xml:space="preserve">   120910</v>
      </c>
      <c r="B4189" t="str">
        <f>T("   GRAINES DE BETTERAVES A SUCRE")</f>
        <v xml:space="preserve">   GRAINES DE BETTERAVES A SUCRE</v>
      </c>
      <c r="C4189" s="4">
        <v>0.9</v>
      </c>
      <c r="D4189" s="4">
        <v>228805</v>
      </c>
    </row>
    <row r="4190" spans="1:4" x14ac:dyDescent="0.25">
      <c r="A4190" t="str">
        <f>T("   120999")</f>
        <v xml:space="preserve">   120999</v>
      </c>
      <c r="B4190" t="str">
        <f>T("   AUTRES")</f>
        <v xml:space="preserve">   AUTRES</v>
      </c>
      <c r="C4190" s="4">
        <v>2613</v>
      </c>
      <c r="D4190" s="4">
        <v>67865784</v>
      </c>
    </row>
    <row r="4191" spans="1:4" x14ac:dyDescent="0.25">
      <c r="A4191" t="str">
        <f>T("   121190")</f>
        <v xml:space="preserve">   121190</v>
      </c>
      <c r="B4191" t="str">
        <f>T("   AUTRES")</f>
        <v xml:space="preserve">   AUTRES</v>
      </c>
      <c r="C4191" s="4">
        <v>379</v>
      </c>
      <c r="D4191" s="4">
        <v>7945310</v>
      </c>
    </row>
    <row r="4192" spans="1:4" x14ac:dyDescent="0.25">
      <c r="A4192" t="str">
        <f>T("   130213")</f>
        <v xml:space="preserve">   130213</v>
      </c>
      <c r="B4192" t="str">
        <f>T("   DE HOUBLON")</f>
        <v xml:space="preserve">   DE HOUBLON</v>
      </c>
      <c r="C4192" s="4">
        <v>13147</v>
      </c>
      <c r="D4192" s="4">
        <v>256968356</v>
      </c>
    </row>
    <row r="4193" spans="1:4" x14ac:dyDescent="0.25">
      <c r="A4193" t="str">
        <f>T("   130219")</f>
        <v xml:space="preserve">   130219</v>
      </c>
      <c r="B4193" t="str">
        <f>T("   AUTRES")</f>
        <v xml:space="preserve">   AUTRES</v>
      </c>
      <c r="C4193" s="4">
        <v>5100</v>
      </c>
      <c r="D4193" s="4">
        <v>4480864</v>
      </c>
    </row>
    <row r="4194" spans="1:4" x14ac:dyDescent="0.25">
      <c r="A4194" t="str">
        <f>T("   150300")</f>
        <v xml:space="preserve">   150300</v>
      </c>
      <c r="B4194" t="str">
        <f>T("   STEARINE SOLAIRE, HUILE DE SAINDOUX, OLEOSTEARINE, OLEOMARGARINE ET HUILE DE SUIF, NO")</f>
        <v xml:space="preserve">   STEARINE SOLAIRE, HUILE DE SAINDOUX, OLEOSTEARINE, OLEOMARGARINE ET HUILE DE SUIF, NO</v>
      </c>
      <c r="C4194" s="4">
        <v>90</v>
      </c>
      <c r="D4194" s="4">
        <v>714943</v>
      </c>
    </row>
    <row r="4195" spans="1:4" x14ac:dyDescent="0.25">
      <c r="A4195" t="str">
        <f>T("   150410")</f>
        <v xml:space="preserve">   150410</v>
      </c>
      <c r="B4195" t="str">
        <f>T("   HUILES DE FOIES DE POISSONS ET LEURS FRACTIONS")</f>
        <v xml:space="preserve">   HUILES DE FOIES DE POISSONS ET LEURS FRACTIONS</v>
      </c>
      <c r="C4195" s="4">
        <v>271</v>
      </c>
      <c r="D4195" s="4">
        <v>2213865</v>
      </c>
    </row>
    <row r="4196" spans="1:4" x14ac:dyDescent="0.25">
      <c r="A4196" t="str">
        <f>T("   150500")</f>
        <v xml:space="preserve">   150500</v>
      </c>
      <c r="B4196" t="str">
        <f>T("   GRAISSE DE SUINT ET SUBSTANCES GRASSES DERIVEES, Y COMPRIS LA LANOLINE.")</f>
        <v xml:space="preserve">   GRAISSE DE SUINT ET SUBSTANCES GRASSES DERIVEES, Y COMPRIS LA LANOLINE.</v>
      </c>
      <c r="C4196" s="4">
        <v>65</v>
      </c>
      <c r="D4196" s="4">
        <v>86599</v>
      </c>
    </row>
    <row r="4197" spans="1:4" x14ac:dyDescent="0.25">
      <c r="A4197" t="str">
        <f>T("   150790")</f>
        <v xml:space="preserve">   150790</v>
      </c>
      <c r="B4197" t="str">
        <f>T("   AUTRES")</f>
        <v xml:space="preserve">   AUTRES</v>
      </c>
      <c r="C4197" s="4">
        <v>2450</v>
      </c>
      <c r="D4197" s="4">
        <v>612500</v>
      </c>
    </row>
    <row r="4198" spans="1:4" x14ac:dyDescent="0.25">
      <c r="A4198" t="str">
        <f>T("   150890")</f>
        <v xml:space="preserve">   150890</v>
      </c>
      <c r="B4198" t="str">
        <f>T("   AUTRES")</f>
        <v xml:space="preserve">   AUTRES</v>
      </c>
      <c r="C4198" s="4">
        <v>105</v>
      </c>
      <c r="D4198" s="4">
        <v>26250</v>
      </c>
    </row>
    <row r="4199" spans="1:4" x14ac:dyDescent="0.25">
      <c r="A4199" t="str">
        <f>T("   150910")</f>
        <v xml:space="preserve">   150910</v>
      </c>
      <c r="B4199" t="str">
        <f>T("   VIERGES")</f>
        <v xml:space="preserve">   VIERGES</v>
      </c>
      <c r="C4199" s="4">
        <v>4555.3999999999996</v>
      </c>
      <c r="D4199" s="4">
        <v>2196854</v>
      </c>
    </row>
    <row r="4200" spans="1:4" x14ac:dyDescent="0.25">
      <c r="A4200" t="str">
        <f>T("   150990")</f>
        <v xml:space="preserve">   150990</v>
      </c>
      <c r="B4200" t="str">
        <f>T("   AUTRES")</f>
        <v xml:space="preserve">   AUTRES</v>
      </c>
      <c r="C4200" s="4">
        <v>48066</v>
      </c>
      <c r="D4200" s="4">
        <v>36682133</v>
      </c>
    </row>
    <row r="4201" spans="1:4" x14ac:dyDescent="0.25">
      <c r="A4201" t="str">
        <f>T("   151190")</f>
        <v xml:space="preserve">   151190</v>
      </c>
      <c r="B4201" t="str">
        <f>T("   AUTRES")</f>
        <v xml:space="preserve">   AUTRES</v>
      </c>
      <c r="C4201" s="4">
        <v>5213</v>
      </c>
      <c r="D4201" s="4">
        <v>1937977.56</v>
      </c>
    </row>
    <row r="4202" spans="1:4" x14ac:dyDescent="0.25">
      <c r="A4202" t="str">
        <f>T("   151221")</f>
        <v xml:space="preserve">   151221</v>
      </c>
      <c r="B4202" t="str">
        <f>T("   HUILE BRUTE, MEME DEPOURVUE DE GOSSYPOL")</f>
        <v xml:space="preserve">   HUILE BRUTE, MEME DEPOURVUE DE GOSSYPOL</v>
      </c>
      <c r="C4202" s="4">
        <v>231</v>
      </c>
      <c r="D4202" s="4">
        <v>94458</v>
      </c>
    </row>
    <row r="4203" spans="1:4" x14ac:dyDescent="0.25">
      <c r="A4203" t="str">
        <f>T("   151229")</f>
        <v xml:space="preserve">   151229</v>
      </c>
      <c r="B4203" t="str">
        <f>T("   AUTRES")</f>
        <v xml:space="preserve">   AUTRES</v>
      </c>
      <c r="C4203" s="4">
        <v>6930</v>
      </c>
      <c r="D4203" s="4">
        <v>3553532</v>
      </c>
    </row>
    <row r="4204" spans="1:4" x14ac:dyDescent="0.25">
      <c r="A4204" t="str">
        <f>T("   151419")</f>
        <v xml:space="preserve">   151419</v>
      </c>
      <c r="B4204" t="str">
        <f>T("   AUTRES")</f>
        <v xml:space="preserve">   AUTRES</v>
      </c>
      <c r="C4204" s="4">
        <v>1300</v>
      </c>
      <c r="D4204" s="4">
        <v>325000</v>
      </c>
    </row>
    <row r="4205" spans="1:4" x14ac:dyDescent="0.25">
      <c r="A4205" t="str">
        <f>T("   151529")</f>
        <v xml:space="preserve">   151529</v>
      </c>
      <c r="B4205" t="str">
        <f>T("   AUTRES")</f>
        <v xml:space="preserve">   AUTRES</v>
      </c>
      <c r="C4205" s="4">
        <v>600</v>
      </c>
      <c r="D4205" s="4">
        <v>150000</v>
      </c>
    </row>
    <row r="4206" spans="1:4" x14ac:dyDescent="0.25">
      <c r="A4206" t="str">
        <f>T("   151590")</f>
        <v xml:space="preserve">   151590</v>
      </c>
      <c r="B4206" t="str">
        <f>T("   AUTRES")</f>
        <v xml:space="preserve">   AUTRES</v>
      </c>
      <c r="C4206" s="4">
        <v>867</v>
      </c>
      <c r="D4206" s="4">
        <v>216750</v>
      </c>
    </row>
    <row r="4207" spans="1:4" x14ac:dyDescent="0.25">
      <c r="A4207" t="str">
        <f>T("   151620")</f>
        <v xml:space="preserve">   151620</v>
      </c>
      <c r="B4207" t="str">
        <f>T("   GRAISSES ET HUILES VEGETALES ET LEURS FRACTIONS")</f>
        <v xml:space="preserve">   GRAISSES ET HUILES VEGETALES ET LEURS FRACTIONS</v>
      </c>
      <c r="C4207" s="4">
        <v>670625</v>
      </c>
      <c r="D4207" s="4">
        <v>233736415</v>
      </c>
    </row>
    <row r="4208" spans="1:4" x14ac:dyDescent="0.25">
      <c r="A4208" t="str">
        <f>T("   151710")</f>
        <v xml:space="preserve">   151710</v>
      </c>
      <c r="B4208" t="str">
        <f>T("   Margarine, a l'exclusion de la margarine liquide")</f>
        <v xml:space="preserve">   Margarine, a l'exclusion de la margarine liquide</v>
      </c>
      <c r="C4208" s="4">
        <v>173906</v>
      </c>
      <c r="D4208" s="4">
        <v>76838425</v>
      </c>
    </row>
    <row r="4209" spans="1:4" x14ac:dyDescent="0.25">
      <c r="A4209" t="str">
        <f>T("   151790")</f>
        <v xml:space="preserve">   151790</v>
      </c>
      <c r="B4209" t="str">
        <f>T("   AUTRES")</f>
        <v xml:space="preserve">   AUTRES</v>
      </c>
      <c r="C4209" s="4">
        <v>144</v>
      </c>
      <c r="D4209" s="4">
        <v>364058</v>
      </c>
    </row>
    <row r="4210" spans="1:4" x14ac:dyDescent="0.25">
      <c r="A4210" t="str">
        <f>T("   160100")</f>
        <v xml:space="preserve">   160100</v>
      </c>
      <c r="B4210" t="str">
        <f>T("   SAUCISSES, SAUCISSONS ET PRODUITS SIMILAIRES, DE VIANDE, D'ABATS OU DE SANG; PREPARATIO")</f>
        <v xml:space="preserve">   SAUCISSES, SAUCISSONS ET PRODUITS SIMILAIRES, DE VIANDE, D'ABATS OU DE SANG; PREPARATIO</v>
      </c>
      <c r="C4210" s="4">
        <v>687183.3</v>
      </c>
      <c r="D4210" s="4">
        <v>519479796</v>
      </c>
    </row>
    <row r="4211" spans="1:4" x14ac:dyDescent="0.25">
      <c r="A4211" t="str">
        <f>T("   160210")</f>
        <v xml:space="preserve">   160210</v>
      </c>
      <c r="B4211" t="str">
        <f>T("   PREPARATIONS HOMOGENEISEES")</f>
        <v xml:space="preserve">   PREPARATIONS HOMOGENEISEES</v>
      </c>
      <c r="C4211" s="4">
        <v>9</v>
      </c>
      <c r="D4211" s="4">
        <v>15081</v>
      </c>
    </row>
    <row r="4212" spans="1:4" x14ac:dyDescent="0.25">
      <c r="A4212" t="str">
        <f>T("   160220")</f>
        <v xml:space="preserve">   160220</v>
      </c>
      <c r="B4212" t="str">
        <f>T("   DE FOIES DE TOUS ANIMAUX")</f>
        <v xml:space="preserve">   DE FOIES DE TOUS ANIMAUX</v>
      </c>
      <c r="C4212" s="4">
        <v>27</v>
      </c>
      <c r="D4212" s="4">
        <v>154807</v>
      </c>
    </row>
    <row r="4213" spans="1:4" x14ac:dyDescent="0.25">
      <c r="A4213" t="str">
        <f>T("   160231")</f>
        <v xml:space="preserve">   160231</v>
      </c>
      <c r="B4213" t="str">
        <f>T("   DE DINDE")</f>
        <v xml:space="preserve">   DE DINDE</v>
      </c>
      <c r="C4213" s="4">
        <v>22281</v>
      </c>
      <c r="D4213" s="4">
        <v>16730914</v>
      </c>
    </row>
    <row r="4214" spans="1:4" x14ac:dyDescent="0.25">
      <c r="A4214" t="str">
        <f>T("   160232")</f>
        <v xml:space="preserve">   160232</v>
      </c>
      <c r="B4214" t="str">
        <f>T("   DE COQS ET DE POULES")</f>
        <v xml:space="preserve">   DE COQS ET DE POULES</v>
      </c>
      <c r="C4214" s="4">
        <v>75461</v>
      </c>
      <c r="D4214" s="4">
        <v>56743335</v>
      </c>
    </row>
    <row r="4215" spans="1:4" x14ac:dyDescent="0.25">
      <c r="A4215" t="str">
        <f>T("   160239")</f>
        <v xml:space="preserve">   160239</v>
      </c>
      <c r="B4215" t="str">
        <f>T("   AUTRES")</f>
        <v xml:space="preserve">   AUTRES</v>
      </c>
      <c r="C4215" s="4">
        <v>30156</v>
      </c>
      <c r="D4215" s="4">
        <v>17298085</v>
      </c>
    </row>
    <row r="4216" spans="1:4" x14ac:dyDescent="0.25">
      <c r="A4216" t="str">
        <f>T("   160241")</f>
        <v xml:space="preserve">   160241</v>
      </c>
      <c r="B4216" t="str">
        <f>T("   JAMBONS ET LEURS MORCEAUX")</f>
        <v xml:space="preserve">   JAMBONS ET LEURS MORCEAUX</v>
      </c>
      <c r="C4216" s="4">
        <v>72464</v>
      </c>
      <c r="D4216" s="4">
        <v>47042808</v>
      </c>
    </row>
    <row r="4217" spans="1:4" x14ac:dyDescent="0.25">
      <c r="A4217" t="str">
        <f>T("   160242")</f>
        <v xml:space="preserve">   160242</v>
      </c>
      <c r="B4217" t="str">
        <f>T("   EPAULES ET LEURS MORCEAUX")</f>
        <v xml:space="preserve">   EPAULES ET LEURS MORCEAUX</v>
      </c>
      <c r="C4217" s="4">
        <v>32348</v>
      </c>
      <c r="D4217" s="4">
        <v>24445005</v>
      </c>
    </row>
    <row r="4218" spans="1:4" x14ac:dyDescent="0.25">
      <c r="A4218" t="str">
        <f>T("   160249")</f>
        <v xml:space="preserve">   160249</v>
      </c>
      <c r="B4218" t="str">
        <f>T("   AUTRES, Y COMPRIS LES MELANGES")</f>
        <v xml:space="preserve">   AUTRES, Y COMPRIS LES MELANGES</v>
      </c>
      <c r="C4218" s="4">
        <v>9642</v>
      </c>
      <c r="D4218" s="4">
        <v>9269231</v>
      </c>
    </row>
    <row r="4219" spans="1:4" x14ac:dyDescent="0.25">
      <c r="A4219" t="str">
        <f>T("   160250")</f>
        <v xml:space="preserve">   160250</v>
      </c>
      <c r="B4219" t="str">
        <f>T("   DE L'ESPECE BOVINE")</f>
        <v xml:space="preserve">   DE L'ESPECE BOVINE</v>
      </c>
      <c r="C4219" s="4">
        <v>22524</v>
      </c>
      <c r="D4219" s="4">
        <v>5462179</v>
      </c>
    </row>
    <row r="4220" spans="1:4" x14ac:dyDescent="0.25">
      <c r="A4220" t="str">
        <f>T("   160290")</f>
        <v xml:space="preserve">   160290</v>
      </c>
      <c r="B4220" t="str">
        <f>T("   AUTRES, Y COMPRIS LES PREPARATIONS DE SANG DE TOUS ANIMAUX")</f>
        <v xml:space="preserve">   AUTRES, Y COMPRIS LES PREPARATIONS DE SANG DE TOUS ANIMAUX</v>
      </c>
      <c r="C4220" s="4">
        <v>21648</v>
      </c>
      <c r="D4220" s="4">
        <v>4055421</v>
      </c>
    </row>
    <row r="4221" spans="1:4" x14ac:dyDescent="0.25">
      <c r="A4221" t="str">
        <f>T("   160411")</f>
        <v xml:space="preserve">   160411</v>
      </c>
      <c r="B4221" t="str">
        <f>T("   SAUMONS")</f>
        <v xml:space="preserve">   SAUMONS</v>
      </c>
      <c r="C4221" s="4">
        <v>1948</v>
      </c>
      <c r="D4221" s="4">
        <v>2640034</v>
      </c>
    </row>
    <row r="4222" spans="1:4" x14ac:dyDescent="0.25">
      <c r="A4222" t="str">
        <f>T("   160413")</f>
        <v xml:space="preserve">   160413</v>
      </c>
      <c r="B4222" t="str">
        <f>T("   SARDINES, SARDINELLES ET SPRATS OU ESPROTS")</f>
        <v xml:space="preserve">   SARDINES, SARDINELLES ET SPRATS OU ESPROTS</v>
      </c>
      <c r="C4222" s="4">
        <v>406</v>
      </c>
      <c r="D4222" s="4">
        <v>156413</v>
      </c>
    </row>
    <row r="4223" spans="1:4" x14ac:dyDescent="0.25">
      <c r="A4223" t="str">
        <f>T("   160414")</f>
        <v xml:space="preserve">   160414</v>
      </c>
      <c r="B4223" t="str">
        <f>T("   THONS, LISTAOS ET BONITES (SARDA SPP.)")</f>
        <v xml:space="preserve">   THONS, LISTAOS ET BONITES (SARDA SPP.)</v>
      </c>
      <c r="C4223" s="4">
        <v>15288</v>
      </c>
      <c r="D4223" s="4">
        <v>10540483</v>
      </c>
    </row>
    <row r="4224" spans="1:4" x14ac:dyDescent="0.25">
      <c r="A4224" t="str">
        <f>T("   160420")</f>
        <v xml:space="preserve">   160420</v>
      </c>
      <c r="B4224" t="str">
        <f>T("   Autres preparations et conserves de poissons")</f>
        <v xml:space="preserve">   Autres preparations et conserves de poissons</v>
      </c>
      <c r="C4224" s="4">
        <v>93939</v>
      </c>
      <c r="D4224" s="4">
        <v>94554012</v>
      </c>
    </row>
    <row r="4225" spans="1:4" x14ac:dyDescent="0.25">
      <c r="A4225" t="str">
        <f>T("   160590")</f>
        <v xml:space="preserve">   160590</v>
      </c>
      <c r="B4225" t="str">
        <f>T("   Conserves et preparations de mollusques et autres invertebres aquatiques")</f>
        <v xml:space="preserve">   Conserves et preparations de mollusques et autres invertebres aquatiques</v>
      </c>
      <c r="C4225" s="4">
        <v>308</v>
      </c>
      <c r="D4225" s="4">
        <v>658584</v>
      </c>
    </row>
    <row r="4226" spans="1:4" x14ac:dyDescent="0.25">
      <c r="A4226" t="str">
        <f>T("   170111")</f>
        <v xml:space="preserve">   170111</v>
      </c>
      <c r="B4226" t="str">
        <f>T("   SUCRES BRUTS DE CANNE,SANS AROMATISANTS NI COLORANTS")</f>
        <v xml:space="preserve">   SUCRES BRUTS DE CANNE,SANS AROMATISANTS NI COLORANTS</v>
      </c>
      <c r="C4226" s="4">
        <v>187688</v>
      </c>
      <c r="D4226" s="4">
        <v>77759936</v>
      </c>
    </row>
    <row r="4227" spans="1:4" x14ac:dyDescent="0.25">
      <c r="A4227" t="str">
        <f>T("   170191")</f>
        <v xml:space="preserve">   170191</v>
      </c>
      <c r="B4227" t="str">
        <f>T("   ADDITIONNES D'AROMATISANTS OU DE COLORANTS")</f>
        <v xml:space="preserve">   ADDITIONNES D'AROMATISANTS OU DE COLORANTS</v>
      </c>
      <c r="C4227" s="4">
        <v>726144</v>
      </c>
      <c r="D4227" s="4">
        <v>346699904</v>
      </c>
    </row>
    <row r="4228" spans="1:4" x14ac:dyDescent="0.25">
      <c r="A4228" t="str">
        <f>T("   170199")</f>
        <v xml:space="preserve">   170199</v>
      </c>
      <c r="B4228" t="str">
        <f>T("   AUTRES")</f>
        <v xml:space="preserve">   AUTRES</v>
      </c>
      <c r="C4228" s="4">
        <v>3498570</v>
      </c>
      <c r="D4228" s="4">
        <v>1400271446.404</v>
      </c>
    </row>
    <row r="4229" spans="1:4" x14ac:dyDescent="0.25">
      <c r="A4229" t="str">
        <f>T("   170219")</f>
        <v xml:space="preserve">   170219</v>
      </c>
      <c r="B4229" t="str">
        <f>T("   AUTRES")</f>
        <v xml:space="preserve">   AUTRES</v>
      </c>
      <c r="C4229" s="4">
        <v>117924</v>
      </c>
      <c r="D4229" s="4">
        <v>80776261</v>
      </c>
    </row>
    <row r="4230" spans="1:4" x14ac:dyDescent="0.25">
      <c r="A4230" t="str">
        <f>T("   170240")</f>
        <v xml:space="preserve">   170240</v>
      </c>
      <c r="B4230" t="str">
        <f>T("   GLUCOSE ET SIROP DE GLUCOSE, CONTENANT EN POIDS A L'ETAT SEC DE 20 % INCLUS A 50 % EX")</f>
        <v xml:space="preserve">   GLUCOSE ET SIROP DE GLUCOSE, CONTENANT EN POIDS A L'ETAT SEC DE 20 % INCLUS A 50 % EX</v>
      </c>
      <c r="C4230" s="4">
        <v>843</v>
      </c>
      <c r="D4230" s="4">
        <v>116762</v>
      </c>
    </row>
    <row r="4231" spans="1:4" x14ac:dyDescent="0.25">
      <c r="A4231" t="str">
        <f>T("   170290")</f>
        <v xml:space="preserve">   170290</v>
      </c>
      <c r="B4231" t="str">
        <f>T("   AUTRES, Y COMPRIS LE SUCRE INVERTI (OU INTERVERTI) ET LES AUTRES SUCRES ET SIROPS DE")</f>
        <v xml:space="preserve">   AUTRES, Y COMPRIS LE SUCRE INVERTI (OU INTERVERTI) ET LES AUTRES SUCRES ET SIROPS DE</v>
      </c>
      <c r="C4231" s="4">
        <v>8649</v>
      </c>
      <c r="D4231" s="4">
        <v>11494113</v>
      </c>
    </row>
    <row r="4232" spans="1:4" x14ac:dyDescent="0.25">
      <c r="A4232" t="str">
        <f>T("   170490")</f>
        <v xml:space="preserve">   170490</v>
      </c>
      <c r="B4232" t="str">
        <f>T("   AUTRES")</f>
        <v xml:space="preserve">   AUTRES</v>
      </c>
      <c r="C4232" s="4">
        <v>179157</v>
      </c>
      <c r="D4232" s="4">
        <v>159504315</v>
      </c>
    </row>
    <row r="4233" spans="1:4" x14ac:dyDescent="0.25">
      <c r="A4233" t="str">
        <f>T("   180400")</f>
        <v xml:space="preserve">   180400</v>
      </c>
      <c r="B4233" t="str">
        <f>T("   BEURRE, GRAISSE ET HUILE DE CACAO.")</f>
        <v xml:space="preserve">   BEURRE, GRAISSE ET HUILE DE CACAO.</v>
      </c>
      <c r="C4233" s="4">
        <v>3272</v>
      </c>
      <c r="D4233" s="4">
        <v>1593478</v>
      </c>
    </row>
    <row r="4234" spans="1:4" x14ac:dyDescent="0.25">
      <c r="A4234" t="str">
        <f>T("   180610")</f>
        <v xml:space="preserve">   180610</v>
      </c>
      <c r="B4234" t="str">
        <f>T("   POUDRE DE CACAO, AVEC ADDITION DE SUCRE OU D'AUTRES EDULCORANTS")</f>
        <v xml:space="preserve">   POUDRE DE CACAO, AVEC ADDITION DE SUCRE OU D'AUTRES EDULCORANTS</v>
      </c>
      <c r="C4234" s="4">
        <v>9305</v>
      </c>
      <c r="D4234" s="4">
        <v>6977749</v>
      </c>
    </row>
    <row r="4235" spans="1:4" x14ac:dyDescent="0.25">
      <c r="A4235" t="str">
        <f>T("   180631")</f>
        <v xml:space="preserve">   180631</v>
      </c>
      <c r="B4235" t="str">
        <f>T("   FOURRES")</f>
        <v xml:space="preserve">   FOURRES</v>
      </c>
      <c r="C4235" s="4">
        <v>3860</v>
      </c>
      <c r="D4235" s="4">
        <v>7045010</v>
      </c>
    </row>
    <row r="4236" spans="1:4" x14ac:dyDescent="0.25">
      <c r="A4236" t="str">
        <f>T("   180632")</f>
        <v xml:space="preserve">   180632</v>
      </c>
      <c r="B4236" t="str">
        <f>T("   NON FOURRES")</f>
        <v xml:space="preserve">   NON FOURRES</v>
      </c>
      <c r="C4236" s="4">
        <v>6700</v>
      </c>
      <c r="D4236" s="4">
        <v>11998267</v>
      </c>
    </row>
    <row r="4237" spans="1:4" x14ac:dyDescent="0.25">
      <c r="A4237" t="str">
        <f>T("   180690")</f>
        <v xml:space="preserve">   180690</v>
      </c>
      <c r="B4237" t="str">
        <f>T("   AUTRES")</f>
        <v xml:space="preserve">   AUTRES</v>
      </c>
      <c r="C4237" s="4">
        <v>15666</v>
      </c>
      <c r="D4237" s="4">
        <v>11639984</v>
      </c>
    </row>
    <row r="4238" spans="1:4" x14ac:dyDescent="0.25">
      <c r="A4238" t="str">
        <f>T("   190110")</f>
        <v xml:space="preserve">   190110</v>
      </c>
      <c r="B4238" t="str">
        <f>T("   PREPARATIONS POUR L'ALIMENTATION DES ENFANTS, CONDITIONNEES POUR LA VENTE AU DETAIL")</f>
        <v xml:space="preserve">   PREPARATIONS POUR L'ALIMENTATION DES ENFANTS, CONDITIONNEES POUR LA VENTE AU DETAIL</v>
      </c>
      <c r="C4238" s="4">
        <v>229486.2</v>
      </c>
      <c r="D4238" s="4">
        <v>515653661</v>
      </c>
    </row>
    <row r="4239" spans="1:4" x14ac:dyDescent="0.25">
      <c r="A4239" t="str">
        <f>T("   190120")</f>
        <v xml:space="preserve">   190120</v>
      </c>
      <c r="B4239" t="str">
        <f>T("   MELANGES ET PATES POUR LA PREPARATION DES PRODUITS DE LA BOULANGERIE, DE LA PATISSERI")</f>
        <v xml:space="preserve">   MELANGES ET PATES POUR LA PREPARATION DES PRODUITS DE LA BOULANGERIE, DE LA PATISSERI</v>
      </c>
      <c r="C4239" s="4">
        <v>20189</v>
      </c>
      <c r="D4239" s="4">
        <v>30220013</v>
      </c>
    </row>
    <row r="4240" spans="1:4" x14ac:dyDescent="0.25">
      <c r="A4240" t="str">
        <f>T("   190190")</f>
        <v xml:space="preserve">   190190</v>
      </c>
      <c r="B4240" t="str">
        <f>T("   AUTRES")</f>
        <v xml:space="preserve">   AUTRES</v>
      </c>
      <c r="C4240" s="4">
        <v>133607.04000000001</v>
      </c>
      <c r="D4240" s="4">
        <v>184377891</v>
      </c>
    </row>
    <row r="4241" spans="1:4" x14ac:dyDescent="0.25">
      <c r="A4241" t="str">
        <f>T("   190219")</f>
        <v xml:space="preserve">   190219</v>
      </c>
      <c r="B4241" t="str">
        <f>T("   AUTRES")</f>
        <v xml:space="preserve">   AUTRES</v>
      </c>
      <c r="C4241" s="4">
        <v>80268.5</v>
      </c>
      <c r="D4241" s="4">
        <v>38001075</v>
      </c>
    </row>
    <row r="4242" spans="1:4" x14ac:dyDescent="0.25">
      <c r="A4242" t="str">
        <f>T("   190230")</f>
        <v xml:space="preserve">   190230</v>
      </c>
      <c r="B4242" t="str">
        <f>T("   AUTRES PATES ALIMENTAIRES")</f>
        <v xml:space="preserve">   AUTRES PATES ALIMENTAIRES</v>
      </c>
      <c r="C4242" s="4">
        <v>272000</v>
      </c>
      <c r="D4242" s="4">
        <v>77556400</v>
      </c>
    </row>
    <row r="4243" spans="1:4" x14ac:dyDescent="0.25">
      <c r="A4243" t="str">
        <f>T("   190240")</f>
        <v xml:space="preserve">   190240</v>
      </c>
      <c r="B4243" t="str">
        <f>T("   COUSCOUS")</f>
        <v xml:space="preserve">   COUSCOUS</v>
      </c>
      <c r="C4243" s="4">
        <v>283906</v>
      </c>
      <c r="D4243" s="4">
        <v>74688957</v>
      </c>
    </row>
    <row r="4244" spans="1:4" x14ac:dyDescent="0.25">
      <c r="A4244" t="str">
        <f>T("   190410")</f>
        <v xml:space="preserve">   190410</v>
      </c>
      <c r="B4244" t="str">
        <f>T("   PRODUITS A BASE DE CEREALES OBTENUS PAR SOUFFLAGE OU GRILLAGE")</f>
        <v xml:space="preserve">   PRODUITS A BASE DE CEREALES OBTENUS PAR SOUFFLAGE OU GRILLAGE</v>
      </c>
      <c r="C4244" s="4">
        <v>247</v>
      </c>
      <c r="D4244" s="4">
        <v>71500</v>
      </c>
    </row>
    <row r="4245" spans="1:4" x14ac:dyDescent="0.25">
      <c r="A4245" t="str">
        <f>T("   190490")</f>
        <v xml:space="preserve">   190490</v>
      </c>
      <c r="B4245" t="str">
        <f>T("   AUTRES")</f>
        <v xml:space="preserve">   AUTRES</v>
      </c>
      <c r="C4245" s="4">
        <v>150</v>
      </c>
      <c r="D4245" s="4">
        <v>239425</v>
      </c>
    </row>
    <row r="4246" spans="1:4" x14ac:dyDescent="0.25">
      <c r="A4246" t="str">
        <f>T("   190510")</f>
        <v xml:space="preserve">   190510</v>
      </c>
      <c r="B4246" t="str">
        <f>T("   PAIN CROUSTILLANT DIT «KNäCKEBROT»")</f>
        <v xml:space="preserve">   PAIN CROUSTILLANT DIT «KNäCKEBROT»</v>
      </c>
      <c r="C4246" s="4">
        <v>67</v>
      </c>
      <c r="D4246" s="4">
        <v>97251</v>
      </c>
    </row>
    <row r="4247" spans="1:4" x14ac:dyDescent="0.25">
      <c r="A4247" t="str">
        <f>T("   190520")</f>
        <v xml:space="preserve">   190520</v>
      </c>
      <c r="B4247" t="str">
        <f>T("   PAIN D’EPICES")</f>
        <v xml:space="preserve">   PAIN D’EPICES</v>
      </c>
      <c r="C4247" s="4">
        <v>826</v>
      </c>
      <c r="D4247" s="4">
        <v>124632</v>
      </c>
    </row>
    <row r="4248" spans="1:4" x14ac:dyDescent="0.25">
      <c r="A4248" t="str">
        <f>T("   190531")</f>
        <v xml:space="preserve">   190531</v>
      </c>
      <c r="B4248" t="str">
        <f>T("   BISCUITS ADDITIONNES D’EDULCORANTS")</f>
        <v xml:space="preserve">   BISCUITS ADDITIONNES D’EDULCORANTS</v>
      </c>
      <c r="C4248" s="4">
        <v>157017</v>
      </c>
      <c r="D4248" s="4">
        <v>84790886</v>
      </c>
    </row>
    <row r="4249" spans="1:4" x14ac:dyDescent="0.25">
      <c r="A4249" t="str">
        <f>T("   190540")</f>
        <v xml:space="preserve">   190540</v>
      </c>
      <c r="B4249" t="str">
        <f>T("   BISCOTTES, PAIN GRILLE ET PRODUITS SIMILAIRES GRILLES")</f>
        <v xml:space="preserve">   BISCOTTES, PAIN GRILLE ET PRODUITS SIMILAIRES GRILLES</v>
      </c>
      <c r="C4249" s="4">
        <v>36815</v>
      </c>
      <c r="D4249" s="4">
        <v>29398816</v>
      </c>
    </row>
    <row r="4250" spans="1:4" x14ac:dyDescent="0.25">
      <c r="A4250" t="str">
        <f>T("   190590")</f>
        <v xml:space="preserve">   190590</v>
      </c>
      <c r="B4250" t="str">
        <f>T("   AUTRES")</f>
        <v xml:space="preserve">   AUTRES</v>
      </c>
      <c r="C4250" s="4">
        <v>807667</v>
      </c>
      <c r="D4250" s="4">
        <v>586955816</v>
      </c>
    </row>
    <row r="4251" spans="1:4" x14ac:dyDescent="0.25">
      <c r="A4251" t="str">
        <f>T("   200290")</f>
        <v xml:space="preserve">   200290</v>
      </c>
      <c r="B4251" t="str">
        <f>T("   AUTRES")</f>
        <v xml:space="preserve">   AUTRES</v>
      </c>
      <c r="C4251" s="4">
        <v>4226</v>
      </c>
      <c r="D4251" s="4">
        <v>1422121</v>
      </c>
    </row>
    <row r="4252" spans="1:4" x14ac:dyDescent="0.25">
      <c r="A4252" t="str">
        <f>T("   200310")</f>
        <v xml:space="preserve">   200310</v>
      </c>
      <c r="B4252" t="str">
        <f>T("   CHAMPIGNONS DU GENRE AGARICUS")</f>
        <v xml:space="preserve">   CHAMPIGNONS DU GENRE AGARICUS</v>
      </c>
      <c r="C4252" s="4">
        <v>7410</v>
      </c>
      <c r="D4252" s="4">
        <v>3323502</v>
      </c>
    </row>
    <row r="4253" spans="1:4" x14ac:dyDescent="0.25">
      <c r="A4253" t="str">
        <f>T("   200390")</f>
        <v xml:space="preserve">   200390</v>
      </c>
      <c r="B4253" t="str">
        <f>T("   AUTRES")</f>
        <v xml:space="preserve">   AUTRES</v>
      </c>
      <c r="C4253" s="4">
        <v>28926</v>
      </c>
      <c r="D4253" s="4">
        <v>13378305</v>
      </c>
    </row>
    <row r="4254" spans="1:4" x14ac:dyDescent="0.25">
      <c r="A4254" t="str">
        <f>T("   200410")</f>
        <v xml:space="preserve">   200410</v>
      </c>
      <c r="B4254" t="str">
        <f>T("   POMMES DE TERRE")</f>
        <v xml:space="preserve">   POMMES DE TERRE</v>
      </c>
      <c r="C4254" s="4">
        <v>188477</v>
      </c>
      <c r="D4254" s="4">
        <v>59008196</v>
      </c>
    </row>
    <row r="4255" spans="1:4" x14ac:dyDescent="0.25">
      <c r="A4255" t="str">
        <f>T("   200490")</f>
        <v xml:space="preserve">   200490</v>
      </c>
      <c r="B4255" t="str">
        <f>T("   AUTRES LEGUMES ET MELANGES DE LEGUMES")</f>
        <v xml:space="preserve">   AUTRES LEGUMES ET MELANGES DE LEGUMES</v>
      </c>
      <c r="C4255" s="4">
        <v>363009</v>
      </c>
      <c r="D4255" s="4">
        <v>84054062</v>
      </c>
    </row>
    <row r="4256" spans="1:4" x14ac:dyDescent="0.25">
      <c r="A4256" t="str">
        <f>T("   200510")</f>
        <v xml:space="preserve">   200510</v>
      </c>
      <c r="B4256" t="str">
        <f>T("   LEGUMES HOMOGENEISES")</f>
        <v xml:space="preserve">   LEGUMES HOMOGENEISES</v>
      </c>
      <c r="C4256" s="4">
        <v>22654</v>
      </c>
      <c r="D4256" s="4">
        <v>3144975</v>
      </c>
    </row>
    <row r="4257" spans="1:4" x14ac:dyDescent="0.25">
      <c r="A4257" t="str">
        <f>T("   200520")</f>
        <v xml:space="preserve">   200520</v>
      </c>
      <c r="B4257" t="str">
        <f>T("   POMMES DE TERRE")</f>
        <v xml:space="preserve">   POMMES DE TERRE</v>
      </c>
      <c r="C4257" s="4">
        <v>9295</v>
      </c>
      <c r="D4257" s="4">
        <v>1829473</v>
      </c>
    </row>
    <row r="4258" spans="1:4" x14ac:dyDescent="0.25">
      <c r="A4258" t="str">
        <f>T("   200540")</f>
        <v xml:space="preserve">   200540</v>
      </c>
      <c r="B4258" t="str">
        <f>T("   POIS (PISUM SATIVUM)")</f>
        <v xml:space="preserve">   POIS (PISUM SATIVUM)</v>
      </c>
      <c r="C4258" s="4">
        <v>154638</v>
      </c>
      <c r="D4258" s="4">
        <v>34016890</v>
      </c>
    </row>
    <row r="4259" spans="1:4" x14ac:dyDescent="0.25">
      <c r="A4259" t="str">
        <f>T("   200559")</f>
        <v xml:space="preserve">   200559</v>
      </c>
      <c r="B4259" t="str">
        <f>T("   AUTRES")</f>
        <v xml:space="preserve">   AUTRES</v>
      </c>
      <c r="C4259" s="4">
        <v>212092</v>
      </c>
      <c r="D4259" s="4">
        <v>48986496</v>
      </c>
    </row>
    <row r="4260" spans="1:4" x14ac:dyDescent="0.25">
      <c r="A4260" t="str">
        <f>T("   200570")</f>
        <v xml:space="preserve">   200570</v>
      </c>
      <c r="B4260" t="str">
        <f>T("   OLIVES")</f>
        <v xml:space="preserve">   OLIVES</v>
      </c>
      <c r="C4260" s="4">
        <v>65664</v>
      </c>
      <c r="D4260" s="4">
        <v>16975615</v>
      </c>
    </row>
    <row r="4261" spans="1:4" x14ac:dyDescent="0.25">
      <c r="A4261" t="str">
        <f>T("   200599")</f>
        <v xml:space="preserve">   200599</v>
      </c>
      <c r="B4261" t="str">
        <f>T("   AUTRES")</f>
        <v xml:space="preserve">   AUTRES</v>
      </c>
      <c r="C4261" s="4">
        <v>54998</v>
      </c>
      <c r="D4261" s="4">
        <v>16735508</v>
      </c>
    </row>
    <row r="4262" spans="1:4" x14ac:dyDescent="0.25">
      <c r="A4262" t="str">
        <f>T("   200710")</f>
        <v xml:space="preserve">   200710</v>
      </c>
      <c r="B4262" t="str">
        <f>T("   PREPARATIONS HOMOGENEISEES")</f>
        <v xml:space="preserve">   PREPARATIONS HOMOGENEISEES</v>
      </c>
      <c r="C4262" s="4">
        <v>669</v>
      </c>
      <c r="D4262" s="4">
        <v>2380631</v>
      </c>
    </row>
    <row r="4263" spans="1:4" x14ac:dyDescent="0.25">
      <c r="A4263" t="str">
        <f>T("   200799")</f>
        <v xml:space="preserve">   200799</v>
      </c>
      <c r="B4263" t="str">
        <f>T("   AUTRES")</f>
        <v xml:space="preserve">   AUTRES</v>
      </c>
      <c r="C4263" s="4">
        <v>58833</v>
      </c>
      <c r="D4263" s="4">
        <v>31725270</v>
      </c>
    </row>
    <row r="4264" spans="1:4" x14ac:dyDescent="0.25">
      <c r="A4264" t="str">
        <f>T("   200819")</f>
        <v xml:space="preserve">   200819</v>
      </c>
      <c r="B4264" t="str">
        <f>T("   AUTRES, Y COMPRIS LES MELANGES")</f>
        <v xml:space="preserve">   AUTRES, Y COMPRIS LES MELANGES</v>
      </c>
      <c r="C4264" s="4">
        <v>5601</v>
      </c>
      <c r="D4264" s="4">
        <v>1799338</v>
      </c>
    </row>
    <row r="4265" spans="1:4" x14ac:dyDescent="0.25">
      <c r="A4265" t="str">
        <f>T("   200830")</f>
        <v xml:space="preserve">   200830</v>
      </c>
      <c r="B4265" t="str">
        <f>T("   AGRUMES")</f>
        <v xml:space="preserve">   AGRUMES</v>
      </c>
      <c r="C4265" s="4">
        <v>612</v>
      </c>
      <c r="D4265" s="4">
        <v>447365</v>
      </c>
    </row>
    <row r="4266" spans="1:4" x14ac:dyDescent="0.25">
      <c r="A4266" t="str">
        <f>T("   200899")</f>
        <v xml:space="preserve">   200899</v>
      </c>
      <c r="B4266" t="str">
        <f>T("   AUTRES")</f>
        <v xml:space="preserve">   AUTRES</v>
      </c>
      <c r="C4266" s="4">
        <v>18801</v>
      </c>
      <c r="D4266" s="4">
        <v>5319180</v>
      </c>
    </row>
    <row r="4267" spans="1:4" x14ac:dyDescent="0.25">
      <c r="A4267" t="str">
        <f>T("   200919")</f>
        <v xml:space="preserve">   200919</v>
      </c>
      <c r="B4267" t="str">
        <f>T("   AUTRES")</f>
        <v xml:space="preserve">   AUTRES</v>
      </c>
      <c r="C4267" s="4">
        <v>5481</v>
      </c>
      <c r="D4267" s="4">
        <v>2326914</v>
      </c>
    </row>
    <row r="4268" spans="1:4" x14ac:dyDescent="0.25">
      <c r="A4268" t="str">
        <f>T("   200949")</f>
        <v xml:space="preserve">   200949</v>
      </c>
      <c r="B4268" t="str">
        <f>T("   AUTRES")</f>
        <v xml:space="preserve">   AUTRES</v>
      </c>
      <c r="C4268" s="4">
        <v>18297</v>
      </c>
      <c r="D4268" s="4">
        <v>3230000</v>
      </c>
    </row>
    <row r="4269" spans="1:4" x14ac:dyDescent="0.25">
      <c r="A4269" t="str">
        <f>T("   200969")</f>
        <v xml:space="preserve">   200969</v>
      </c>
      <c r="B4269" t="str">
        <f>T("   AUTRES")</f>
        <v xml:space="preserve">   AUTRES</v>
      </c>
      <c r="C4269" s="4">
        <v>29307</v>
      </c>
      <c r="D4269" s="4">
        <v>7383177</v>
      </c>
    </row>
    <row r="4270" spans="1:4" x14ac:dyDescent="0.25">
      <c r="A4270" t="str">
        <f>T("   200970")</f>
        <v xml:space="preserve">   200970</v>
      </c>
      <c r="B4270" t="str">
        <f>T("   JUS DE POMMES SANS ALCOOL,SUCRE OU NON")</f>
        <v xml:space="preserve">   JUS DE POMMES SANS ALCOOL,SUCRE OU NON</v>
      </c>
      <c r="C4270" s="4">
        <v>5</v>
      </c>
      <c r="D4270" s="4">
        <v>21732</v>
      </c>
    </row>
    <row r="4271" spans="1:4" x14ac:dyDescent="0.25">
      <c r="A4271" t="str">
        <f>T("   200971")</f>
        <v xml:space="preserve">   200971</v>
      </c>
      <c r="B4271" t="str">
        <f>T("   D’UNE VALEUR BRIX N’EXCEDANT PAS 20")</f>
        <v xml:space="preserve">   D’UNE VALEUR BRIX N’EXCEDANT PAS 20</v>
      </c>
      <c r="C4271" s="4">
        <v>3</v>
      </c>
      <c r="D4271" s="4">
        <v>11348</v>
      </c>
    </row>
    <row r="4272" spans="1:4" x14ac:dyDescent="0.25">
      <c r="A4272" t="str">
        <f>T("   200979")</f>
        <v xml:space="preserve">   200979</v>
      </c>
      <c r="B4272" t="str">
        <f>T("   AUTRES")</f>
        <v xml:space="preserve">   AUTRES</v>
      </c>
      <c r="C4272" s="4">
        <v>71</v>
      </c>
      <c r="D4272" s="4">
        <v>136100</v>
      </c>
    </row>
    <row r="4273" spans="1:4" x14ac:dyDescent="0.25">
      <c r="A4273" t="str">
        <f>T("   200980")</f>
        <v xml:space="preserve">   200980</v>
      </c>
      <c r="B4273" t="str">
        <f>T("   AUTRES JUS DE FRUITS OU DE LEGUMES,SANS ALCOOL,SUCRES OU NON")</f>
        <v xml:space="preserve">   AUTRES JUS DE FRUITS OU DE LEGUMES,SANS ALCOOL,SUCRES OU NON</v>
      </c>
      <c r="C4273" s="4">
        <v>166027</v>
      </c>
      <c r="D4273" s="4">
        <v>60690787</v>
      </c>
    </row>
    <row r="4274" spans="1:4" x14ac:dyDescent="0.25">
      <c r="A4274" t="str">
        <f>T("   200990")</f>
        <v xml:space="preserve">   200990</v>
      </c>
      <c r="B4274" t="str">
        <f>T("   MELANGES DE JUS")</f>
        <v xml:space="preserve">   MELANGES DE JUS</v>
      </c>
      <c r="C4274" s="4">
        <v>84634</v>
      </c>
      <c r="D4274" s="4">
        <v>27855278</v>
      </c>
    </row>
    <row r="4275" spans="1:4" x14ac:dyDescent="0.25">
      <c r="A4275" t="str">
        <f>T("   210111")</f>
        <v xml:space="preserve">   210111</v>
      </c>
      <c r="B4275" t="str">
        <f>T("   EXTRAITS, ESSENCES ET CONCENTRES")</f>
        <v xml:space="preserve">   EXTRAITS, ESSENCES ET CONCENTRES</v>
      </c>
      <c r="C4275" s="4">
        <v>9873</v>
      </c>
      <c r="D4275" s="4">
        <v>8463196</v>
      </c>
    </row>
    <row r="4276" spans="1:4" x14ac:dyDescent="0.25">
      <c r="A4276" t="str">
        <f>T("   210130")</f>
        <v xml:space="preserve">   210130</v>
      </c>
      <c r="B4276" t="str">
        <f>T("   CHICOREE TORREFIEE ET AUTRES SUCCEDANES TORREFIES DU CAFE ET LEURS EXTRAITS, ESSENCES")</f>
        <v xml:space="preserve">   CHICOREE TORREFIEE ET AUTRES SUCCEDANES TORREFIES DU CAFE ET LEURS EXTRAITS, ESSENCES</v>
      </c>
      <c r="C4276" s="4">
        <v>37603</v>
      </c>
      <c r="D4276" s="4">
        <v>17206743</v>
      </c>
    </row>
    <row r="4277" spans="1:4" x14ac:dyDescent="0.25">
      <c r="A4277" t="str">
        <f>T("   210210")</f>
        <v xml:space="preserve">   210210</v>
      </c>
      <c r="B4277" t="str">
        <f>T("   Levures vivantes")</f>
        <v xml:space="preserve">   Levures vivantes</v>
      </c>
      <c r="C4277" s="4">
        <v>34200</v>
      </c>
      <c r="D4277" s="4">
        <v>8399896</v>
      </c>
    </row>
    <row r="4278" spans="1:4" x14ac:dyDescent="0.25">
      <c r="A4278" t="str">
        <f>T("   210230")</f>
        <v xml:space="preserve">   210230</v>
      </c>
      <c r="B4278" t="str">
        <f>T("   POUDRES A LEVER PREPAREES")</f>
        <v xml:space="preserve">   POUDRES A LEVER PREPAREES</v>
      </c>
      <c r="C4278" s="4">
        <v>368300</v>
      </c>
      <c r="D4278" s="4">
        <v>274485865</v>
      </c>
    </row>
    <row r="4279" spans="1:4" x14ac:dyDescent="0.25">
      <c r="A4279" t="str">
        <f>T("   210330")</f>
        <v xml:space="preserve">   210330</v>
      </c>
      <c r="B4279" t="str">
        <f>T("   FARINE DE MOUTARDE ET MOUTARDE PREPAREE")</f>
        <v xml:space="preserve">   FARINE DE MOUTARDE ET MOUTARDE PREPAREE</v>
      </c>
      <c r="C4279" s="4">
        <v>31658</v>
      </c>
      <c r="D4279" s="4">
        <v>6430685</v>
      </c>
    </row>
    <row r="4280" spans="1:4" x14ac:dyDescent="0.25">
      <c r="A4280" t="str">
        <f>T("   210390")</f>
        <v xml:space="preserve">   210390</v>
      </c>
      <c r="B4280" t="str">
        <f>T("   AUTRES")</f>
        <v xml:space="preserve">   AUTRES</v>
      </c>
      <c r="C4280" s="4">
        <v>476078.44</v>
      </c>
      <c r="D4280" s="4">
        <v>272970109</v>
      </c>
    </row>
    <row r="4281" spans="1:4" x14ac:dyDescent="0.25">
      <c r="A4281" t="str">
        <f>T("   210410")</f>
        <v xml:space="preserve">   210410</v>
      </c>
      <c r="B4281" t="str">
        <f>T("   PREPARATIONS POUR SOUPES, POTAGES OU BOUILLONS; SOUPES, POTAGES OU BOUILLONS PREPARES")</f>
        <v xml:space="preserve">   PREPARATIONS POUR SOUPES, POTAGES OU BOUILLONS; SOUPES, POTAGES OU BOUILLONS PREPARES</v>
      </c>
      <c r="C4281" s="4">
        <v>61459</v>
      </c>
      <c r="D4281" s="4">
        <v>33408985</v>
      </c>
    </row>
    <row r="4282" spans="1:4" x14ac:dyDescent="0.25">
      <c r="A4282" t="str">
        <f>T("   210420")</f>
        <v xml:space="preserve">   210420</v>
      </c>
      <c r="B4282" t="str">
        <f>T("   PREPARATIONS ALIMENTAIRES COMPOSITES HOMOGENEISEES")</f>
        <v xml:space="preserve">   PREPARATIONS ALIMENTAIRES COMPOSITES HOMOGENEISEES</v>
      </c>
      <c r="C4282" s="4">
        <v>21438</v>
      </c>
      <c r="D4282" s="4">
        <v>132001581</v>
      </c>
    </row>
    <row r="4283" spans="1:4" x14ac:dyDescent="0.25">
      <c r="A4283" t="str">
        <f>T("   210500")</f>
        <v xml:space="preserve">   210500</v>
      </c>
      <c r="B4283" t="str">
        <f>T("   GLACES DE CONSOMMATION, MEME CONTENANT DU CACAO.")</f>
        <v xml:space="preserve">   GLACES DE CONSOMMATION, MEME CONTENANT DU CACAO.</v>
      </c>
      <c r="C4283" s="4">
        <v>112711</v>
      </c>
      <c r="D4283" s="4">
        <v>99836101</v>
      </c>
    </row>
    <row r="4284" spans="1:4" x14ac:dyDescent="0.25">
      <c r="A4284" t="str">
        <f>T("   210610")</f>
        <v xml:space="preserve">   210610</v>
      </c>
      <c r="B4284" t="str">
        <f>T("   CONCENTRATS DE PROTEINES ET SUBSTANCES PROTEIQUES TEXTUREES")</f>
        <v xml:space="preserve">   CONCENTRATS DE PROTEINES ET SUBSTANCES PROTEIQUES TEXTUREES</v>
      </c>
      <c r="C4284" s="4">
        <v>187</v>
      </c>
      <c r="D4284" s="4">
        <v>293543</v>
      </c>
    </row>
    <row r="4285" spans="1:4" x14ac:dyDescent="0.25">
      <c r="A4285" t="str">
        <f>T("   210690")</f>
        <v xml:space="preserve">   210690</v>
      </c>
      <c r="B4285" t="str">
        <f>T("   AUTRES")</f>
        <v xml:space="preserve">   AUTRES</v>
      </c>
      <c r="C4285" s="4">
        <v>422809.3</v>
      </c>
      <c r="D4285" s="4">
        <v>398778479</v>
      </c>
    </row>
    <row r="4286" spans="1:4" x14ac:dyDescent="0.25">
      <c r="A4286" t="str">
        <f>T("   220110")</f>
        <v xml:space="preserve">   220110</v>
      </c>
      <c r="B4286" t="str">
        <f>T("   EAUX MINERALES ET EAUX GAZEIFIEES")</f>
        <v xml:space="preserve">   EAUX MINERALES ET EAUX GAZEIFIEES</v>
      </c>
      <c r="C4286" s="4">
        <v>447513</v>
      </c>
      <c r="D4286" s="4">
        <v>89682984</v>
      </c>
    </row>
    <row r="4287" spans="1:4" x14ac:dyDescent="0.25">
      <c r="A4287" t="str">
        <f>T("   220190")</f>
        <v xml:space="preserve">   220190</v>
      </c>
      <c r="B4287" t="str">
        <f>T("   AUTRES")</f>
        <v xml:space="preserve">   AUTRES</v>
      </c>
      <c r="C4287" s="4">
        <v>56266</v>
      </c>
      <c r="D4287" s="4">
        <v>11123152</v>
      </c>
    </row>
    <row r="4288" spans="1:4" x14ac:dyDescent="0.25">
      <c r="A4288" t="str">
        <f>T("   220210")</f>
        <v xml:space="preserve">   220210</v>
      </c>
      <c r="B4288" t="str">
        <f>T("   EAUX, Y COMPRIS LES EAUX MINERALES ET LES EAUX GAZEIFIEES, ADDITIONNEES DE SUCRE OU D")</f>
        <v xml:space="preserve">   EAUX, Y COMPRIS LES EAUX MINERALES ET LES EAUX GAZEIFIEES, ADDITIONNEES DE SUCRE OU D</v>
      </c>
      <c r="C4288" s="4">
        <v>28272</v>
      </c>
      <c r="D4288" s="4">
        <v>9227085</v>
      </c>
    </row>
    <row r="4289" spans="1:4" x14ac:dyDescent="0.25">
      <c r="A4289" t="str">
        <f>T("   220290")</f>
        <v xml:space="preserve">   220290</v>
      </c>
      <c r="B4289" t="str">
        <f>T("   AUTRES")</f>
        <v xml:space="preserve">   AUTRES</v>
      </c>
      <c r="C4289" s="4">
        <v>643688</v>
      </c>
      <c r="D4289" s="4">
        <v>208344353</v>
      </c>
    </row>
    <row r="4290" spans="1:4" x14ac:dyDescent="0.25">
      <c r="A4290" t="str">
        <f>T("   220300")</f>
        <v xml:space="preserve">   220300</v>
      </c>
      <c r="B4290" t="str">
        <f>T("   BIERES DE MALT.")</f>
        <v xml:space="preserve">   BIERES DE MALT.</v>
      </c>
      <c r="C4290" s="4">
        <v>420132</v>
      </c>
      <c r="D4290" s="4">
        <v>76959816</v>
      </c>
    </row>
    <row r="4291" spans="1:4" x14ac:dyDescent="0.25">
      <c r="A4291" t="str">
        <f>T("   220410")</f>
        <v xml:space="preserve">   220410</v>
      </c>
      <c r="B4291" t="str">
        <f>T("   Vins mousseux")</f>
        <v xml:space="preserve">   Vins mousseux</v>
      </c>
      <c r="C4291" s="4">
        <v>24455</v>
      </c>
      <c r="D4291" s="4">
        <v>45242871</v>
      </c>
    </row>
    <row r="4292" spans="1:4" x14ac:dyDescent="0.25">
      <c r="A4292" t="str">
        <f>T("   220421")</f>
        <v xml:space="preserve">   220421</v>
      </c>
      <c r="B4292" t="str">
        <f>T("   EN RECIPIENTS D'UNE CONTENANCE N'EXCEDANT PAS 2 L")</f>
        <v xml:space="preserve">   EN RECIPIENTS D'UNE CONTENANCE N'EXCEDANT PAS 2 L</v>
      </c>
      <c r="C4292" s="4">
        <v>351775</v>
      </c>
      <c r="D4292" s="4">
        <v>225705797</v>
      </c>
    </row>
    <row r="4293" spans="1:4" x14ac:dyDescent="0.25">
      <c r="A4293" t="str">
        <f>T("   220429")</f>
        <v xml:space="preserve">   220429</v>
      </c>
      <c r="B4293" t="str">
        <f>T("   AUTRES")</f>
        <v xml:space="preserve">   AUTRES</v>
      </c>
      <c r="C4293" s="4">
        <v>396959.62</v>
      </c>
      <c r="D4293" s="4">
        <v>130168712</v>
      </c>
    </row>
    <row r="4294" spans="1:4" x14ac:dyDescent="0.25">
      <c r="A4294" t="str">
        <f>T("   220430")</f>
        <v xml:space="preserve">   220430</v>
      </c>
      <c r="B4294" t="str">
        <f>T("   AUTRES MOUTS DE RAISIN")</f>
        <v xml:space="preserve">   AUTRES MOUTS DE RAISIN</v>
      </c>
      <c r="C4294" s="4">
        <v>1181</v>
      </c>
      <c r="D4294" s="4">
        <v>754213</v>
      </c>
    </row>
    <row r="4295" spans="1:4" x14ac:dyDescent="0.25">
      <c r="A4295" t="str">
        <f>T("   220590")</f>
        <v xml:space="preserve">   220590</v>
      </c>
      <c r="B4295" t="str">
        <f>T("   AUTRES")</f>
        <v xml:space="preserve">   AUTRES</v>
      </c>
      <c r="C4295" s="4">
        <v>18205</v>
      </c>
      <c r="D4295" s="4">
        <v>9304792</v>
      </c>
    </row>
    <row r="4296" spans="1:4" x14ac:dyDescent="0.25">
      <c r="A4296" t="str">
        <f>T("   220600")</f>
        <v xml:space="preserve">   220600</v>
      </c>
      <c r="B4296" t="str">
        <f>T("   AUTRES BOISSONS FERMENTEES (CIDRE, POIRE, HYDROMEL, PAR EXEMPLE); MELANGES DE BOISSONS")</f>
        <v xml:space="preserve">   AUTRES BOISSONS FERMENTEES (CIDRE, POIRE, HYDROMEL, PAR EXEMPLE); MELANGES DE BOISSONS</v>
      </c>
      <c r="C4296" s="4">
        <v>275215</v>
      </c>
      <c r="D4296" s="4">
        <v>58255497</v>
      </c>
    </row>
    <row r="4297" spans="1:4" x14ac:dyDescent="0.25">
      <c r="A4297" t="str">
        <f>T("   220720")</f>
        <v xml:space="preserve">   220720</v>
      </c>
      <c r="B4297" t="str">
        <f>T("   ALCOOL ETHYLIQUE ET EAUXDEVIE DENATURES DE TOUS TITRES")</f>
        <v xml:space="preserve">   ALCOOL ETHYLIQUE ET EAUXDEVIE DENATURES DE TOUS TITRES</v>
      </c>
      <c r="C4297" s="4">
        <v>10</v>
      </c>
      <c r="D4297" s="4">
        <v>132504</v>
      </c>
    </row>
    <row r="4298" spans="1:4" x14ac:dyDescent="0.25">
      <c r="A4298" t="str">
        <f>T("   220830")</f>
        <v xml:space="preserve">   220830</v>
      </c>
      <c r="B4298" t="str">
        <f>T("   Whiskies")</f>
        <v xml:space="preserve">   Whiskies</v>
      </c>
      <c r="C4298" s="4">
        <v>8129</v>
      </c>
      <c r="D4298" s="4">
        <v>5728498</v>
      </c>
    </row>
    <row r="4299" spans="1:4" x14ac:dyDescent="0.25">
      <c r="A4299" t="str">
        <f>T("   220850")</f>
        <v xml:space="preserve">   220850</v>
      </c>
      <c r="B4299" t="str">
        <f>T("   GIN ET GENIEVRE")</f>
        <v xml:space="preserve">   GIN ET GENIEVRE</v>
      </c>
      <c r="C4299" s="4">
        <v>50292</v>
      </c>
      <c r="D4299" s="4">
        <v>8935303</v>
      </c>
    </row>
    <row r="4300" spans="1:4" x14ac:dyDescent="0.25">
      <c r="A4300" t="str">
        <f>T("   220860")</f>
        <v xml:space="preserve">   220860</v>
      </c>
      <c r="B4300" t="str">
        <f>T("   VODKA")</f>
        <v xml:space="preserve">   VODKA</v>
      </c>
      <c r="C4300" s="4">
        <v>41</v>
      </c>
      <c r="D4300" s="4">
        <v>8000</v>
      </c>
    </row>
    <row r="4301" spans="1:4" x14ac:dyDescent="0.25">
      <c r="A4301" t="str">
        <f>T("   220870")</f>
        <v xml:space="preserve">   220870</v>
      </c>
      <c r="B4301" t="str">
        <f>T("   LIQUEURS")</f>
        <v xml:space="preserve">   LIQUEURS</v>
      </c>
      <c r="C4301" s="4">
        <v>41688</v>
      </c>
      <c r="D4301" s="4">
        <v>32306753</v>
      </c>
    </row>
    <row r="4302" spans="1:4" x14ac:dyDescent="0.25">
      <c r="A4302" t="str">
        <f>T("   220890")</f>
        <v xml:space="preserve">   220890</v>
      </c>
      <c r="B4302" t="str">
        <f>T("   AUTRES")</f>
        <v xml:space="preserve">   AUTRES</v>
      </c>
      <c r="C4302" s="4">
        <v>451427.9</v>
      </c>
      <c r="D4302" s="4">
        <v>100594529</v>
      </c>
    </row>
    <row r="4303" spans="1:4" x14ac:dyDescent="0.25">
      <c r="A4303" t="str">
        <f>T("   220900")</f>
        <v xml:space="preserve">   220900</v>
      </c>
      <c r="B4303" t="str">
        <f>T("   VINAIGRES COMESTIBLES ET SUCCEDANES DE VINAIGRE COMESTIBLES OBTENUS A PARTIR D'ACIDE AC")</f>
        <v xml:space="preserve">   VINAIGRES COMESTIBLES ET SUCCEDANES DE VINAIGRE COMESTIBLES OBTENUS A PARTIR D'ACIDE AC</v>
      </c>
      <c r="C4303" s="4">
        <v>18260</v>
      </c>
      <c r="D4303" s="4">
        <v>5205698</v>
      </c>
    </row>
    <row r="4304" spans="1:4" x14ac:dyDescent="0.25">
      <c r="A4304" t="str">
        <f>T("   230120")</f>
        <v xml:space="preserve">   230120</v>
      </c>
      <c r="B4304" t="str">
        <f>T("   FARINES, POUDRES ET AGGLOMERES SOUS FORME DE PELLETS, DE POISSONS OU DE CRUSTACES, DE")</f>
        <v xml:space="preserve">   FARINES, POUDRES ET AGGLOMERES SOUS FORME DE PELLETS, DE POISSONS OU DE CRUSTACES, DE</v>
      </c>
      <c r="C4304" s="4">
        <v>14190</v>
      </c>
      <c r="D4304" s="4">
        <v>12166091</v>
      </c>
    </row>
    <row r="4305" spans="1:4" x14ac:dyDescent="0.25">
      <c r="A4305" t="str">
        <f>T("   230230")</f>
        <v xml:space="preserve">   230230</v>
      </c>
      <c r="B4305" t="str">
        <f>T("   DE FROMENT")</f>
        <v xml:space="preserve">   DE FROMENT</v>
      </c>
      <c r="C4305" s="4">
        <v>6495</v>
      </c>
      <c r="D4305" s="4">
        <v>1524884</v>
      </c>
    </row>
    <row r="4306" spans="1:4" x14ac:dyDescent="0.25">
      <c r="A4306" t="str">
        <f>T("   230400")</f>
        <v xml:space="preserve">   230400</v>
      </c>
      <c r="B4306" t="str">
        <f>T("   TOURTEAUX ET AUTRES RESIDUS SOLIDES, MEME BROYES OU AGGLOMERES SOUS FORME DE PELLETS, D")</f>
        <v xml:space="preserve">   TOURTEAUX ET AUTRES RESIDUS SOLIDES, MEME BROYES OU AGGLOMERES SOUS FORME DE PELLETS, D</v>
      </c>
      <c r="C4306" s="4">
        <v>2986</v>
      </c>
      <c r="D4306" s="4">
        <v>1232351</v>
      </c>
    </row>
    <row r="4307" spans="1:4" x14ac:dyDescent="0.25">
      <c r="A4307" t="str">
        <f>T("   230800")</f>
        <v xml:space="preserve">   230800</v>
      </c>
      <c r="B4307" t="str">
        <f>T("   MATIERES VEGETALES ET DECHETS VEGETAUX, RESIDUS ET SOUSPRODUITS VEGETAUX, MEME AGGLOME")</f>
        <v xml:space="preserve">   MATIERES VEGETALES ET DECHETS VEGETAUX, RESIDUS ET SOUSPRODUITS VEGETAUX, MEME AGGLOME</v>
      </c>
      <c r="C4307" s="4">
        <v>3355</v>
      </c>
      <c r="D4307" s="4">
        <v>4575976</v>
      </c>
    </row>
    <row r="4308" spans="1:4" x14ac:dyDescent="0.25">
      <c r="A4308" t="str">
        <f>T("   230910")</f>
        <v xml:space="preserve">   230910</v>
      </c>
      <c r="B4308" t="str">
        <f>T("   ALIMENTS POUR CHIENS OU CHATS, CONDITIONNES POUR LA VENTE AU DETAIL")</f>
        <v xml:space="preserve">   ALIMENTS POUR CHIENS OU CHATS, CONDITIONNES POUR LA VENTE AU DETAIL</v>
      </c>
      <c r="C4308" s="4">
        <v>253702</v>
      </c>
      <c r="D4308" s="4">
        <v>183141646</v>
      </c>
    </row>
    <row r="4309" spans="1:4" x14ac:dyDescent="0.25">
      <c r="A4309" t="str">
        <f>T("   230990")</f>
        <v xml:space="preserve">   230990</v>
      </c>
      <c r="B4309" t="str">
        <f>T("   AUTRES")</f>
        <v xml:space="preserve">   AUTRES</v>
      </c>
      <c r="C4309" s="4">
        <v>270168</v>
      </c>
      <c r="D4309" s="4">
        <v>207689145</v>
      </c>
    </row>
    <row r="4310" spans="1:4" x14ac:dyDescent="0.25">
      <c r="A4310" t="str">
        <f>T("   240310")</f>
        <v xml:space="preserve">   240310</v>
      </c>
      <c r="B4310" t="str">
        <f>T("   TABACS A FUMER,MEME CONTENANT DES SUCCEDANES DU TABAC,EN TOUTE PROPORTION")</f>
        <v xml:space="preserve">   TABACS A FUMER,MEME CONTENANT DES SUCCEDANES DU TABAC,EN TOUTE PROPORTION</v>
      </c>
      <c r="C4310" s="4">
        <v>94</v>
      </c>
      <c r="D4310" s="4">
        <v>81440</v>
      </c>
    </row>
    <row r="4311" spans="1:4" x14ac:dyDescent="0.25">
      <c r="A4311" t="str">
        <f>T("   240399")</f>
        <v xml:space="preserve">   240399</v>
      </c>
      <c r="B4311" t="str">
        <f>T("   AUTRES")</f>
        <v xml:space="preserve">   AUTRES</v>
      </c>
      <c r="C4311" s="4">
        <v>159</v>
      </c>
      <c r="D4311" s="4">
        <v>230000</v>
      </c>
    </row>
    <row r="4312" spans="1:4" x14ac:dyDescent="0.25">
      <c r="A4312" t="str">
        <f>T("   250100")</f>
        <v xml:space="preserve">   250100</v>
      </c>
      <c r="B4312" t="str">
        <f>T("   SEL (Y COMPRIS LE SEL PREPARE POUR LA TABLE ET LE SEL DENATURE) ET CHLORURE DE SODIUM P")</f>
        <v xml:space="preserve">   SEL (Y COMPRIS LE SEL PREPARE POUR LA TABLE ET LE SEL DENATURE) ET CHLORURE DE SODIUM P</v>
      </c>
      <c r="C4312" s="4">
        <v>27060</v>
      </c>
      <c r="D4312" s="4">
        <v>23356562</v>
      </c>
    </row>
    <row r="4313" spans="1:4" x14ac:dyDescent="0.25">
      <c r="A4313" t="str">
        <f>T("   250510")</f>
        <v xml:space="preserve">   250510</v>
      </c>
      <c r="B4313" t="str">
        <f>T("   SABLES SILICEUX ET SABLES QUARTZEUX")</f>
        <v xml:space="preserve">   SABLES SILICEUX ET SABLES QUARTZEUX</v>
      </c>
      <c r="C4313" s="4">
        <v>25571</v>
      </c>
      <c r="D4313" s="4">
        <v>6906667</v>
      </c>
    </row>
    <row r="4314" spans="1:4" x14ac:dyDescent="0.25">
      <c r="A4314" t="str">
        <f>T("   250590")</f>
        <v xml:space="preserve">   250590</v>
      </c>
      <c r="B4314" t="str">
        <f>T("   AUTRES SABLES")</f>
        <v xml:space="preserve">   AUTRES SABLES</v>
      </c>
      <c r="C4314" s="4">
        <v>44419</v>
      </c>
      <c r="D4314" s="4">
        <v>9243790</v>
      </c>
    </row>
    <row r="4315" spans="1:4" x14ac:dyDescent="0.25">
      <c r="A4315" t="str">
        <f>T("   250840")</f>
        <v xml:space="preserve">   250840</v>
      </c>
      <c r="B4315" t="str">
        <f>T("   AUTRES ARGILES")</f>
        <v xml:space="preserve">   AUTRES ARGILES</v>
      </c>
      <c r="C4315" s="4">
        <v>11367</v>
      </c>
      <c r="D4315" s="4">
        <v>23369736</v>
      </c>
    </row>
    <row r="4316" spans="1:4" x14ac:dyDescent="0.25">
      <c r="A4316" t="str">
        <f>T("   251200")</f>
        <v xml:space="preserve">   251200</v>
      </c>
      <c r="B4316" t="str">
        <f>T("   FARINES SILICEUSES FOSSILES (KIESELGUHR, TRIPOLITE, DIATOMITE, PAR EXEMPLE) ET AUTRES T")</f>
        <v xml:space="preserve">   FARINES SILICEUSES FOSSILES (KIESELGUHR, TRIPOLITE, DIATOMITE, PAR EXEMPLE) ET AUTRES T</v>
      </c>
      <c r="C4316" s="4">
        <v>92843</v>
      </c>
      <c r="D4316" s="4">
        <v>52852599</v>
      </c>
    </row>
    <row r="4317" spans="1:4" x14ac:dyDescent="0.25">
      <c r="A4317" t="str">
        <f>T("   252020")</f>
        <v xml:space="preserve">   252020</v>
      </c>
      <c r="B4317" t="str">
        <f>T("   PLATRES")</f>
        <v xml:space="preserve">   PLATRES</v>
      </c>
      <c r="C4317" s="4">
        <v>196350</v>
      </c>
      <c r="D4317" s="4">
        <v>9285395</v>
      </c>
    </row>
    <row r="4318" spans="1:4" x14ac:dyDescent="0.25">
      <c r="A4318" t="str">
        <f>T("   252210")</f>
        <v xml:space="preserve">   252210</v>
      </c>
      <c r="B4318" t="str">
        <f>T("   CHAUX VIVE")</f>
        <v xml:space="preserve">   CHAUX VIVE</v>
      </c>
      <c r="C4318" s="4">
        <v>137329</v>
      </c>
      <c r="D4318" s="4">
        <v>19864619</v>
      </c>
    </row>
    <row r="4319" spans="1:4" x14ac:dyDescent="0.25">
      <c r="A4319" t="str">
        <f>T("   252220")</f>
        <v xml:space="preserve">   252220</v>
      </c>
      <c r="B4319" t="str">
        <f>T("   CHAUX ETEINTE")</f>
        <v xml:space="preserve">   CHAUX ETEINTE</v>
      </c>
      <c r="C4319" s="4">
        <v>42000</v>
      </c>
      <c r="D4319" s="4">
        <v>6659306</v>
      </c>
    </row>
    <row r="4320" spans="1:4" x14ac:dyDescent="0.25">
      <c r="A4320" t="str">
        <f>T("   252321")</f>
        <v xml:space="preserve">   252321</v>
      </c>
      <c r="B4320" t="str">
        <f>T("   CIMENTS BLANCS, MEME COLORES ARTIFICIELLEMENT")</f>
        <v xml:space="preserve">   CIMENTS BLANCS, MEME COLORES ARTIFICIELLEMENT</v>
      </c>
      <c r="C4320" s="4">
        <v>16000</v>
      </c>
      <c r="D4320" s="4">
        <v>4644197</v>
      </c>
    </row>
    <row r="4321" spans="1:4" x14ac:dyDescent="0.25">
      <c r="A4321" t="str">
        <f>T("   252620")</f>
        <v xml:space="preserve">   252620</v>
      </c>
      <c r="B4321" t="str">
        <f>T("   BROYES OU PULVERISES")</f>
        <v xml:space="preserve">   BROYES OU PULVERISES</v>
      </c>
      <c r="C4321" s="4">
        <v>220</v>
      </c>
      <c r="D4321" s="4">
        <v>1120904</v>
      </c>
    </row>
    <row r="4322" spans="1:4" x14ac:dyDescent="0.25">
      <c r="A4322" t="str">
        <f>T("   253090")</f>
        <v xml:space="preserve">   253090</v>
      </c>
      <c r="B4322" t="str">
        <f>T("   AUTRES")</f>
        <v xml:space="preserve">   AUTRES</v>
      </c>
      <c r="C4322" s="4">
        <v>65942</v>
      </c>
      <c r="D4322" s="4">
        <v>22556405</v>
      </c>
    </row>
    <row r="4323" spans="1:4" x14ac:dyDescent="0.25">
      <c r="A4323" t="str">
        <f>T("   260500")</f>
        <v xml:space="preserve">   260500</v>
      </c>
      <c r="B4323" t="str">
        <f>T("   MINERAIS DE COBALT ET LEURS CONCENTRES.")</f>
        <v xml:space="preserve">   MINERAIS DE COBALT ET LEURS CONCENTRES.</v>
      </c>
      <c r="C4323" s="4">
        <v>2700</v>
      </c>
      <c r="D4323" s="4">
        <v>3887744</v>
      </c>
    </row>
    <row r="4324" spans="1:4" x14ac:dyDescent="0.25">
      <c r="A4324" t="str">
        <f>T("   270600")</f>
        <v xml:space="preserve">   270600</v>
      </c>
      <c r="B4324" t="str">
        <f>T("   GOUDRONS DE HOUILLE, DE LIGNITE OU DE TOURBE ET AUTRES GOUDRONS MINERAUX, MEME DESHYDRA")</f>
        <v xml:space="preserve">   GOUDRONS DE HOUILLE, DE LIGNITE OU DE TOURBE ET AUTRES GOUDRONS MINERAUX, MEME DESHYDRA</v>
      </c>
      <c r="C4324" s="4">
        <v>9303</v>
      </c>
      <c r="D4324" s="4">
        <v>6336574</v>
      </c>
    </row>
    <row r="4325" spans="1:4" x14ac:dyDescent="0.25">
      <c r="A4325" t="str">
        <f>T("   271011")</f>
        <v xml:space="preserve">   271011</v>
      </c>
      <c r="B4325" t="str">
        <f>T("   HUILLES DE PETROLE OU D'ESSENCE")</f>
        <v xml:space="preserve">   HUILLES DE PETROLE OU D'ESSENCE</v>
      </c>
      <c r="C4325" s="4">
        <v>497281</v>
      </c>
      <c r="D4325" s="4">
        <v>150152310</v>
      </c>
    </row>
    <row r="4326" spans="1:4" x14ac:dyDescent="0.25">
      <c r="A4326" t="str">
        <f>T("   271019")</f>
        <v xml:space="preserve">   271019</v>
      </c>
      <c r="B4326" t="str">
        <f>T("   AUTRES")</f>
        <v xml:space="preserve">   AUTRES</v>
      </c>
      <c r="C4326" s="4">
        <v>6420820.5999999996</v>
      </c>
      <c r="D4326" s="4">
        <v>2484930044</v>
      </c>
    </row>
    <row r="4327" spans="1:4" x14ac:dyDescent="0.25">
      <c r="A4327" t="str">
        <f>T("   271099")</f>
        <v xml:space="preserve">   271099</v>
      </c>
      <c r="B4327" t="str">
        <f>T("   AUTRES")</f>
        <v xml:space="preserve">   AUTRES</v>
      </c>
      <c r="C4327" s="4">
        <v>14756</v>
      </c>
      <c r="D4327" s="4">
        <v>16476233</v>
      </c>
    </row>
    <row r="4328" spans="1:4" x14ac:dyDescent="0.25">
      <c r="A4328" t="str">
        <f>T("   271129")</f>
        <v xml:space="preserve">   271129</v>
      </c>
      <c r="B4328" t="str">
        <f>T("   AUTRES")</f>
        <v xml:space="preserve">   AUTRES</v>
      </c>
      <c r="C4328" s="4">
        <v>10830</v>
      </c>
      <c r="D4328" s="4">
        <v>14928010</v>
      </c>
    </row>
    <row r="4329" spans="1:4" x14ac:dyDescent="0.25">
      <c r="A4329" t="str">
        <f>T("   271210")</f>
        <v xml:space="preserve">   271210</v>
      </c>
      <c r="B4329" t="str">
        <f>T("   Vaseline")</f>
        <v xml:space="preserve">   Vaseline</v>
      </c>
      <c r="C4329" s="4">
        <v>1960</v>
      </c>
      <c r="D4329" s="4">
        <v>3960069</v>
      </c>
    </row>
    <row r="4330" spans="1:4" x14ac:dyDescent="0.25">
      <c r="A4330" t="str">
        <f>T("   271220")</f>
        <v xml:space="preserve">   271220</v>
      </c>
      <c r="B4330" t="str">
        <f>T("   PARAFFINE CONTENANT EN POIDS MOINS DE 0,75 % D'HUILE")</f>
        <v xml:space="preserve">   PARAFFINE CONTENANT EN POIDS MOINS DE 0,75 % D'HUILE</v>
      </c>
      <c r="C4330" s="4">
        <v>90</v>
      </c>
      <c r="D4330" s="4">
        <v>142737</v>
      </c>
    </row>
    <row r="4331" spans="1:4" x14ac:dyDescent="0.25">
      <c r="A4331" t="str">
        <f>T("   271320")</f>
        <v xml:space="preserve">   271320</v>
      </c>
      <c r="B4331" t="str">
        <f>T("   BITUME DE PETROLE")</f>
        <v xml:space="preserve">   BITUME DE PETROLE</v>
      </c>
      <c r="C4331" s="4">
        <v>371990</v>
      </c>
      <c r="D4331" s="4">
        <v>136914973</v>
      </c>
    </row>
    <row r="4332" spans="1:4" x14ac:dyDescent="0.25">
      <c r="A4332" t="str">
        <f>T("   271500")</f>
        <v xml:space="preserve">   271500</v>
      </c>
      <c r="B4332" t="str">
        <f>T("   MELANGES BITUMINEUX A BASE D'ASPHALTE OU DE BITUME NATURELS, DE BITUME DE PETROLE, DE G")</f>
        <v xml:space="preserve">   MELANGES BITUMINEUX A BASE D'ASPHALTE OU DE BITUME NATURELS, DE BITUME DE PETROLE, DE G</v>
      </c>
      <c r="C4332" s="4">
        <v>87080</v>
      </c>
      <c r="D4332" s="4">
        <v>45103287</v>
      </c>
    </row>
    <row r="4333" spans="1:4" x14ac:dyDescent="0.25">
      <c r="A4333" t="str">
        <f>T("   280110")</f>
        <v xml:space="preserve">   280110</v>
      </c>
      <c r="B4333" t="str">
        <f>T("   Chlore")</f>
        <v xml:space="preserve">   Chlore</v>
      </c>
      <c r="C4333" s="4">
        <v>6663</v>
      </c>
      <c r="D4333" s="4">
        <v>14612822</v>
      </c>
    </row>
    <row r="4334" spans="1:4" x14ac:dyDescent="0.25">
      <c r="A4334" t="str">
        <f>T("   280421")</f>
        <v xml:space="preserve">   280421</v>
      </c>
      <c r="B4334" t="str">
        <f>T("   Argon")</f>
        <v xml:space="preserve">   Argon</v>
      </c>
      <c r="C4334" s="4">
        <v>8490</v>
      </c>
      <c r="D4334" s="4">
        <v>3895747</v>
      </c>
    </row>
    <row r="4335" spans="1:4" x14ac:dyDescent="0.25">
      <c r="A4335" t="str">
        <f>T("   280440")</f>
        <v xml:space="preserve">   280440</v>
      </c>
      <c r="B4335" t="str">
        <f>T("   OXYGENE")</f>
        <v xml:space="preserve">   OXYGENE</v>
      </c>
      <c r="C4335" s="4">
        <v>23018</v>
      </c>
      <c r="D4335" s="4">
        <v>7005654</v>
      </c>
    </row>
    <row r="4336" spans="1:4" x14ac:dyDescent="0.25">
      <c r="A4336" t="str">
        <f>T("   280512")</f>
        <v xml:space="preserve">   280512</v>
      </c>
      <c r="B4336" t="str">
        <f>T("   CALCIUM")</f>
        <v xml:space="preserve">   CALCIUM</v>
      </c>
      <c r="C4336" s="4">
        <v>8582</v>
      </c>
      <c r="D4336" s="4">
        <v>85452168</v>
      </c>
    </row>
    <row r="4337" spans="1:4" x14ac:dyDescent="0.25">
      <c r="A4337" t="str">
        <f>T("   280519")</f>
        <v xml:space="preserve">   280519</v>
      </c>
      <c r="B4337" t="str">
        <f>T("   AUTRES")</f>
        <v xml:space="preserve">   AUTRES</v>
      </c>
      <c r="C4337" s="4">
        <v>987</v>
      </c>
      <c r="D4337" s="4">
        <v>5987603</v>
      </c>
    </row>
    <row r="4338" spans="1:4" x14ac:dyDescent="0.25">
      <c r="A4338" t="str">
        <f>T("   280610")</f>
        <v xml:space="preserve">   280610</v>
      </c>
      <c r="B4338" t="str">
        <f>T("   CHLORURE D'HYDROGENE (ACIDE CHLORHYDRIQUE)")</f>
        <v xml:space="preserve">   CHLORURE D'HYDROGENE (ACIDE CHLORHYDRIQUE)</v>
      </c>
      <c r="C4338" s="4">
        <v>44958</v>
      </c>
      <c r="D4338" s="4">
        <v>9230668</v>
      </c>
    </row>
    <row r="4339" spans="1:4" x14ac:dyDescent="0.25">
      <c r="A4339" t="str">
        <f>T("   280700")</f>
        <v xml:space="preserve">   280700</v>
      </c>
      <c r="B4339" t="str">
        <f>T("   ACIDE SULFURIQUE; OLEUM.")</f>
        <v xml:space="preserve">   ACIDE SULFURIQUE; OLEUM.</v>
      </c>
      <c r="C4339" s="4">
        <v>73872</v>
      </c>
      <c r="D4339" s="4">
        <v>11472741</v>
      </c>
    </row>
    <row r="4340" spans="1:4" x14ac:dyDescent="0.25">
      <c r="A4340" t="str">
        <f>T("   281000")</f>
        <v xml:space="preserve">   281000</v>
      </c>
      <c r="B4340" t="str">
        <f>T("   OXYDES DE BORE; ACIDES BORIQUES.")</f>
        <v xml:space="preserve">   OXYDES DE BORE; ACIDES BORIQUES.</v>
      </c>
      <c r="C4340" s="4">
        <v>65</v>
      </c>
      <c r="D4340" s="4">
        <v>1560168</v>
      </c>
    </row>
    <row r="4341" spans="1:4" x14ac:dyDescent="0.25">
      <c r="A4341" t="str">
        <f>T("   281121")</f>
        <v xml:space="preserve">   281121</v>
      </c>
      <c r="B4341" t="str">
        <f>T("   DIOXYDE DE CARBONE")</f>
        <v xml:space="preserve">   DIOXYDE DE CARBONE</v>
      </c>
      <c r="C4341" s="4">
        <v>11</v>
      </c>
      <c r="D4341" s="4">
        <v>103183</v>
      </c>
    </row>
    <row r="4342" spans="1:4" x14ac:dyDescent="0.25">
      <c r="A4342" t="str">
        <f>T("   281410")</f>
        <v xml:space="preserve">   281410</v>
      </c>
      <c r="B4342" t="str">
        <f>T("   AMMONIAC ANHYDRE")</f>
        <v xml:space="preserve">   AMMONIAC ANHYDRE</v>
      </c>
      <c r="C4342" s="4">
        <v>14400</v>
      </c>
      <c r="D4342" s="4">
        <v>9780652</v>
      </c>
    </row>
    <row r="4343" spans="1:4" x14ac:dyDescent="0.25">
      <c r="A4343" t="str">
        <f>T("   281420")</f>
        <v xml:space="preserve">   281420</v>
      </c>
      <c r="B4343" t="str">
        <f>T("   AMMONIAC EN SOLUTION AQUEUSE (AMMONIAQUE)")</f>
        <v xml:space="preserve">   AMMONIAC EN SOLUTION AQUEUSE (AMMONIAQUE)</v>
      </c>
      <c r="C4343" s="4">
        <v>794</v>
      </c>
      <c r="D4343" s="4">
        <v>690070</v>
      </c>
    </row>
    <row r="4344" spans="1:4" x14ac:dyDescent="0.25">
      <c r="A4344" t="str">
        <f>T("   281512")</f>
        <v xml:space="preserve">   281512</v>
      </c>
      <c r="B4344" t="str">
        <f>T("   EN SOLUTION AQUEUSE (LESSIVE DE SOUDE CAUSTIQUE)")</f>
        <v xml:space="preserve">   EN SOLUTION AQUEUSE (LESSIVE DE SOUDE CAUSTIQUE)</v>
      </c>
      <c r="C4344" s="4">
        <v>29</v>
      </c>
      <c r="D4344" s="4">
        <v>979329</v>
      </c>
    </row>
    <row r="4345" spans="1:4" x14ac:dyDescent="0.25">
      <c r="A4345" t="str">
        <f>T("   282300")</f>
        <v xml:space="preserve">   282300</v>
      </c>
      <c r="B4345" t="str">
        <f>T("   OXYDES DE TITANE.")</f>
        <v xml:space="preserve">   OXYDES DE TITANE.</v>
      </c>
      <c r="C4345" s="4">
        <v>46</v>
      </c>
      <c r="D4345" s="4">
        <v>123648</v>
      </c>
    </row>
    <row r="4346" spans="1:4" x14ac:dyDescent="0.25">
      <c r="A4346" t="str">
        <f>T("   282720")</f>
        <v xml:space="preserve">   282720</v>
      </c>
      <c r="B4346" t="str">
        <f>T("   Chlorure de calcium")</f>
        <v xml:space="preserve">   Chlorure de calcium</v>
      </c>
      <c r="C4346" s="4">
        <v>8674</v>
      </c>
      <c r="D4346" s="4">
        <v>7516593</v>
      </c>
    </row>
    <row r="4347" spans="1:4" x14ac:dyDescent="0.25">
      <c r="A4347" t="str">
        <f>T("   282749")</f>
        <v xml:space="preserve">   282749</v>
      </c>
      <c r="B4347" t="str">
        <f>T("   AUTRES")</f>
        <v xml:space="preserve">   AUTRES</v>
      </c>
      <c r="C4347" s="4">
        <v>250</v>
      </c>
      <c r="D4347" s="4">
        <v>832138</v>
      </c>
    </row>
    <row r="4348" spans="1:4" x14ac:dyDescent="0.25">
      <c r="A4348" t="str">
        <f>T("   282890")</f>
        <v xml:space="preserve">   282890</v>
      </c>
      <c r="B4348" t="str">
        <f>T("   AUTRES")</f>
        <v xml:space="preserve">   AUTRES</v>
      </c>
      <c r="C4348" s="4">
        <v>186906</v>
      </c>
      <c r="D4348" s="4">
        <v>100814223</v>
      </c>
    </row>
    <row r="4349" spans="1:4" x14ac:dyDescent="0.25">
      <c r="A4349" t="str">
        <f>T("   283210")</f>
        <v xml:space="preserve">   283210</v>
      </c>
      <c r="B4349" t="str">
        <f>T("   Sulfites de sodium")</f>
        <v xml:space="preserve">   Sulfites de sodium</v>
      </c>
      <c r="C4349" s="4">
        <v>302</v>
      </c>
      <c r="D4349" s="4">
        <v>850032</v>
      </c>
    </row>
    <row r="4350" spans="1:4" x14ac:dyDescent="0.25">
      <c r="A4350" t="str">
        <f>T("   283220")</f>
        <v xml:space="preserve">   283220</v>
      </c>
      <c r="B4350" t="str">
        <f>T("   Autres sulfites")</f>
        <v xml:space="preserve">   Autres sulfites</v>
      </c>
      <c r="C4350" s="4">
        <v>4242</v>
      </c>
      <c r="D4350" s="4">
        <v>10058332</v>
      </c>
    </row>
    <row r="4351" spans="1:4" x14ac:dyDescent="0.25">
      <c r="A4351" t="str">
        <f>T("   283429")</f>
        <v xml:space="preserve">   283429</v>
      </c>
      <c r="B4351" t="str">
        <f>T("   AUTRES")</f>
        <v xml:space="preserve">   AUTRES</v>
      </c>
      <c r="C4351" s="4">
        <v>37800</v>
      </c>
      <c r="D4351" s="4">
        <v>15968690</v>
      </c>
    </row>
    <row r="4352" spans="1:4" x14ac:dyDescent="0.25">
      <c r="A4352" t="str">
        <f>T("   283529")</f>
        <v xml:space="preserve">   283529</v>
      </c>
      <c r="B4352" t="str">
        <f>T("   AUTRES")</f>
        <v xml:space="preserve">   AUTRES</v>
      </c>
      <c r="C4352" s="4">
        <v>700</v>
      </c>
      <c r="D4352" s="4">
        <v>2863265</v>
      </c>
    </row>
    <row r="4353" spans="1:4" x14ac:dyDescent="0.25">
      <c r="A4353" t="str">
        <f>T("   283539")</f>
        <v xml:space="preserve">   283539</v>
      </c>
      <c r="B4353" t="str">
        <f>T("   AUTRES")</f>
        <v xml:space="preserve">   AUTRES</v>
      </c>
      <c r="C4353" s="4">
        <v>1000</v>
      </c>
      <c r="D4353" s="4">
        <v>2216489</v>
      </c>
    </row>
    <row r="4354" spans="1:4" x14ac:dyDescent="0.25">
      <c r="A4354" t="str">
        <f>T("   283630")</f>
        <v xml:space="preserve">   283630</v>
      </c>
      <c r="B4354" t="str">
        <f>T("   HYDROGENOCARBONATE (BICARBONATE) DE SODIUM")</f>
        <v xml:space="preserve">   HYDROGENOCARBONATE (BICARBONATE) DE SODIUM</v>
      </c>
      <c r="C4354" s="4">
        <v>305</v>
      </c>
      <c r="D4354" s="4">
        <v>4571384</v>
      </c>
    </row>
    <row r="4355" spans="1:4" x14ac:dyDescent="0.25">
      <c r="A4355" t="str">
        <f>T("   283650")</f>
        <v xml:space="preserve">   283650</v>
      </c>
      <c r="B4355" t="str">
        <f>T("   Carbonate de calcium")</f>
        <v xml:space="preserve">   Carbonate de calcium</v>
      </c>
      <c r="C4355" s="4">
        <v>984320</v>
      </c>
      <c r="D4355" s="4">
        <v>101522199</v>
      </c>
    </row>
    <row r="4356" spans="1:4" x14ac:dyDescent="0.25">
      <c r="A4356" t="str">
        <f>T("   283699")</f>
        <v xml:space="preserve">   283699</v>
      </c>
      <c r="B4356" t="str">
        <f>T("   AUTRES")</f>
        <v xml:space="preserve">   AUTRES</v>
      </c>
      <c r="C4356" s="4">
        <v>1200</v>
      </c>
      <c r="D4356" s="4">
        <v>6015153</v>
      </c>
    </row>
    <row r="4357" spans="1:4" x14ac:dyDescent="0.25">
      <c r="A4357" t="str">
        <f>T("   283919")</f>
        <v xml:space="preserve">   283919</v>
      </c>
      <c r="B4357" t="str">
        <f>T("   AUTRES")</f>
        <v xml:space="preserve">   AUTRES</v>
      </c>
      <c r="C4357" s="4">
        <v>7900</v>
      </c>
      <c r="D4357" s="4">
        <v>7570435</v>
      </c>
    </row>
    <row r="4358" spans="1:4" x14ac:dyDescent="0.25">
      <c r="A4358" t="str">
        <f>T("   284150")</f>
        <v xml:space="preserve">   284150</v>
      </c>
      <c r="B4358" t="str">
        <f>T("   Autres chromates et dichromates; peroxochromates")</f>
        <v xml:space="preserve">   Autres chromates et dichromates; peroxochromates</v>
      </c>
      <c r="C4358" s="4">
        <v>90</v>
      </c>
      <c r="D4358" s="4">
        <v>792400</v>
      </c>
    </row>
    <row r="4359" spans="1:4" x14ac:dyDescent="0.25">
      <c r="A4359" t="str">
        <f>T("   284690")</f>
        <v xml:space="preserve">   284690</v>
      </c>
      <c r="B4359" t="str">
        <f>T("   AUTRES")</f>
        <v xml:space="preserve">   AUTRES</v>
      </c>
      <c r="C4359" s="4">
        <v>16</v>
      </c>
      <c r="D4359" s="4">
        <v>386216</v>
      </c>
    </row>
    <row r="4360" spans="1:4" x14ac:dyDescent="0.25">
      <c r="A4360" t="str">
        <f>T("   284700")</f>
        <v xml:space="preserve">   284700</v>
      </c>
      <c r="B4360" t="str">
        <f>T("   PEROXYDE D'HYDROGENE (EAU OXYGENEE) MEME SOLIDIFIE AVEC DE L'UREE.")</f>
        <v xml:space="preserve">   PEROXYDE D'HYDROGENE (EAU OXYGENEE) MEME SOLIDIFIE AVEC DE L'UREE.</v>
      </c>
      <c r="C4360" s="4">
        <v>900</v>
      </c>
      <c r="D4360" s="4">
        <v>1816353</v>
      </c>
    </row>
    <row r="4361" spans="1:4" x14ac:dyDescent="0.25">
      <c r="A4361" t="str">
        <f>T("   290110")</f>
        <v xml:space="preserve">   290110</v>
      </c>
      <c r="B4361" t="str">
        <f>T("   SATURES")</f>
        <v xml:space="preserve">   SATURES</v>
      </c>
      <c r="C4361" s="4">
        <v>95</v>
      </c>
      <c r="D4361" s="4">
        <v>9416305</v>
      </c>
    </row>
    <row r="4362" spans="1:4" x14ac:dyDescent="0.25">
      <c r="A4362" t="str">
        <f>T("   290219")</f>
        <v xml:space="preserve">   290219</v>
      </c>
      <c r="B4362" t="str">
        <f>T("   AUTRES")</f>
        <v xml:space="preserve">   AUTRES</v>
      </c>
      <c r="C4362" s="4">
        <v>1280</v>
      </c>
      <c r="D4362" s="4">
        <v>2669757</v>
      </c>
    </row>
    <row r="4363" spans="1:4" x14ac:dyDescent="0.25">
      <c r="A4363" t="str">
        <f>T("   290290")</f>
        <v xml:space="preserve">   290290</v>
      </c>
      <c r="B4363" t="str">
        <f>T("   AUTRES")</f>
        <v xml:space="preserve">   AUTRES</v>
      </c>
      <c r="C4363" s="4">
        <v>363</v>
      </c>
      <c r="D4363" s="4">
        <v>1698281</v>
      </c>
    </row>
    <row r="4364" spans="1:4" x14ac:dyDescent="0.25">
      <c r="A4364" t="str">
        <f>T("   290312")</f>
        <v xml:space="preserve">   290312</v>
      </c>
      <c r="B4364" t="str">
        <f>T("   DICHLOROMETHANE (CHLORURE DE METHYLENE)")</f>
        <v xml:space="preserve">   DICHLOROMETHANE (CHLORURE DE METHYLENE)</v>
      </c>
      <c r="C4364" s="4">
        <v>21200</v>
      </c>
      <c r="D4364" s="4">
        <v>7465480</v>
      </c>
    </row>
    <row r="4365" spans="1:4" x14ac:dyDescent="0.25">
      <c r="A4365" t="str">
        <f>T("   290319")</f>
        <v xml:space="preserve">   290319</v>
      </c>
      <c r="B4365" t="str">
        <f>T("   AUTRES")</f>
        <v xml:space="preserve">   AUTRES</v>
      </c>
      <c r="C4365" s="4">
        <v>45</v>
      </c>
      <c r="D4365" s="4">
        <v>265400</v>
      </c>
    </row>
    <row r="4366" spans="1:4" x14ac:dyDescent="0.25">
      <c r="A4366" t="str">
        <f>T("   290531")</f>
        <v xml:space="preserve">   290531</v>
      </c>
      <c r="B4366" t="str">
        <f>T("   ETHYLENE GLYCOL (ETHANEDIOL)")</f>
        <v xml:space="preserve">   ETHYLENE GLYCOL (ETHANEDIOL)</v>
      </c>
      <c r="C4366" s="4">
        <v>714</v>
      </c>
      <c r="D4366" s="4">
        <v>834381</v>
      </c>
    </row>
    <row r="4367" spans="1:4" x14ac:dyDescent="0.25">
      <c r="A4367" t="str">
        <f>T("   290532")</f>
        <v xml:space="preserve">   290532</v>
      </c>
      <c r="B4367" t="str">
        <f>T("   PROPYLENE GLYCOL (PROPANE1,2DIOL)")</f>
        <v xml:space="preserve">   PROPYLENE GLYCOL (PROPANE1,2DIOL)</v>
      </c>
      <c r="C4367" s="4">
        <v>2159</v>
      </c>
      <c r="D4367" s="4">
        <v>91769190</v>
      </c>
    </row>
    <row r="4368" spans="1:4" x14ac:dyDescent="0.25">
      <c r="A4368" t="str">
        <f>T("   290542")</f>
        <v xml:space="preserve">   290542</v>
      </c>
      <c r="B4368" t="str">
        <f>T("   PENTAERYTHRITOL (PENTAERYTHRITE)")</f>
        <v xml:space="preserve">   PENTAERYTHRITOL (PENTAERYTHRITE)</v>
      </c>
      <c r="C4368" s="4">
        <v>380</v>
      </c>
      <c r="D4368" s="4">
        <v>1241732</v>
      </c>
    </row>
    <row r="4369" spans="1:4" x14ac:dyDescent="0.25">
      <c r="A4369" t="str">
        <f>T("   290545")</f>
        <v xml:space="preserve">   290545</v>
      </c>
      <c r="B4369" t="str">
        <f>T("   GLYCEROL")</f>
        <v xml:space="preserve">   GLYCEROL</v>
      </c>
      <c r="C4369" s="4">
        <v>20</v>
      </c>
      <c r="D4369" s="4">
        <v>283375</v>
      </c>
    </row>
    <row r="4370" spans="1:4" x14ac:dyDescent="0.25">
      <c r="A4370" t="str">
        <f>T("   290911")</f>
        <v xml:space="preserve">   290911</v>
      </c>
      <c r="B4370" t="str">
        <f>T("   ETHER DIETHYLIQUE (OXYDE DE DIETHYLE)")</f>
        <v xml:space="preserve">   ETHER DIETHYLIQUE (OXYDE DE DIETHYLE)</v>
      </c>
      <c r="C4370" s="4">
        <v>2029</v>
      </c>
      <c r="D4370" s="4">
        <v>23781885</v>
      </c>
    </row>
    <row r="4371" spans="1:4" x14ac:dyDescent="0.25">
      <c r="A4371" t="str">
        <f>T("   291100")</f>
        <v xml:space="preserve">   291100</v>
      </c>
      <c r="B4371" t="str">
        <f>T("   ACETALS ET HEMIACETALS, MEME CONTENANT D'AUTRES FONCTIONS OXYGENEES, ET LEURS DERIVES")</f>
        <v xml:space="preserve">   ACETALS ET HEMIACETALS, MEME CONTENANT D'AUTRES FONCTIONS OXYGENEES, ET LEURS DERIVES</v>
      </c>
      <c r="C4371" s="4">
        <v>170</v>
      </c>
      <c r="D4371" s="4">
        <v>883578</v>
      </c>
    </row>
    <row r="4372" spans="1:4" x14ac:dyDescent="0.25">
      <c r="A4372" t="str">
        <f>T("   291211")</f>
        <v xml:space="preserve">   291211</v>
      </c>
      <c r="B4372" t="str">
        <f>T("   METHANAL (FORMALDEHYDE)")</f>
        <v xml:space="preserve">   METHANAL (FORMALDEHYDE)</v>
      </c>
      <c r="C4372" s="4">
        <v>797</v>
      </c>
      <c r="D4372" s="4">
        <v>2947586</v>
      </c>
    </row>
    <row r="4373" spans="1:4" x14ac:dyDescent="0.25">
      <c r="A4373" t="str">
        <f>T("   291521")</f>
        <v xml:space="preserve">   291521</v>
      </c>
      <c r="B4373" t="str">
        <f>T("   ACIDE ACETIQUE")</f>
        <v xml:space="preserve">   ACIDE ACETIQUE</v>
      </c>
      <c r="C4373" s="4">
        <v>1005</v>
      </c>
      <c r="D4373" s="4">
        <v>364714</v>
      </c>
    </row>
    <row r="4374" spans="1:4" x14ac:dyDescent="0.25">
      <c r="A4374" t="str">
        <f>T("   291539")</f>
        <v xml:space="preserve">   291539</v>
      </c>
      <c r="B4374" t="str">
        <f>T("   AUTRES")</f>
        <v xml:space="preserve">   AUTRES</v>
      </c>
      <c r="C4374" s="4">
        <v>400</v>
      </c>
      <c r="D4374" s="4">
        <v>1010178</v>
      </c>
    </row>
    <row r="4375" spans="1:4" x14ac:dyDescent="0.25">
      <c r="A4375" t="str">
        <f>T("   291590")</f>
        <v xml:space="preserve">   291590</v>
      </c>
      <c r="B4375" t="str">
        <f>T("   AUTRES")</f>
        <v xml:space="preserve">   AUTRES</v>
      </c>
      <c r="C4375" s="4">
        <v>4000</v>
      </c>
      <c r="D4375" s="4">
        <v>31549051</v>
      </c>
    </row>
    <row r="4376" spans="1:4" x14ac:dyDescent="0.25">
      <c r="A4376" t="str">
        <f>T("   291614")</f>
        <v xml:space="preserve">   291614</v>
      </c>
      <c r="B4376" t="str">
        <f>T("   ESTERS DE L'ACIDE METHACRYLIQUE")</f>
        <v xml:space="preserve">   ESTERS DE L'ACIDE METHACRYLIQUE</v>
      </c>
      <c r="C4376" s="4">
        <v>4016</v>
      </c>
      <c r="D4376" s="4">
        <v>4957746</v>
      </c>
    </row>
    <row r="4377" spans="1:4" x14ac:dyDescent="0.25">
      <c r="A4377" t="str">
        <f>T("   291619")</f>
        <v xml:space="preserve">   291619</v>
      </c>
      <c r="B4377" t="str">
        <f>T("   AUTRES")</f>
        <v xml:space="preserve">   AUTRES</v>
      </c>
      <c r="C4377" s="4">
        <v>800</v>
      </c>
      <c r="D4377" s="4">
        <v>3055573</v>
      </c>
    </row>
    <row r="4378" spans="1:4" x14ac:dyDescent="0.25">
      <c r="A4378" t="str">
        <f>T("   291631")</f>
        <v xml:space="preserve">   291631</v>
      </c>
      <c r="B4378" t="str">
        <f>T("   ACIDE BENZOIQUE, SES SELS ET SES ESTERS")</f>
        <v xml:space="preserve">   ACIDE BENZOIQUE, SES SELS ET SES ESTERS</v>
      </c>
      <c r="C4378" s="4">
        <v>1704</v>
      </c>
      <c r="D4378" s="4">
        <v>5870784</v>
      </c>
    </row>
    <row r="4379" spans="1:4" x14ac:dyDescent="0.25">
      <c r="A4379" t="str">
        <f>T("   291639")</f>
        <v xml:space="preserve">   291639</v>
      </c>
      <c r="B4379" t="str">
        <f>T("   AUTRES")</f>
        <v xml:space="preserve">   AUTRES</v>
      </c>
      <c r="C4379" s="4">
        <v>264</v>
      </c>
      <c r="D4379" s="4">
        <v>1614974</v>
      </c>
    </row>
    <row r="4380" spans="1:4" x14ac:dyDescent="0.25">
      <c r="A4380" t="str">
        <f>T("   291814")</f>
        <v xml:space="preserve">   291814</v>
      </c>
      <c r="B4380" t="str">
        <f>T("   Acide citrique")</f>
        <v xml:space="preserve">   Acide citrique</v>
      </c>
      <c r="C4380" s="4">
        <v>37088</v>
      </c>
      <c r="D4380" s="4">
        <v>41870818</v>
      </c>
    </row>
    <row r="4381" spans="1:4" x14ac:dyDescent="0.25">
      <c r="A4381" t="str">
        <f>T("   292159")</f>
        <v xml:space="preserve">   292159</v>
      </c>
      <c r="B4381" t="str">
        <f>T("   AUTRES")</f>
        <v xml:space="preserve">   AUTRES</v>
      </c>
      <c r="C4381" s="4">
        <v>1687</v>
      </c>
      <c r="D4381" s="4">
        <v>35873160</v>
      </c>
    </row>
    <row r="4382" spans="1:4" x14ac:dyDescent="0.25">
      <c r="A4382" t="str">
        <f>T("   292212")</f>
        <v xml:space="preserve">   292212</v>
      </c>
      <c r="B4382" t="str">
        <f>T("   DIETHANOLAMINE ET SES SELS")</f>
        <v xml:space="preserve">   DIETHANOLAMINE ET SES SELS</v>
      </c>
      <c r="C4382" s="4">
        <v>1080</v>
      </c>
      <c r="D4382" s="4">
        <v>2416557</v>
      </c>
    </row>
    <row r="4383" spans="1:4" x14ac:dyDescent="0.25">
      <c r="A4383" t="str">
        <f>T("   292320")</f>
        <v xml:space="preserve">   292320</v>
      </c>
      <c r="B4383" t="str">
        <f>T("   LECITHINES ET AUTRES PHOSPHOAMINOLIPIDES")</f>
        <v xml:space="preserve">   LECITHINES ET AUTRES PHOSPHOAMINOLIPIDES</v>
      </c>
      <c r="C4383" s="4">
        <v>1443</v>
      </c>
      <c r="D4383" s="4">
        <v>3045622</v>
      </c>
    </row>
    <row r="4384" spans="1:4" x14ac:dyDescent="0.25">
      <c r="A4384" t="str">
        <f>T("   292519")</f>
        <v xml:space="preserve">   292519</v>
      </c>
      <c r="B4384" t="str">
        <f>T("   AUTRES")</f>
        <v xml:space="preserve">   AUTRES</v>
      </c>
      <c r="C4384" s="4">
        <v>1</v>
      </c>
      <c r="D4384" s="4">
        <v>436732</v>
      </c>
    </row>
    <row r="4385" spans="1:4" x14ac:dyDescent="0.25">
      <c r="A4385" t="str">
        <f>T("   292910")</f>
        <v xml:space="preserve">   292910</v>
      </c>
      <c r="B4385" t="str">
        <f>T("   Isocyanates")</f>
        <v xml:space="preserve">   Isocyanates</v>
      </c>
      <c r="C4385" s="4">
        <v>200000</v>
      </c>
      <c r="D4385" s="4">
        <v>258894294</v>
      </c>
    </row>
    <row r="4386" spans="1:4" x14ac:dyDescent="0.25">
      <c r="A4386" t="str">
        <f>T("   293100")</f>
        <v xml:space="preserve">   293100</v>
      </c>
      <c r="B4386" t="str">
        <f>T("   Autres composes organo-inorganiques")</f>
        <v xml:space="preserve">   Autres composes organo-inorganiques</v>
      </c>
      <c r="C4386" s="4">
        <v>3</v>
      </c>
      <c r="D4386" s="4">
        <v>45858</v>
      </c>
    </row>
    <row r="4387" spans="1:4" x14ac:dyDescent="0.25">
      <c r="A4387" t="str">
        <f>T("   293621")</f>
        <v xml:space="preserve">   293621</v>
      </c>
      <c r="B4387" t="str">
        <f>T("   VITAMINES A ET LEURS DERIVES")</f>
        <v xml:space="preserve">   VITAMINES A ET LEURS DERIVES</v>
      </c>
      <c r="C4387" s="4">
        <v>4507</v>
      </c>
      <c r="D4387" s="4">
        <v>14127411</v>
      </c>
    </row>
    <row r="4388" spans="1:4" x14ac:dyDescent="0.25">
      <c r="A4388" t="str">
        <f>T("   293627")</f>
        <v xml:space="preserve">   293627</v>
      </c>
      <c r="B4388" t="str">
        <f>T("   VITAMINE C ET SES DERIVES")</f>
        <v xml:space="preserve">   VITAMINE C ET SES DERIVES</v>
      </c>
      <c r="C4388" s="4">
        <v>4224</v>
      </c>
      <c r="D4388" s="4">
        <v>14537426</v>
      </c>
    </row>
    <row r="4389" spans="1:4" x14ac:dyDescent="0.25">
      <c r="A4389" t="str">
        <f>T("   293629")</f>
        <v xml:space="preserve">   293629</v>
      </c>
      <c r="B4389" t="str">
        <f>T("   AUTRES VITAMINES ET LEURS DERIVES")</f>
        <v xml:space="preserve">   AUTRES VITAMINES ET LEURS DERIVES</v>
      </c>
      <c r="C4389" s="4">
        <v>12566</v>
      </c>
      <c r="D4389" s="4">
        <v>158685480</v>
      </c>
    </row>
    <row r="4390" spans="1:4" x14ac:dyDescent="0.25">
      <c r="A4390" t="str">
        <f>T("   293690")</f>
        <v xml:space="preserve">   293690</v>
      </c>
      <c r="B4390" t="str">
        <f>T("   AUTRES, Y COMPRIS LES CONCENTRATS NATURELS")</f>
        <v xml:space="preserve">   AUTRES, Y COMPRIS LES CONCENTRATS NATURELS</v>
      </c>
      <c r="C4390" s="4">
        <v>5440</v>
      </c>
      <c r="D4390" s="4">
        <v>39684271</v>
      </c>
    </row>
    <row r="4391" spans="1:4" x14ac:dyDescent="0.25">
      <c r="A4391" t="str">
        <f>T("   294190")</f>
        <v xml:space="preserve">   294190</v>
      </c>
      <c r="B4391" t="str">
        <f>T("   AUTRES")</f>
        <v xml:space="preserve">   AUTRES</v>
      </c>
      <c r="C4391" s="4">
        <v>5</v>
      </c>
      <c r="D4391" s="4">
        <v>169841</v>
      </c>
    </row>
    <row r="4392" spans="1:4" x14ac:dyDescent="0.25">
      <c r="A4392" t="str">
        <f>T("   294200")</f>
        <v xml:space="preserve">   294200</v>
      </c>
      <c r="B4392" t="str">
        <f>T("   AUTRES COMPOSES ORGANIQUES.")</f>
        <v xml:space="preserve">   AUTRES COMPOSES ORGANIQUES.</v>
      </c>
      <c r="C4392" s="4">
        <v>18038</v>
      </c>
      <c r="D4392" s="4">
        <v>12444625</v>
      </c>
    </row>
    <row r="4393" spans="1:4" x14ac:dyDescent="0.25">
      <c r="A4393" t="str">
        <f>T("   300220")</f>
        <v xml:space="preserve">   300220</v>
      </c>
      <c r="B4393" t="str">
        <f>T("   Vaccins pour la medecine humaine")</f>
        <v xml:space="preserve">   Vaccins pour la medecine humaine</v>
      </c>
      <c r="C4393" s="4">
        <v>4787</v>
      </c>
      <c r="D4393" s="4">
        <v>305370786</v>
      </c>
    </row>
    <row r="4394" spans="1:4" x14ac:dyDescent="0.25">
      <c r="A4394" t="str">
        <f>T("   300230")</f>
        <v xml:space="preserve">   300230</v>
      </c>
      <c r="B4394" t="str">
        <f>T("   VACCINS POUR LA MEDECINE VETERINAIRE")</f>
        <v xml:space="preserve">   VACCINS POUR LA MEDECINE VETERINAIRE</v>
      </c>
      <c r="C4394" s="4">
        <v>716</v>
      </c>
      <c r="D4394" s="4">
        <v>35373452</v>
      </c>
    </row>
    <row r="4395" spans="1:4" x14ac:dyDescent="0.25">
      <c r="A4395" t="str">
        <f>T("   300310")</f>
        <v xml:space="preserve">   300310</v>
      </c>
      <c r="B4395" t="str">
        <f>T("   CONTENANT DES PENICILLINES OU DES DERIVES DE CES PRODUITS, A STRUCTURE D'ACIDE PENICI")</f>
        <v xml:space="preserve">   CONTENANT DES PENICILLINES OU DES DERIVES DE CES PRODUITS, A STRUCTURE D'ACIDE PENICI</v>
      </c>
      <c r="C4395" s="4">
        <v>33.200000000000003</v>
      </c>
      <c r="D4395" s="4">
        <v>650000</v>
      </c>
    </row>
    <row r="4396" spans="1:4" x14ac:dyDescent="0.25">
      <c r="A4396" t="str">
        <f>T("   300320")</f>
        <v xml:space="preserve">   300320</v>
      </c>
      <c r="B4396" t="str">
        <f>T("   CONTENANT D'AUTRES ANTIBIOTIQUES")</f>
        <v xml:space="preserve">   CONTENANT D'AUTRES ANTIBIOTIQUES</v>
      </c>
      <c r="C4396" s="4">
        <v>151.18</v>
      </c>
      <c r="D4396" s="4">
        <v>2043951</v>
      </c>
    </row>
    <row r="4397" spans="1:4" x14ac:dyDescent="0.25">
      <c r="A4397" t="str">
        <f>T("   300339")</f>
        <v xml:space="preserve">   300339</v>
      </c>
      <c r="B4397" t="str">
        <f>T("   AUTRES")</f>
        <v xml:space="preserve">   AUTRES</v>
      </c>
      <c r="C4397" s="4">
        <v>140</v>
      </c>
      <c r="D4397" s="4">
        <v>686185</v>
      </c>
    </row>
    <row r="4398" spans="1:4" x14ac:dyDescent="0.25">
      <c r="A4398" t="str">
        <f>T("   300390")</f>
        <v xml:space="preserve">   300390</v>
      </c>
      <c r="B4398" t="str">
        <f>T("   AUTRES")</f>
        <v xml:space="preserve">   AUTRES</v>
      </c>
      <c r="C4398" s="4">
        <v>139</v>
      </c>
      <c r="D4398" s="4">
        <v>173436</v>
      </c>
    </row>
    <row r="4399" spans="1:4" x14ac:dyDescent="0.25">
      <c r="A4399" t="str">
        <f>T("   300410")</f>
        <v xml:space="preserve">   300410</v>
      </c>
      <c r="B4399" t="str">
        <f>T("   CONTENANT DES PENICILLINES OU DES DERIVES DE CES PRODUITS, A STRUCTURE D'ACIDE PENICI")</f>
        <v xml:space="preserve">   CONTENANT DES PENICILLINES OU DES DERIVES DE CES PRODUITS, A STRUCTURE D'ACIDE PENICI</v>
      </c>
      <c r="C4399" s="4">
        <v>907521</v>
      </c>
      <c r="D4399" s="4">
        <v>10399967649</v>
      </c>
    </row>
    <row r="4400" spans="1:4" x14ac:dyDescent="0.25">
      <c r="A4400" t="str">
        <f>T("   300420")</f>
        <v xml:space="preserve">   300420</v>
      </c>
      <c r="B4400" t="str">
        <f>T("   CONTENANT D'AUTRES ANTIBIOTIQUES")</f>
        <v xml:space="preserve">   CONTENANT D'AUTRES ANTIBIOTIQUES</v>
      </c>
      <c r="C4400" s="4">
        <v>1523</v>
      </c>
      <c r="D4400" s="4">
        <v>11753652</v>
      </c>
    </row>
    <row r="4401" spans="1:4" x14ac:dyDescent="0.25">
      <c r="A4401" t="str">
        <f>T("   300432")</f>
        <v xml:space="preserve">   300432</v>
      </c>
      <c r="B4401" t="str">
        <f>T("   CONTENANT DES HORMONES CORTICOSTEROIDES, LEURS DERIVES OU ANALOGUES STRUCTURELS")</f>
        <v xml:space="preserve">   CONTENANT DES HORMONES CORTICOSTEROIDES, LEURS DERIVES OU ANALOGUES STRUCTURELS</v>
      </c>
      <c r="C4401" s="4">
        <v>70</v>
      </c>
      <c r="D4401" s="4">
        <v>1966568</v>
      </c>
    </row>
    <row r="4402" spans="1:4" x14ac:dyDescent="0.25">
      <c r="A4402" t="str">
        <f>T("   300439")</f>
        <v xml:space="preserve">   300439</v>
      </c>
      <c r="B4402" t="str">
        <f>T("   AUTRES")</f>
        <v xml:space="preserve">   AUTRES</v>
      </c>
      <c r="C4402" s="4">
        <v>10</v>
      </c>
      <c r="D4402" s="4">
        <v>276133</v>
      </c>
    </row>
    <row r="4403" spans="1:4" x14ac:dyDescent="0.25">
      <c r="A4403" t="str">
        <f>T("   300440")</f>
        <v xml:space="preserve">   300440</v>
      </c>
      <c r="B4403" t="str">
        <f>T("   CONTENANT DES ALCALOIDES OU LEURS DERIVES, MAIS NE CONTENANT NI HORMONES, NI AUTRES P")</f>
        <v xml:space="preserve">   CONTENANT DES ALCALOIDES OU LEURS DERIVES, MAIS NE CONTENANT NI HORMONES, NI AUTRES P</v>
      </c>
      <c r="C4403" s="4">
        <v>11</v>
      </c>
      <c r="D4403" s="4">
        <v>183013</v>
      </c>
    </row>
    <row r="4404" spans="1:4" x14ac:dyDescent="0.25">
      <c r="A4404" t="str">
        <f>T("   300450")</f>
        <v xml:space="preserve">   300450</v>
      </c>
      <c r="B4404" t="str">
        <f>T("   AUTRES MEDICAMENTS CONTENANT DES VITAMINES OU D'AUTRES PRODUITS DU N° 29.36")</f>
        <v xml:space="preserve">   AUTRES MEDICAMENTS CONTENANT DES VITAMINES OU D'AUTRES PRODUITS DU N° 29.36</v>
      </c>
      <c r="C4404" s="4">
        <v>1958</v>
      </c>
      <c r="D4404" s="4">
        <v>23323885</v>
      </c>
    </row>
    <row r="4405" spans="1:4" x14ac:dyDescent="0.25">
      <c r="A4405" t="str">
        <f>T("   300490")</f>
        <v xml:space="preserve">   300490</v>
      </c>
      <c r="B4405" t="str">
        <f>T("   AUTRES")</f>
        <v xml:space="preserve">   AUTRES</v>
      </c>
      <c r="C4405" s="4">
        <v>1968490.96</v>
      </c>
      <c r="D4405" s="4">
        <v>25032112190</v>
      </c>
    </row>
    <row r="4406" spans="1:4" x14ac:dyDescent="0.25">
      <c r="A4406" t="str">
        <f>T("   300510")</f>
        <v xml:space="preserve">   300510</v>
      </c>
      <c r="B4406" t="str">
        <f>T("   PANSEMENTS ADHESIFS ET AUTRES ARTICLES AYANT UNE COUCHE ADHESIVE")</f>
        <v xml:space="preserve">   PANSEMENTS ADHESIFS ET AUTRES ARTICLES AYANT UNE COUCHE ADHESIVE</v>
      </c>
      <c r="C4406" s="4">
        <v>18277</v>
      </c>
      <c r="D4406" s="4">
        <v>117750657</v>
      </c>
    </row>
    <row r="4407" spans="1:4" x14ac:dyDescent="0.25">
      <c r="A4407" t="str">
        <f>T("   300590")</f>
        <v xml:space="preserve">   300590</v>
      </c>
      <c r="B4407" t="str">
        <f>T("   AUTRES")</f>
        <v xml:space="preserve">   AUTRES</v>
      </c>
      <c r="C4407" s="4">
        <v>30747</v>
      </c>
      <c r="D4407" s="4">
        <v>182958098</v>
      </c>
    </row>
    <row r="4408" spans="1:4" x14ac:dyDescent="0.25">
      <c r="A4408" t="str">
        <f>T("   300610")</f>
        <v xml:space="preserve">   300610</v>
      </c>
      <c r="B4408" t="str">
        <f>T("   CATGUTS STERILES, LIGATURES STERILES SIMILAIRES POUR SUTURES CHIRURGICALES (Y COMPRIS")</f>
        <v xml:space="preserve">   CATGUTS STERILES, LIGATURES STERILES SIMILAIRES POUR SUTURES CHIRURGICALES (Y COMPRIS</v>
      </c>
      <c r="C4408" s="4">
        <v>115</v>
      </c>
      <c r="D4408" s="4">
        <v>4123266</v>
      </c>
    </row>
    <row r="4409" spans="1:4" x14ac:dyDescent="0.25">
      <c r="A4409" t="str">
        <f>T("   300620")</f>
        <v xml:space="preserve">   300620</v>
      </c>
      <c r="B4409" t="str">
        <f>T("   REACTIFS DESTINES A LA DETERMINATION DES GROUPES OU DES FACTEURS SANGUINS")</f>
        <v xml:space="preserve">   REACTIFS DESTINES A LA DETERMINATION DES GROUPES OU DES FACTEURS SANGUINS</v>
      </c>
      <c r="C4409" s="4">
        <v>1926</v>
      </c>
      <c r="D4409" s="4">
        <v>14609190</v>
      </c>
    </row>
    <row r="4410" spans="1:4" x14ac:dyDescent="0.25">
      <c r="A4410" t="str">
        <f>T("   300630")</f>
        <v xml:space="preserve">   300630</v>
      </c>
      <c r="B4410" t="str">
        <f>T("   PREPARATIONS OPACIFIANTES POUR EXAMENS RADIOGRAPHIQUES; REACTIFS DE DIAGNOSTIC CONCUS")</f>
        <v xml:space="preserve">   PREPARATIONS OPACIFIANTES POUR EXAMENS RADIOGRAPHIQUES; REACTIFS DE DIAGNOSTIC CONCUS</v>
      </c>
      <c r="C4410" s="4">
        <v>202.9</v>
      </c>
      <c r="D4410" s="4">
        <v>6316961</v>
      </c>
    </row>
    <row r="4411" spans="1:4" x14ac:dyDescent="0.25">
      <c r="A4411" t="str">
        <f>T("   300650")</f>
        <v xml:space="preserve">   300650</v>
      </c>
      <c r="B4411" t="str">
        <f>T("   TROUSSES ET BOITES DE PHARMACIE GARNIES, POUR SOINS DE PREMIERE URGENCE")</f>
        <v xml:space="preserve">   TROUSSES ET BOITES DE PHARMACIE GARNIES, POUR SOINS DE PREMIERE URGENCE</v>
      </c>
      <c r="C4411" s="4">
        <v>42</v>
      </c>
      <c r="D4411" s="4">
        <v>201642</v>
      </c>
    </row>
    <row r="4412" spans="1:4" x14ac:dyDescent="0.25">
      <c r="A4412" t="str">
        <f>T("   300660")</f>
        <v xml:space="preserve">   300660</v>
      </c>
      <c r="B4412" t="str">
        <f>T("   PREPARATIONS CHIMIQUES CONTRACEPTIVES A BASE D’HORMONES, D’AUTRES PRODUITS DU N° 29.3")</f>
        <v xml:space="preserve">   PREPARATIONS CHIMIQUES CONTRACEPTIVES A BASE D’HORMONES, D’AUTRES PRODUITS DU N° 29.3</v>
      </c>
      <c r="C4412" s="4">
        <v>3156</v>
      </c>
      <c r="D4412" s="4">
        <v>34870461</v>
      </c>
    </row>
    <row r="4413" spans="1:4" x14ac:dyDescent="0.25">
      <c r="A4413" t="str">
        <f>T("   300670")</f>
        <v xml:space="preserve">   300670</v>
      </c>
      <c r="B4413" t="str">
        <f>T("   PREPARATIONS PRESENTEES SOUS FORME DE GEL CONCUES POUR ETRE UTILISEES EN MEDECINE HUM")</f>
        <v xml:space="preserve">   PREPARATIONS PRESENTEES SOUS FORME DE GEL CONCUES POUR ETRE UTILISEES EN MEDECINE HUM</v>
      </c>
      <c r="C4413" s="4">
        <v>730.9</v>
      </c>
      <c r="D4413" s="4">
        <v>8068965</v>
      </c>
    </row>
    <row r="4414" spans="1:4" x14ac:dyDescent="0.25">
      <c r="A4414" t="str">
        <f>T("   310210")</f>
        <v xml:space="preserve">   310210</v>
      </c>
      <c r="B4414" t="str">
        <f>T("   UREE, MEME EN SOLUTION AQUEUSE")</f>
        <v xml:space="preserve">   UREE, MEME EN SOLUTION AQUEUSE</v>
      </c>
      <c r="C4414" s="4">
        <v>1000</v>
      </c>
      <c r="D4414" s="4">
        <v>1396539</v>
      </c>
    </row>
    <row r="4415" spans="1:4" x14ac:dyDescent="0.25">
      <c r="A4415" t="str">
        <f>T("   310229")</f>
        <v xml:space="preserve">   310229</v>
      </c>
      <c r="B4415" t="str">
        <f>T("   AUTRES")</f>
        <v xml:space="preserve">   AUTRES</v>
      </c>
      <c r="C4415" s="4">
        <v>1650</v>
      </c>
      <c r="D4415" s="4">
        <v>2230264</v>
      </c>
    </row>
    <row r="4416" spans="1:4" x14ac:dyDescent="0.25">
      <c r="A4416" t="str">
        <f>T("   310230")</f>
        <v xml:space="preserve">   310230</v>
      </c>
      <c r="B4416" t="str">
        <f>T("   NITRATE D'AMMONIUM, MEME EN SOLUTION AQUEUSE")</f>
        <v xml:space="preserve">   NITRATE D'AMMONIUM, MEME EN SOLUTION AQUEUSE</v>
      </c>
      <c r="C4416" s="4">
        <v>114020</v>
      </c>
      <c r="D4416" s="4">
        <v>49618127</v>
      </c>
    </row>
    <row r="4417" spans="1:4" x14ac:dyDescent="0.25">
      <c r="A4417" t="str">
        <f>T("   320300")</f>
        <v xml:space="preserve">   320300</v>
      </c>
      <c r="B4417" t="str">
        <f>T("   MATIERES COLORANTES D'ORIGINE VEGETALE OU ANIMALE (Y COMPRIS LES EXTRAITS TINCTORIAUX M")</f>
        <v xml:space="preserve">   MATIERES COLORANTES D'ORIGINE VEGETALE OU ANIMALE (Y COMPRIS LES EXTRAITS TINCTORIAUX M</v>
      </c>
      <c r="C4417" s="4">
        <v>116</v>
      </c>
      <c r="D4417" s="4">
        <v>1029857</v>
      </c>
    </row>
    <row r="4418" spans="1:4" x14ac:dyDescent="0.25">
      <c r="A4418" t="str">
        <f>T("   320411")</f>
        <v xml:space="preserve">   320411</v>
      </c>
      <c r="B4418" t="str">
        <f>T("   Colorants disperses et preparations a base de ces colorants")</f>
        <v xml:space="preserve">   Colorants disperses et preparations a base de ces colorants</v>
      </c>
      <c r="C4418" s="4">
        <v>9340</v>
      </c>
      <c r="D4418" s="4">
        <v>43704647</v>
      </c>
    </row>
    <row r="4419" spans="1:4" x14ac:dyDescent="0.25">
      <c r="A4419" t="str">
        <f>T("   320412")</f>
        <v xml:space="preserve">   320412</v>
      </c>
      <c r="B4419" t="str">
        <f>T("   COLORANTS ACIDES, MEME METALLISES, ET PREPARATIONS A BASE DE CES COLORANTS; COLORANT")</f>
        <v xml:space="preserve">   COLORANTS ACIDES, MEME METALLISES, ET PREPARATIONS A BASE DE CES COLORANTS; COLORANT</v>
      </c>
      <c r="C4419" s="4">
        <v>11</v>
      </c>
      <c r="D4419" s="4">
        <v>569446</v>
      </c>
    </row>
    <row r="4420" spans="1:4" x14ac:dyDescent="0.25">
      <c r="A4420" t="str">
        <f>T("   320490")</f>
        <v xml:space="preserve">   320490</v>
      </c>
      <c r="B4420" t="str">
        <f>T("   AUTRES")</f>
        <v xml:space="preserve">   AUTRES</v>
      </c>
      <c r="C4420" s="4">
        <v>290</v>
      </c>
      <c r="D4420" s="4">
        <v>656278</v>
      </c>
    </row>
    <row r="4421" spans="1:4" x14ac:dyDescent="0.25">
      <c r="A4421" t="str">
        <f>T("   320611")</f>
        <v xml:space="preserve">   320611</v>
      </c>
      <c r="B4421" t="str">
        <f>T("   CONTENANT EN POIDS 80 % OU PLUS DE DIOXYDE DE TITANE, CALCULE SUR MATIERE SECHE")</f>
        <v xml:space="preserve">   CONTENANT EN POIDS 80 % OU PLUS DE DIOXYDE DE TITANE, CALCULE SUR MATIERE SECHE</v>
      </c>
      <c r="C4421" s="4">
        <v>20740</v>
      </c>
      <c r="D4421" s="4">
        <v>30593778</v>
      </c>
    </row>
    <row r="4422" spans="1:4" x14ac:dyDescent="0.25">
      <c r="A4422" t="str">
        <f>T("   320620")</f>
        <v xml:space="preserve">   320620</v>
      </c>
      <c r="B4422" t="str">
        <f>T("   PIGMENTS ET PREPARATIONS A BASE DE COMPOSES DU CHROME")</f>
        <v xml:space="preserve">   PIGMENTS ET PREPARATIONS A BASE DE COMPOSES DU CHROME</v>
      </c>
      <c r="C4422" s="4">
        <v>2305</v>
      </c>
      <c r="D4422" s="4">
        <v>7025332</v>
      </c>
    </row>
    <row r="4423" spans="1:4" x14ac:dyDescent="0.25">
      <c r="A4423" t="str">
        <f>T("   320642")</f>
        <v xml:space="preserve">   320642</v>
      </c>
      <c r="B4423" t="str">
        <f>T("   LITHOPONE, AUTRES PIGMENTS ET PREPARATIONS A BASE DE SULFURE DE ZINC")</f>
        <v xml:space="preserve">   LITHOPONE, AUTRES PIGMENTS ET PREPARATIONS A BASE DE SULFURE DE ZINC</v>
      </c>
      <c r="C4423" s="4">
        <v>6645</v>
      </c>
      <c r="D4423" s="4">
        <v>24853012</v>
      </c>
    </row>
    <row r="4424" spans="1:4" x14ac:dyDescent="0.25">
      <c r="A4424" t="str">
        <f>T("   320820")</f>
        <v xml:space="preserve">   320820</v>
      </c>
      <c r="B4424" t="str">
        <f>T("   A BASE DE POLYMERES ACRYLIQUES OU VINYLIQUES")</f>
        <v xml:space="preserve">   A BASE DE POLYMERES ACRYLIQUES OU VINYLIQUES</v>
      </c>
      <c r="C4424" s="4">
        <v>932</v>
      </c>
      <c r="D4424" s="4">
        <v>1748950</v>
      </c>
    </row>
    <row r="4425" spans="1:4" x14ac:dyDescent="0.25">
      <c r="A4425" t="str">
        <f>T("   320890")</f>
        <v xml:space="preserve">   320890</v>
      </c>
      <c r="B4425" t="str">
        <f>T("   AUTRES")</f>
        <v xml:space="preserve">   AUTRES</v>
      </c>
      <c r="C4425" s="4">
        <v>1681</v>
      </c>
      <c r="D4425" s="4">
        <v>3503120</v>
      </c>
    </row>
    <row r="4426" spans="1:4" x14ac:dyDescent="0.25">
      <c r="A4426" t="str">
        <f>T("   320910")</f>
        <v xml:space="preserve">   320910</v>
      </c>
      <c r="B4426" t="str">
        <f>T("   A BASE DE POLYMERES ACRYLIQUES OU VINYLIQUES")</f>
        <v xml:space="preserve">   A BASE DE POLYMERES ACRYLIQUES OU VINYLIQUES</v>
      </c>
      <c r="C4426" s="4">
        <v>191</v>
      </c>
      <c r="D4426" s="4">
        <v>3286189</v>
      </c>
    </row>
    <row r="4427" spans="1:4" x14ac:dyDescent="0.25">
      <c r="A4427" t="str">
        <f>T("   320990")</f>
        <v xml:space="preserve">   320990</v>
      </c>
      <c r="B4427" t="str">
        <f>T("   AUTRES")</f>
        <v xml:space="preserve">   AUTRES</v>
      </c>
      <c r="C4427" s="4">
        <v>3683.87</v>
      </c>
      <c r="D4427" s="4">
        <v>1941648</v>
      </c>
    </row>
    <row r="4428" spans="1:4" x14ac:dyDescent="0.25">
      <c r="A4428" t="str">
        <f>T("   321000")</f>
        <v xml:space="preserve">   321000</v>
      </c>
      <c r="B4428" t="str">
        <f>T("   AUTRES PEINTURES ET VERNIS; PIGMENTS A L'EAU PREPARES DES TYPES UTILISES POUR LE FINISS")</f>
        <v xml:space="preserve">   AUTRES PEINTURES ET VERNIS; PIGMENTS A L'EAU PREPARES DES TYPES UTILISES POUR LE FINISS</v>
      </c>
      <c r="C4428" s="4">
        <v>242</v>
      </c>
      <c r="D4428" s="4">
        <v>208000</v>
      </c>
    </row>
    <row r="4429" spans="1:4" x14ac:dyDescent="0.25">
      <c r="A4429" t="str">
        <f>T("   321290")</f>
        <v xml:space="preserve">   321290</v>
      </c>
      <c r="B4429" t="str">
        <f>T("   AUTRES")</f>
        <v xml:space="preserve">   AUTRES</v>
      </c>
      <c r="C4429" s="4">
        <v>21900</v>
      </c>
      <c r="D4429" s="4">
        <v>2595306</v>
      </c>
    </row>
    <row r="4430" spans="1:4" x14ac:dyDescent="0.25">
      <c r="A4430" t="str">
        <f>T("   321310")</f>
        <v xml:space="preserve">   321310</v>
      </c>
      <c r="B4430" t="str">
        <f>T("   Couleurs en assortiments")</f>
        <v xml:space="preserve">   Couleurs en assortiments</v>
      </c>
      <c r="C4430" s="4">
        <v>784</v>
      </c>
      <c r="D4430" s="4">
        <v>451117</v>
      </c>
    </row>
    <row r="4431" spans="1:4" x14ac:dyDescent="0.25">
      <c r="A4431" t="str">
        <f>T("   321410")</f>
        <v xml:space="preserve">   321410</v>
      </c>
      <c r="B4431" t="str">
        <f>T("   MASTIC DE VITRIER, CIMENTS DE RESINE ET AUTRES MASTICS; ENDUITS UTILISES EN PEINTURE")</f>
        <v xml:space="preserve">   MASTIC DE VITRIER, CIMENTS DE RESINE ET AUTRES MASTICS; ENDUITS UTILISES EN PEINTURE</v>
      </c>
      <c r="C4431" s="4">
        <v>5387</v>
      </c>
      <c r="D4431" s="4">
        <v>5429317</v>
      </c>
    </row>
    <row r="4432" spans="1:4" x14ac:dyDescent="0.25">
      <c r="A4432" t="str">
        <f>T("   321490")</f>
        <v xml:space="preserve">   321490</v>
      </c>
      <c r="B4432" t="str">
        <f>T("   AUTRES")</f>
        <v xml:space="preserve">   AUTRES</v>
      </c>
      <c r="C4432" s="4">
        <v>224</v>
      </c>
      <c r="D4432" s="4">
        <v>2046420</v>
      </c>
    </row>
    <row r="4433" spans="1:4" x14ac:dyDescent="0.25">
      <c r="A4433" t="str">
        <f>T("   321511")</f>
        <v xml:space="preserve">   321511</v>
      </c>
      <c r="B4433" t="str">
        <f>T("   NOIRES")</f>
        <v xml:space="preserve">   NOIRES</v>
      </c>
      <c r="C4433" s="4">
        <v>100</v>
      </c>
      <c r="D4433" s="4">
        <v>6753752</v>
      </c>
    </row>
    <row r="4434" spans="1:4" x14ac:dyDescent="0.25">
      <c r="A4434" t="str">
        <f>T("   321519")</f>
        <v xml:space="preserve">   321519</v>
      </c>
      <c r="B4434" t="str">
        <f>T("   AUTRES")</f>
        <v xml:space="preserve">   AUTRES</v>
      </c>
      <c r="C4434" s="4">
        <v>19852</v>
      </c>
      <c r="D4434" s="4">
        <v>48830841</v>
      </c>
    </row>
    <row r="4435" spans="1:4" x14ac:dyDescent="0.25">
      <c r="A4435" t="str">
        <f>T("   321590")</f>
        <v xml:space="preserve">   321590</v>
      </c>
      <c r="B4435" t="str">
        <f>T("   AUTRES")</f>
        <v xml:space="preserve">   AUTRES</v>
      </c>
      <c r="C4435" s="4">
        <v>17641.28</v>
      </c>
      <c r="D4435" s="4">
        <v>59297251</v>
      </c>
    </row>
    <row r="4436" spans="1:4" x14ac:dyDescent="0.25">
      <c r="A4436" t="str">
        <f>T("   330119")</f>
        <v xml:space="preserve">   330119</v>
      </c>
      <c r="B4436" t="str">
        <f>T("   AUTRES")</f>
        <v xml:space="preserve">   AUTRES</v>
      </c>
      <c r="C4436" s="4">
        <v>415</v>
      </c>
      <c r="D4436" s="4">
        <v>3342452</v>
      </c>
    </row>
    <row r="4437" spans="1:4" x14ac:dyDescent="0.25">
      <c r="A4437" t="str">
        <f>T("   330124")</f>
        <v xml:space="preserve">   330124</v>
      </c>
      <c r="B4437" t="str">
        <f>T("   DE MENTHE POIVREE (MENTHA PIPERITA)")</f>
        <v xml:space="preserve">   DE MENTHE POIVREE (MENTHA PIPERITA)</v>
      </c>
      <c r="C4437" s="4">
        <v>40</v>
      </c>
      <c r="D4437" s="4">
        <v>95114</v>
      </c>
    </row>
    <row r="4438" spans="1:4" x14ac:dyDescent="0.25">
      <c r="A4438" t="str">
        <f>T("   330129")</f>
        <v xml:space="preserve">   330129</v>
      </c>
      <c r="B4438" t="str">
        <f>T("   AUTRES")</f>
        <v xml:space="preserve">   AUTRES</v>
      </c>
      <c r="C4438" s="4">
        <v>2505</v>
      </c>
      <c r="D4438" s="4">
        <v>1045527</v>
      </c>
    </row>
    <row r="4439" spans="1:4" x14ac:dyDescent="0.25">
      <c r="A4439" t="str">
        <f>T("   330190")</f>
        <v xml:space="preserve">   330190</v>
      </c>
      <c r="B4439" t="str">
        <f>T("   AUTRES")</f>
        <v xml:space="preserve">   AUTRES</v>
      </c>
      <c r="C4439" s="4">
        <v>566</v>
      </c>
      <c r="D4439" s="4">
        <v>739148</v>
      </c>
    </row>
    <row r="4440" spans="1:4" x14ac:dyDescent="0.25">
      <c r="A4440" t="str">
        <f>T("   330210")</f>
        <v xml:space="preserve">   330210</v>
      </c>
      <c r="B4440" t="str">
        <f>T("   DES TYPES UTILISES POUR LES INDUSTRIES ALIMENTAIRES OU DES BOISSONS")</f>
        <v xml:space="preserve">   DES TYPES UTILISES POUR LES INDUSTRIES ALIMENTAIRES OU DES BOISSONS</v>
      </c>
      <c r="C4440" s="4">
        <v>201006</v>
      </c>
      <c r="D4440" s="4">
        <v>1016032408</v>
      </c>
    </row>
    <row r="4441" spans="1:4" x14ac:dyDescent="0.25">
      <c r="A4441" t="str">
        <f>T("   330290")</f>
        <v xml:space="preserve">   330290</v>
      </c>
      <c r="B4441" t="str">
        <f>T("   AUTRES")</f>
        <v xml:space="preserve">   AUTRES</v>
      </c>
      <c r="C4441" s="4">
        <v>407</v>
      </c>
      <c r="D4441" s="4">
        <v>471005</v>
      </c>
    </row>
    <row r="4442" spans="1:4" x14ac:dyDescent="0.25">
      <c r="A4442" t="str">
        <f>T("   330300")</f>
        <v xml:space="preserve">   330300</v>
      </c>
      <c r="B4442" t="str">
        <f>T("   PARFUMS ET EAUX DE TOILETTE.")</f>
        <v xml:space="preserve">   PARFUMS ET EAUX DE TOILETTE.</v>
      </c>
      <c r="C4442" s="4">
        <v>72319</v>
      </c>
      <c r="D4442" s="4">
        <v>281859743</v>
      </c>
    </row>
    <row r="4443" spans="1:4" x14ac:dyDescent="0.25">
      <c r="A4443" t="str">
        <f>T("   330410")</f>
        <v xml:space="preserve">   330410</v>
      </c>
      <c r="B4443" t="str">
        <f>T("   Produits de maquillage pour les levres")</f>
        <v xml:space="preserve">   Produits de maquillage pour les levres</v>
      </c>
      <c r="C4443" s="4">
        <v>56</v>
      </c>
      <c r="D4443" s="4">
        <v>150000</v>
      </c>
    </row>
    <row r="4444" spans="1:4" x14ac:dyDescent="0.25">
      <c r="A4444" t="str">
        <f>T("   330420")</f>
        <v xml:space="preserve">   330420</v>
      </c>
      <c r="B4444" t="str">
        <f>T("   Produits de maquillage pour les yeux")</f>
        <v xml:space="preserve">   Produits de maquillage pour les yeux</v>
      </c>
      <c r="C4444" s="4">
        <v>119</v>
      </c>
      <c r="D4444" s="4">
        <v>320108</v>
      </c>
    </row>
    <row r="4445" spans="1:4" x14ac:dyDescent="0.25">
      <c r="A4445" t="str">
        <f>T("   330491")</f>
        <v xml:space="preserve">   330491</v>
      </c>
      <c r="B4445" t="str">
        <f>T("   POUDRES, Y COMPRIS LES POUDRES COMPACTES")</f>
        <v xml:space="preserve">   POUDRES, Y COMPRIS LES POUDRES COMPACTES</v>
      </c>
      <c r="C4445" s="4">
        <v>304</v>
      </c>
      <c r="D4445" s="4">
        <v>746709</v>
      </c>
    </row>
    <row r="4446" spans="1:4" x14ac:dyDescent="0.25">
      <c r="A4446" t="str">
        <f>T("   330499")</f>
        <v xml:space="preserve">   330499</v>
      </c>
      <c r="B4446" t="str">
        <f>T("   AUTRES")</f>
        <v xml:space="preserve">   AUTRES</v>
      </c>
      <c r="C4446" s="4">
        <v>292901.7</v>
      </c>
      <c r="D4446" s="4">
        <v>429978271</v>
      </c>
    </row>
    <row r="4447" spans="1:4" x14ac:dyDescent="0.25">
      <c r="A4447" t="str">
        <f>T("   330510")</f>
        <v xml:space="preserve">   330510</v>
      </c>
      <c r="B4447" t="str">
        <f>T("   Shampooings")</f>
        <v xml:space="preserve">   Shampooings</v>
      </c>
      <c r="C4447" s="4">
        <v>5184</v>
      </c>
      <c r="D4447" s="4">
        <v>11834203</v>
      </c>
    </row>
    <row r="4448" spans="1:4" x14ac:dyDescent="0.25">
      <c r="A4448" t="str">
        <f>T("   330590")</f>
        <v xml:space="preserve">   330590</v>
      </c>
      <c r="B4448" t="str">
        <f>T("   AUTRES")</f>
        <v xml:space="preserve">   AUTRES</v>
      </c>
      <c r="C4448" s="4">
        <v>4088</v>
      </c>
      <c r="D4448" s="4">
        <v>19274731</v>
      </c>
    </row>
    <row r="4449" spans="1:4" x14ac:dyDescent="0.25">
      <c r="A4449" t="str">
        <f>T("   330610")</f>
        <v xml:space="preserve">   330610</v>
      </c>
      <c r="B4449" t="str">
        <f>T("   Dentifrices")</f>
        <v xml:space="preserve">   Dentifrices</v>
      </c>
      <c r="C4449" s="4">
        <v>92312</v>
      </c>
      <c r="D4449" s="4">
        <v>387104375</v>
      </c>
    </row>
    <row r="4450" spans="1:4" x14ac:dyDescent="0.25">
      <c r="A4450" t="str">
        <f>T("   330690")</f>
        <v xml:space="preserve">   330690</v>
      </c>
      <c r="B4450" t="str">
        <f>T("   AUTRES")</f>
        <v xml:space="preserve">   AUTRES</v>
      </c>
      <c r="C4450" s="4">
        <v>589</v>
      </c>
      <c r="D4450" s="4">
        <v>7106016</v>
      </c>
    </row>
    <row r="4451" spans="1:4" x14ac:dyDescent="0.25">
      <c r="A4451" t="str">
        <f>T("   330710")</f>
        <v xml:space="preserve">   330710</v>
      </c>
      <c r="B4451" t="str">
        <f>T("   PREPARATIONS POUR LE PRERASAGE, LE RASAGE OU L'APRESRASAGE")</f>
        <v xml:space="preserve">   PREPARATIONS POUR LE PRERASAGE, LE RASAGE OU L'APRESRASAGE</v>
      </c>
      <c r="C4451" s="4">
        <v>3047</v>
      </c>
      <c r="D4451" s="4">
        <v>14412753</v>
      </c>
    </row>
    <row r="4452" spans="1:4" x14ac:dyDescent="0.25">
      <c r="A4452" t="str">
        <f>T("   330720")</f>
        <v xml:space="preserve">   330720</v>
      </c>
      <c r="B4452" t="str">
        <f>T("   Desodorisants corporels et antisudoraux")</f>
        <v xml:space="preserve">   Desodorisants corporels et antisudoraux</v>
      </c>
      <c r="C4452" s="4">
        <v>28131</v>
      </c>
      <c r="D4452" s="4">
        <v>48054315</v>
      </c>
    </row>
    <row r="4453" spans="1:4" x14ac:dyDescent="0.25">
      <c r="A4453" t="str">
        <f>T("   330741")</f>
        <v xml:space="preserve">   330741</v>
      </c>
      <c r="B4453" t="str">
        <f>T("   «AGARBATTI» ET AUTRES PREPARATIONS ODORIFERANTES AGISSANT PAR COMBUSTION")</f>
        <v xml:space="preserve">   «AGARBATTI» ET AUTRES PREPARATIONS ODORIFERANTES AGISSANT PAR COMBUSTION</v>
      </c>
      <c r="C4453" s="4">
        <v>5770</v>
      </c>
      <c r="D4453" s="4">
        <v>2141054</v>
      </c>
    </row>
    <row r="4454" spans="1:4" x14ac:dyDescent="0.25">
      <c r="A4454" t="str">
        <f>T("   330749")</f>
        <v xml:space="preserve">   330749</v>
      </c>
      <c r="B4454" t="str">
        <f>T("   AUTRES")</f>
        <v xml:space="preserve">   AUTRES</v>
      </c>
      <c r="C4454" s="4">
        <v>20984.5</v>
      </c>
      <c r="D4454" s="4">
        <v>23493984</v>
      </c>
    </row>
    <row r="4455" spans="1:4" x14ac:dyDescent="0.25">
      <c r="A4455" t="str">
        <f>T("   330790")</f>
        <v xml:space="preserve">   330790</v>
      </c>
      <c r="B4455" t="str">
        <f>T("   AUTRES")</f>
        <v xml:space="preserve">   AUTRES</v>
      </c>
      <c r="C4455" s="4">
        <v>37569</v>
      </c>
      <c r="D4455" s="4">
        <v>15233354</v>
      </c>
    </row>
    <row r="4456" spans="1:4" x14ac:dyDescent="0.25">
      <c r="A4456" t="str">
        <f>T("   340111")</f>
        <v xml:space="preserve">   340111</v>
      </c>
      <c r="B4456" t="str">
        <f>T("   DE TOILETTE (Y COMPRIS CEUX A USAGES MEDICAUX)")</f>
        <v xml:space="preserve">   DE TOILETTE (Y COMPRIS CEUX A USAGES MEDICAUX)</v>
      </c>
      <c r="C4456" s="4">
        <v>56992</v>
      </c>
      <c r="D4456" s="4">
        <v>156177847</v>
      </c>
    </row>
    <row r="4457" spans="1:4" x14ac:dyDescent="0.25">
      <c r="A4457" t="str">
        <f>T("   340119")</f>
        <v xml:space="preserve">   340119</v>
      </c>
      <c r="B4457" t="str">
        <f>T("   AUTRES")</f>
        <v xml:space="preserve">   AUTRES</v>
      </c>
      <c r="C4457" s="4">
        <v>90706</v>
      </c>
      <c r="D4457" s="4">
        <v>73943319</v>
      </c>
    </row>
    <row r="4458" spans="1:4" x14ac:dyDescent="0.25">
      <c r="A4458" t="str">
        <f>T("   340120")</f>
        <v xml:space="preserve">   340120</v>
      </c>
      <c r="B4458" t="str">
        <f>T("   SAVONS SOUS AUTRES FORMES")</f>
        <v xml:space="preserve">   SAVONS SOUS AUTRES FORMES</v>
      </c>
      <c r="C4458" s="4">
        <v>11178</v>
      </c>
      <c r="D4458" s="4">
        <v>27878163</v>
      </c>
    </row>
    <row r="4459" spans="1:4" x14ac:dyDescent="0.25">
      <c r="A4459" t="str">
        <f>T("   340130")</f>
        <v xml:space="preserve">   340130</v>
      </c>
      <c r="B4459" t="str">
        <f>T("   PRODUITS ET PREPARATIONS ORGANIQUES TENSIOACTIFS DESTINES AU LAVAGE DE LA PEAU, SOUS")</f>
        <v xml:space="preserve">   PRODUITS ET PREPARATIONS ORGANIQUES TENSIOACTIFS DESTINES AU LAVAGE DE LA PEAU, SOUS</v>
      </c>
      <c r="C4459" s="4">
        <v>6786</v>
      </c>
      <c r="D4459" s="4">
        <v>19740060</v>
      </c>
    </row>
    <row r="4460" spans="1:4" x14ac:dyDescent="0.25">
      <c r="A4460" t="str">
        <f>T("   340212")</f>
        <v xml:space="preserve">   340212</v>
      </c>
      <c r="B4460" t="str">
        <f>T("   CATIONIQUES")</f>
        <v xml:space="preserve">   CATIONIQUES</v>
      </c>
      <c r="C4460" s="4">
        <v>15680</v>
      </c>
      <c r="D4460" s="4">
        <v>5050892</v>
      </c>
    </row>
    <row r="4461" spans="1:4" x14ac:dyDescent="0.25">
      <c r="A4461" t="str">
        <f>T("   340213")</f>
        <v xml:space="preserve">   340213</v>
      </c>
      <c r="B4461" t="str">
        <f>T("   NONIONIQUES")</f>
        <v xml:space="preserve">   NONIONIQUES</v>
      </c>
      <c r="C4461" s="4">
        <v>800</v>
      </c>
      <c r="D4461" s="4">
        <v>1906830</v>
      </c>
    </row>
    <row r="4462" spans="1:4" x14ac:dyDescent="0.25">
      <c r="A4462" t="str">
        <f>T("   340219")</f>
        <v xml:space="preserve">   340219</v>
      </c>
      <c r="B4462" t="str">
        <f>T("   AUTRES")</f>
        <v xml:space="preserve">   AUTRES</v>
      </c>
      <c r="C4462" s="4">
        <v>10157</v>
      </c>
      <c r="D4462" s="4">
        <v>6353215</v>
      </c>
    </row>
    <row r="4463" spans="1:4" x14ac:dyDescent="0.25">
      <c r="A4463" t="str">
        <f>T("   340220")</f>
        <v xml:space="preserve">   340220</v>
      </c>
      <c r="B4463" t="str">
        <f>T("   PREPARATIONS CONDITIONNEES POUR LA VENTE AU DETAIL")</f>
        <v xml:space="preserve">   PREPARATIONS CONDITIONNEES POUR LA VENTE AU DETAIL</v>
      </c>
      <c r="C4463" s="4">
        <v>175794</v>
      </c>
      <c r="D4463" s="4">
        <v>144346032</v>
      </c>
    </row>
    <row r="4464" spans="1:4" x14ac:dyDescent="0.25">
      <c r="A4464" t="str">
        <f>T("   340290")</f>
        <v xml:space="preserve">   340290</v>
      </c>
      <c r="B4464" t="str">
        <f>T("   AUTRES")</f>
        <v xml:space="preserve">   AUTRES</v>
      </c>
      <c r="C4464" s="4">
        <v>121450</v>
      </c>
      <c r="D4464" s="4">
        <v>146204015</v>
      </c>
    </row>
    <row r="4465" spans="1:4" x14ac:dyDescent="0.25">
      <c r="A4465" t="str">
        <f>T("   340319")</f>
        <v xml:space="preserve">   340319</v>
      </c>
      <c r="B4465" t="str">
        <f>T("   AUTRES")</f>
        <v xml:space="preserve">   AUTRES</v>
      </c>
      <c r="C4465" s="4">
        <v>17632</v>
      </c>
      <c r="D4465" s="4">
        <v>33798847</v>
      </c>
    </row>
    <row r="4466" spans="1:4" x14ac:dyDescent="0.25">
      <c r="A4466" t="str">
        <f>T("   340399")</f>
        <v xml:space="preserve">   340399</v>
      </c>
      <c r="B4466" t="str">
        <f>T("   AUTRES")</f>
        <v xml:space="preserve">   AUTRES</v>
      </c>
      <c r="C4466" s="4">
        <v>40055</v>
      </c>
      <c r="D4466" s="4">
        <v>61116256</v>
      </c>
    </row>
    <row r="4467" spans="1:4" x14ac:dyDescent="0.25">
      <c r="A4467" t="str">
        <f>T("   340510")</f>
        <v xml:space="preserve">   340510</v>
      </c>
      <c r="B4467" t="str">
        <f>T("   CIRAGES, CREMES ET PREPARATIONS SIMILAIRES POUR CHAUSSURES OU POUR CUIR")</f>
        <v xml:space="preserve">   CIRAGES, CREMES ET PREPARATIONS SIMILAIRES POUR CHAUSSURES OU POUR CUIR</v>
      </c>
      <c r="C4467" s="4">
        <v>7</v>
      </c>
      <c r="D4467" s="4">
        <v>24802</v>
      </c>
    </row>
    <row r="4468" spans="1:4" x14ac:dyDescent="0.25">
      <c r="A4468" t="str">
        <f>T("   340520")</f>
        <v xml:space="preserve">   340520</v>
      </c>
      <c r="B4468" t="str">
        <f>T("   ENCAUSTIQUES ET PREPARATIONS SIMILAIRES POUR L'ENTRETIEN DES MEUBLES EN BOIS, DES PAR")</f>
        <v xml:space="preserve">   ENCAUSTIQUES ET PREPARATIONS SIMILAIRES POUR L'ENTRETIEN DES MEUBLES EN BOIS, DES PAR</v>
      </c>
      <c r="C4468" s="4">
        <v>488</v>
      </c>
      <c r="D4468" s="4">
        <v>4039402</v>
      </c>
    </row>
    <row r="4469" spans="1:4" x14ac:dyDescent="0.25">
      <c r="A4469" t="str">
        <f>T("   340530")</f>
        <v xml:space="preserve">   340530</v>
      </c>
      <c r="B4469" t="str">
        <f>T("   BRILLANTS ET PREPARATIONS SIMILAIRES POUR CARROSSERIES, AUTRES QUE LES BRILLANTS POUR")</f>
        <v xml:space="preserve">   BRILLANTS ET PREPARATIONS SIMILAIRES POUR CARROSSERIES, AUTRES QUE LES BRILLANTS POUR</v>
      </c>
      <c r="C4469" s="4">
        <v>1105</v>
      </c>
      <c r="D4469" s="4">
        <v>4147269</v>
      </c>
    </row>
    <row r="4470" spans="1:4" x14ac:dyDescent="0.25">
      <c r="A4470" t="str">
        <f>T("   340540")</f>
        <v xml:space="preserve">   340540</v>
      </c>
      <c r="B4470" t="str">
        <f>T("   PATES, POUDRES ET AUTRES PREPARATIONS A RECURER")</f>
        <v xml:space="preserve">   PATES, POUDRES ET AUTRES PREPARATIONS A RECURER</v>
      </c>
      <c r="C4470" s="4">
        <v>1297</v>
      </c>
      <c r="D4470" s="4">
        <v>890498</v>
      </c>
    </row>
    <row r="4471" spans="1:4" x14ac:dyDescent="0.25">
      <c r="A4471" t="str">
        <f>T("   340590")</f>
        <v xml:space="preserve">   340590</v>
      </c>
      <c r="B4471" t="str">
        <f>T("   AUTRES")</f>
        <v xml:space="preserve">   AUTRES</v>
      </c>
      <c r="C4471" s="4">
        <v>179</v>
      </c>
      <c r="D4471" s="4">
        <v>661208</v>
      </c>
    </row>
    <row r="4472" spans="1:4" x14ac:dyDescent="0.25">
      <c r="A4472" t="str">
        <f>T("   340600")</f>
        <v xml:space="preserve">   340600</v>
      </c>
      <c r="B4472" t="str">
        <f>T("   BOUGIES, CHANDELLES, CIERGES ET ARTICLES SIMILAIRES.")</f>
        <v xml:space="preserve">   BOUGIES, CHANDELLES, CIERGES ET ARTICLES SIMILAIRES.</v>
      </c>
      <c r="C4472" s="4">
        <v>11226.5</v>
      </c>
      <c r="D4472" s="4">
        <v>42899219</v>
      </c>
    </row>
    <row r="4473" spans="1:4" x14ac:dyDescent="0.25">
      <c r="A4473" t="str">
        <f>T("   350190")</f>
        <v xml:space="preserve">   350190</v>
      </c>
      <c r="B4473" t="str">
        <f>T("   AUTRES")</f>
        <v xml:space="preserve">   AUTRES</v>
      </c>
      <c r="C4473" s="4">
        <v>37851</v>
      </c>
      <c r="D4473" s="4">
        <v>107420993</v>
      </c>
    </row>
    <row r="4474" spans="1:4" x14ac:dyDescent="0.25">
      <c r="A4474" t="str">
        <f>T("   350510")</f>
        <v xml:space="preserve">   350510</v>
      </c>
      <c r="B4474" t="str">
        <f>T("   Dextrine et autres amidons et fecules modifies")</f>
        <v xml:space="preserve">   Dextrine et autres amidons et fecules modifies</v>
      </c>
      <c r="C4474" s="4">
        <v>1045</v>
      </c>
      <c r="D4474" s="4">
        <v>3049709</v>
      </c>
    </row>
    <row r="4475" spans="1:4" x14ac:dyDescent="0.25">
      <c r="A4475" t="str">
        <f>T("   350520")</f>
        <v xml:space="preserve">   350520</v>
      </c>
      <c r="B4475" t="str">
        <f>T("   Colles")</f>
        <v xml:space="preserve">   Colles</v>
      </c>
      <c r="C4475" s="4">
        <v>131</v>
      </c>
      <c r="D4475" s="4">
        <v>692038</v>
      </c>
    </row>
    <row r="4476" spans="1:4" x14ac:dyDescent="0.25">
      <c r="A4476" t="str">
        <f>T("   350610")</f>
        <v xml:space="preserve">   350610</v>
      </c>
      <c r="B4476" t="str">
        <f>T("   PRODUITS DE TOUTE ESPECE A USAGE DE COLLES OU D'ADHESIFS, CONDITIONNES POUR LA VENTE")</f>
        <v xml:space="preserve">   PRODUITS DE TOUTE ESPECE A USAGE DE COLLES OU D'ADHESIFS, CONDITIONNES POUR LA VENTE</v>
      </c>
      <c r="C4476" s="4">
        <v>30617</v>
      </c>
      <c r="D4476" s="4">
        <v>27918609</v>
      </c>
    </row>
    <row r="4477" spans="1:4" x14ac:dyDescent="0.25">
      <c r="A4477" t="str">
        <f>T("   350691")</f>
        <v xml:space="preserve">   350691</v>
      </c>
      <c r="B4477" t="str">
        <f>T("   ADHESIFS A BASE DE POLYMERES DES N°S 39.01 A 39.13 OU DE CAOUTCHOUC")</f>
        <v xml:space="preserve">   ADHESIFS A BASE DE POLYMERES DES N°S 39.01 A 39.13 OU DE CAOUTCHOUC</v>
      </c>
      <c r="C4477" s="4">
        <v>54507</v>
      </c>
      <c r="D4477" s="4">
        <v>122733617</v>
      </c>
    </row>
    <row r="4478" spans="1:4" x14ac:dyDescent="0.25">
      <c r="A4478" t="str">
        <f>T("   350699")</f>
        <v xml:space="preserve">   350699</v>
      </c>
      <c r="B4478" t="str">
        <f>T("   AUTRES")</f>
        <v xml:space="preserve">   AUTRES</v>
      </c>
      <c r="C4478" s="4">
        <v>22694.9</v>
      </c>
      <c r="D4478" s="4">
        <v>15507238</v>
      </c>
    </row>
    <row r="4479" spans="1:4" x14ac:dyDescent="0.25">
      <c r="A4479" t="str">
        <f>T("   350790")</f>
        <v xml:space="preserve">   350790</v>
      </c>
      <c r="B4479" t="str">
        <f>T("   AUTRES")</f>
        <v xml:space="preserve">   AUTRES</v>
      </c>
      <c r="C4479" s="4">
        <v>6088</v>
      </c>
      <c r="D4479" s="4">
        <v>45990981</v>
      </c>
    </row>
    <row r="4480" spans="1:4" x14ac:dyDescent="0.25">
      <c r="A4480" t="str">
        <f>T("   360200")</f>
        <v xml:space="preserve">   360200</v>
      </c>
      <c r="B4480" t="str">
        <f>T("   EXPLOSIFS PREPARES, AUTRES QUE LES POUDRES PROPULSIVES.")</f>
        <v xml:space="preserve">   EXPLOSIFS PREPARES, AUTRES QUE LES POUDRES PROPULSIVES.</v>
      </c>
      <c r="C4480" s="4">
        <v>100034</v>
      </c>
      <c r="D4480" s="4">
        <v>210853896</v>
      </c>
    </row>
    <row r="4481" spans="1:4" x14ac:dyDescent="0.25">
      <c r="A4481" t="str">
        <f>T("   360300")</f>
        <v xml:space="preserve">   360300</v>
      </c>
      <c r="B4481" t="str">
        <f>T("   MECHES DE SURETE; CORDEAUX DETONANTS; AMORCES ET CAPSULES FULMINANTES; ALLUMEURS; DETON")</f>
        <v xml:space="preserve">   MECHES DE SURETE; CORDEAUX DETONANTS; AMORCES ET CAPSULES FULMINANTES; ALLUMEURS; DETON</v>
      </c>
      <c r="C4481" s="4">
        <v>529.5</v>
      </c>
      <c r="D4481" s="4">
        <v>12359179</v>
      </c>
    </row>
    <row r="4482" spans="1:4" x14ac:dyDescent="0.25">
      <c r="A4482" t="str">
        <f>T("   360690")</f>
        <v xml:space="preserve">   360690</v>
      </c>
      <c r="B4482" t="str">
        <f>T("   AUTRES")</f>
        <v xml:space="preserve">   AUTRES</v>
      </c>
      <c r="C4482" s="4">
        <v>3</v>
      </c>
      <c r="D4482" s="4">
        <v>417229</v>
      </c>
    </row>
    <row r="4483" spans="1:4" x14ac:dyDescent="0.25">
      <c r="A4483" t="str">
        <f>T("   370400")</f>
        <v xml:space="preserve">   370400</v>
      </c>
      <c r="B4483" t="str">
        <f>T("   PLAQUES, PELLICULES, FILMS, PAPIERS, CARTONS ET TEXTILES, PHOTOGRAPHIQUES, IMPRESSIONNE")</f>
        <v xml:space="preserve">   PLAQUES, PELLICULES, FILMS, PAPIERS, CARTONS ET TEXTILES, PHOTOGRAPHIQUES, IMPRESSIONNE</v>
      </c>
      <c r="C4483" s="4">
        <v>4862</v>
      </c>
      <c r="D4483" s="4">
        <v>2680422</v>
      </c>
    </row>
    <row r="4484" spans="1:4" x14ac:dyDescent="0.25">
      <c r="A4484" t="str">
        <f>T("   370790")</f>
        <v xml:space="preserve">   370790</v>
      </c>
      <c r="B4484" t="str">
        <f>T("   AUTRES")</f>
        <v xml:space="preserve">   AUTRES</v>
      </c>
      <c r="C4484" s="4">
        <v>1537</v>
      </c>
      <c r="D4484" s="4">
        <v>7181450</v>
      </c>
    </row>
    <row r="4485" spans="1:4" x14ac:dyDescent="0.25">
      <c r="A4485" t="str">
        <f>T("   380210")</f>
        <v xml:space="preserve">   380210</v>
      </c>
      <c r="B4485" t="str">
        <f>T("   Charbons actives")</f>
        <v xml:space="preserve">   Charbons actives</v>
      </c>
      <c r="C4485" s="4">
        <v>9078</v>
      </c>
      <c r="D4485" s="4">
        <v>25249940</v>
      </c>
    </row>
    <row r="4486" spans="1:4" x14ac:dyDescent="0.25">
      <c r="A4486" t="str">
        <f>T("   380290")</f>
        <v xml:space="preserve">   380290</v>
      </c>
      <c r="B4486" t="str">
        <f>T("   AUTRES")</f>
        <v xml:space="preserve">   AUTRES</v>
      </c>
      <c r="C4486" s="4">
        <v>30971</v>
      </c>
      <c r="D4486" s="4">
        <v>16772785</v>
      </c>
    </row>
    <row r="4487" spans="1:4" x14ac:dyDescent="0.25">
      <c r="A4487" t="str">
        <f>T("   380850")</f>
        <v xml:space="preserve">   380850</v>
      </c>
      <c r="B4487" t="str">
        <f>T("   MARCHANDISES MENTIONNEES DANS LA NOTE 1 DE SOUSPOSITIONS DU PRESENT CHAPITRE")</f>
        <v xml:space="preserve">   MARCHANDISES MENTIONNEES DANS LA NOTE 1 DE SOUSPOSITIONS DU PRESENT CHAPITRE</v>
      </c>
      <c r="C4487" s="4">
        <v>28616.68</v>
      </c>
      <c r="D4487" s="4">
        <v>49166429</v>
      </c>
    </row>
    <row r="4488" spans="1:4" x14ac:dyDescent="0.25">
      <c r="A4488" t="str">
        <f>T("   380891")</f>
        <v xml:space="preserve">   380891</v>
      </c>
      <c r="B4488" t="str">
        <f>T("   INSECTICIDES")</f>
        <v xml:space="preserve">   INSECTICIDES</v>
      </c>
      <c r="C4488" s="4">
        <v>14881.5</v>
      </c>
      <c r="D4488" s="4">
        <v>11848918</v>
      </c>
    </row>
    <row r="4489" spans="1:4" x14ac:dyDescent="0.25">
      <c r="A4489" t="str">
        <f>T("   380894")</f>
        <v xml:space="preserve">   380894</v>
      </c>
      <c r="B4489" t="str">
        <f>T("   DESINFECTANTS")</f>
        <v xml:space="preserve">   DESINFECTANTS</v>
      </c>
      <c r="C4489" s="4">
        <v>34584</v>
      </c>
      <c r="D4489" s="4">
        <v>86820425</v>
      </c>
    </row>
    <row r="4490" spans="1:4" x14ac:dyDescent="0.25">
      <c r="A4490" t="str">
        <f>T("   380910")</f>
        <v xml:space="preserve">   380910</v>
      </c>
      <c r="B4490" t="str">
        <f>T("   A BASE DE MATIERES AMYLACEES")</f>
        <v xml:space="preserve">   A BASE DE MATIERES AMYLACEES</v>
      </c>
      <c r="C4490" s="4">
        <v>443</v>
      </c>
      <c r="D4490" s="4">
        <v>350283</v>
      </c>
    </row>
    <row r="4491" spans="1:4" x14ac:dyDescent="0.25">
      <c r="A4491" t="str">
        <f>T("   380991")</f>
        <v xml:space="preserve">   380991</v>
      </c>
      <c r="B4491" t="str">
        <f>T("   DES TYPES UTILISES DANS L'INDUSTRIE TEXTILE OU DANS LES INDUSTRIES SIMILAIRES")</f>
        <v xml:space="preserve">   DES TYPES UTILISES DANS L'INDUSTRIE TEXTILE OU DANS LES INDUSTRIES SIMILAIRES</v>
      </c>
      <c r="C4491" s="4">
        <v>2772</v>
      </c>
      <c r="D4491" s="4">
        <v>3829494</v>
      </c>
    </row>
    <row r="4492" spans="1:4" x14ac:dyDescent="0.25">
      <c r="A4492" t="str">
        <f>T("   381119")</f>
        <v xml:space="preserve">   381119</v>
      </c>
      <c r="B4492" t="str">
        <f>T("   AUTRES")</f>
        <v xml:space="preserve">   AUTRES</v>
      </c>
      <c r="C4492" s="4">
        <v>297</v>
      </c>
      <c r="D4492" s="4">
        <v>1099389</v>
      </c>
    </row>
    <row r="4493" spans="1:4" x14ac:dyDescent="0.25">
      <c r="A4493" t="str">
        <f>T("   381190")</f>
        <v xml:space="preserve">   381190</v>
      </c>
      <c r="B4493" t="str">
        <f>T("   AUTRES")</f>
        <v xml:space="preserve">   AUTRES</v>
      </c>
      <c r="C4493" s="4">
        <v>3476</v>
      </c>
      <c r="D4493" s="4">
        <v>8427332</v>
      </c>
    </row>
    <row r="4494" spans="1:4" x14ac:dyDescent="0.25">
      <c r="A4494" t="str">
        <f>T("   381220")</f>
        <v xml:space="preserve">   381220</v>
      </c>
      <c r="B4494" t="str">
        <f>T("   Plastifiants composites pour caoutchouc ou matieres plastiques")</f>
        <v xml:space="preserve">   Plastifiants composites pour caoutchouc ou matieres plastiques</v>
      </c>
      <c r="C4494" s="4">
        <v>17065</v>
      </c>
      <c r="D4494" s="4">
        <v>18569271</v>
      </c>
    </row>
    <row r="4495" spans="1:4" x14ac:dyDescent="0.25">
      <c r="A4495" t="str">
        <f>T("   381230")</f>
        <v xml:space="preserve">   381230</v>
      </c>
      <c r="B4495" t="str">
        <f>T("   PREPARATIONS ANTIOXYDANTES ET AUTRES STABILISATEURS COMPOSITES POUR CAOUTCHOUC OU MAT")</f>
        <v xml:space="preserve">   PREPARATIONS ANTIOXYDANTES ET AUTRES STABILISATEURS COMPOSITES POUR CAOUTCHOUC OU MAT</v>
      </c>
      <c r="C4495" s="4">
        <v>3280.46</v>
      </c>
      <c r="D4495" s="4">
        <v>1681903</v>
      </c>
    </row>
    <row r="4496" spans="1:4" x14ac:dyDescent="0.25">
      <c r="A4496" t="str">
        <f>T("   381400")</f>
        <v xml:space="preserve">   381400</v>
      </c>
      <c r="B4496" t="str">
        <f>T("   SOLVANTS ET DILUANTS ORGANIQUES COMPOSITES, NON DENOMMES NI COMPRIS AILLEURS; PREPARATI")</f>
        <v xml:space="preserve">   SOLVANTS ET DILUANTS ORGANIQUES COMPOSITES, NON DENOMMES NI COMPRIS AILLEURS; PREPARATI</v>
      </c>
      <c r="C4496" s="4">
        <v>171</v>
      </c>
      <c r="D4496" s="4">
        <v>485181</v>
      </c>
    </row>
    <row r="4497" spans="1:4" x14ac:dyDescent="0.25">
      <c r="A4497" t="str">
        <f>T("   382000")</f>
        <v xml:space="preserve">   382000</v>
      </c>
      <c r="B4497" t="str">
        <f>T("   PREPARATIONS ANTIGEL ET LIQUIDES PREPARES POUR DEGIVRAGE.")</f>
        <v xml:space="preserve">   PREPARATIONS ANTIGEL ET LIQUIDES PREPARES POUR DEGIVRAGE.</v>
      </c>
      <c r="C4497" s="4">
        <v>205.13</v>
      </c>
      <c r="D4497" s="4">
        <v>1171243</v>
      </c>
    </row>
    <row r="4498" spans="1:4" x14ac:dyDescent="0.25">
      <c r="A4498" t="str">
        <f>T("   382100")</f>
        <v xml:space="preserve">   382100</v>
      </c>
      <c r="B4498" t="str">
        <f>T("   MILIEUX DE CULTURE PREPARES POUR LE DEVELOPPEMENT ET L'ENTRETIEN DES MICROORGANISMES (")</f>
        <v xml:space="preserve">   MILIEUX DE CULTURE PREPARES POUR LE DEVELOPPEMENT ET L'ENTRETIEN DES MICROORGANISMES (</v>
      </c>
      <c r="C4498" s="4">
        <v>329.07</v>
      </c>
      <c r="D4498" s="4">
        <v>16400660</v>
      </c>
    </row>
    <row r="4499" spans="1:4" x14ac:dyDescent="0.25">
      <c r="A4499" t="str">
        <f>T("   382200")</f>
        <v xml:space="preserve">   382200</v>
      </c>
      <c r="B4499" t="str">
        <f>T("   REACTIFS DE DIAGNOSTIC OU DE LABORATOIRE SUR TOUT SUPPORT ET REACTIFS DE DIAGNOSTIC OU")</f>
        <v xml:space="preserve">   REACTIFS DE DIAGNOSTIC OU DE LABORATOIRE SUR TOUT SUPPORT ET REACTIFS DE DIAGNOSTIC OU</v>
      </c>
      <c r="C4499" s="4">
        <v>7068.25</v>
      </c>
      <c r="D4499" s="4">
        <v>203485885</v>
      </c>
    </row>
    <row r="4500" spans="1:4" x14ac:dyDescent="0.25">
      <c r="A4500" t="str">
        <f>T("   382440")</f>
        <v xml:space="preserve">   382440</v>
      </c>
      <c r="B4500" t="str">
        <f>T("   ADDITIFS PREPARES POUR CIMENTS, MORTIERS OU BETONS")</f>
        <v xml:space="preserve">   ADDITIFS PREPARES POUR CIMENTS, MORTIERS OU BETONS</v>
      </c>
      <c r="C4500" s="4">
        <v>115198</v>
      </c>
      <c r="D4500" s="4">
        <v>98210384</v>
      </c>
    </row>
    <row r="4501" spans="1:4" x14ac:dyDescent="0.25">
      <c r="A4501" t="str">
        <f>T("   382450")</f>
        <v xml:space="preserve">   382450</v>
      </c>
      <c r="B4501" t="str">
        <f>T("   MORTIERS ET BETONS, NON REFRACTAIRES")</f>
        <v xml:space="preserve">   MORTIERS ET BETONS, NON REFRACTAIRES</v>
      </c>
      <c r="C4501" s="4">
        <v>15038</v>
      </c>
      <c r="D4501" s="4">
        <v>4679778</v>
      </c>
    </row>
    <row r="4502" spans="1:4" x14ac:dyDescent="0.25">
      <c r="A4502" t="str">
        <f>T("   382471")</f>
        <v xml:space="preserve">   382471</v>
      </c>
      <c r="B4502" t="str">
        <f>T("   CONTENANT DES CHLOROFLUOROCARBURES (CFC), MEME CONTENANT DES HYDROCHLOROFLUOROCARBUR")</f>
        <v xml:space="preserve">   CONTENANT DES CHLOROFLUOROCARBURES (CFC), MEME CONTENANT DES HYDROCHLOROFLUOROCARBUR</v>
      </c>
      <c r="C4502" s="4">
        <v>3940</v>
      </c>
      <c r="D4502" s="4">
        <v>7165706</v>
      </c>
    </row>
    <row r="4503" spans="1:4" x14ac:dyDescent="0.25">
      <c r="A4503" t="str">
        <f>T("   382479")</f>
        <v xml:space="preserve">   382479</v>
      </c>
      <c r="B4503" t="str">
        <f>T("   AUTRES")</f>
        <v xml:space="preserve">   AUTRES</v>
      </c>
      <c r="C4503" s="4">
        <v>41191</v>
      </c>
      <c r="D4503" s="4">
        <v>49279948</v>
      </c>
    </row>
    <row r="4504" spans="1:4" x14ac:dyDescent="0.25">
      <c r="A4504" t="str">
        <f>T("   382490")</f>
        <v xml:space="preserve">   382490</v>
      </c>
      <c r="B4504" t="str">
        <f>T("   AUTRES")</f>
        <v xml:space="preserve">   AUTRES</v>
      </c>
      <c r="C4504" s="4">
        <v>69603</v>
      </c>
      <c r="D4504" s="4">
        <v>207288860</v>
      </c>
    </row>
    <row r="4505" spans="1:4" x14ac:dyDescent="0.25">
      <c r="A4505" t="str">
        <f>T("   382569")</f>
        <v xml:space="preserve">   382569</v>
      </c>
      <c r="B4505" t="str">
        <f>T("   AUTRES")</f>
        <v xml:space="preserve">   AUTRES</v>
      </c>
      <c r="C4505" s="4">
        <v>2116</v>
      </c>
      <c r="D4505" s="4">
        <v>3308324</v>
      </c>
    </row>
    <row r="4506" spans="1:4" x14ac:dyDescent="0.25">
      <c r="A4506" t="str">
        <f>T("   390110")</f>
        <v xml:space="preserve">   390110</v>
      </c>
      <c r="B4506" t="str">
        <f>T("   POLYETHYLENE D'UNE DENSITE INFERIEURE A 0,94")</f>
        <v xml:space="preserve">   POLYETHYLENE D'UNE DENSITE INFERIEURE A 0,94</v>
      </c>
      <c r="C4506" s="4">
        <v>97307</v>
      </c>
      <c r="D4506" s="4">
        <v>82161246</v>
      </c>
    </row>
    <row r="4507" spans="1:4" x14ac:dyDescent="0.25">
      <c r="A4507" t="str">
        <f>T("   390120")</f>
        <v xml:space="preserve">   390120</v>
      </c>
      <c r="B4507" t="str">
        <f>T("   POLYETHYLENE D'UNE DENSITE EGALE OU SUPERIEURE A 0,94")</f>
        <v xml:space="preserve">   POLYETHYLENE D'UNE DENSITE EGALE OU SUPERIEURE A 0,94</v>
      </c>
      <c r="C4507" s="4">
        <v>34204</v>
      </c>
      <c r="D4507" s="4">
        <v>8934923</v>
      </c>
    </row>
    <row r="4508" spans="1:4" x14ac:dyDescent="0.25">
      <c r="A4508" t="str">
        <f>T("   390190")</f>
        <v xml:space="preserve">   390190</v>
      </c>
      <c r="B4508" t="str">
        <f>T("   AUTRES")</f>
        <v xml:space="preserve">   AUTRES</v>
      </c>
      <c r="C4508" s="4">
        <v>121164</v>
      </c>
      <c r="D4508" s="4">
        <v>103369267</v>
      </c>
    </row>
    <row r="4509" spans="1:4" x14ac:dyDescent="0.25">
      <c r="A4509" t="str">
        <f>T("   390210")</f>
        <v xml:space="preserve">   390210</v>
      </c>
      <c r="B4509" t="str">
        <f>T("   POLYPROPYLENE")</f>
        <v xml:space="preserve">   POLYPROPYLENE</v>
      </c>
      <c r="C4509" s="4">
        <v>554989</v>
      </c>
      <c r="D4509" s="4">
        <v>420840801</v>
      </c>
    </row>
    <row r="4510" spans="1:4" x14ac:dyDescent="0.25">
      <c r="A4510" t="str">
        <f>T("   390290")</f>
        <v xml:space="preserve">   390290</v>
      </c>
      <c r="B4510" t="str">
        <f>T("   AUTRES")</f>
        <v xml:space="preserve">   AUTRES</v>
      </c>
      <c r="C4510" s="4">
        <v>48384</v>
      </c>
      <c r="D4510" s="4">
        <v>42755355</v>
      </c>
    </row>
    <row r="4511" spans="1:4" x14ac:dyDescent="0.25">
      <c r="A4511" t="str">
        <f>T("   390319")</f>
        <v xml:space="preserve">   390319</v>
      </c>
      <c r="B4511" t="str">
        <f>T("   AUTRES")</f>
        <v xml:space="preserve">   AUTRES</v>
      </c>
      <c r="C4511" s="4">
        <v>17084</v>
      </c>
      <c r="D4511" s="4">
        <v>2217146</v>
      </c>
    </row>
    <row r="4512" spans="1:4" x14ac:dyDescent="0.25">
      <c r="A4512" t="str">
        <f>T("   390390")</f>
        <v xml:space="preserve">   390390</v>
      </c>
      <c r="B4512" t="str">
        <f>T("   AUTRES")</f>
        <v xml:space="preserve">   AUTRES</v>
      </c>
      <c r="C4512" s="4">
        <v>1600</v>
      </c>
      <c r="D4512" s="4">
        <v>3635986</v>
      </c>
    </row>
    <row r="4513" spans="1:4" x14ac:dyDescent="0.25">
      <c r="A4513" t="str">
        <f>T("   390410")</f>
        <v xml:space="preserve">   390410</v>
      </c>
      <c r="B4513" t="str">
        <f>T("   POLY(CHLORURE DE VINYLE), NON MELANGE A D'AUTRES SUBSTANCES")</f>
        <v xml:space="preserve">   POLY(CHLORURE DE VINYLE), NON MELANGE A D'AUTRES SUBSTANCES</v>
      </c>
      <c r="C4513" s="4">
        <v>442772</v>
      </c>
      <c r="D4513" s="4">
        <v>94629610</v>
      </c>
    </row>
    <row r="4514" spans="1:4" x14ac:dyDescent="0.25">
      <c r="A4514" t="str">
        <f>T("   390440")</f>
        <v xml:space="preserve">   390440</v>
      </c>
      <c r="B4514" t="str">
        <f>T("   AUTRES COPOLYMERES DU CHLORURE DE VINYLE")</f>
        <v xml:space="preserve">   AUTRES COPOLYMERES DU CHLORURE DE VINYLE</v>
      </c>
      <c r="C4514" s="4">
        <v>66</v>
      </c>
      <c r="D4514" s="4">
        <v>421127</v>
      </c>
    </row>
    <row r="4515" spans="1:4" x14ac:dyDescent="0.25">
      <c r="A4515" t="str">
        <f>T("   390512")</f>
        <v xml:space="preserve">   390512</v>
      </c>
      <c r="B4515" t="str">
        <f>T("   EN DISPERSION AQUEUSE")</f>
        <v xml:space="preserve">   EN DISPERSION AQUEUSE</v>
      </c>
      <c r="C4515" s="4">
        <v>32</v>
      </c>
      <c r="D4515" s="4">
        <v>522144</v>
      </c>
    </row>
    <row r="4516" spans="1:4" x14ac:dyDescent="0.25">
      <c r="A4516" t="str">
        <f>T("   390519")</f>
        <v xml:space="preserve">   390519</v>
      </c>
      <c r="B4516" t="str">
        <f>T("   AUTRES")</f>
        <v xml:space="preserve">   AUTRES</v>
      </c>
      <c r="C4516" s="4">
        <v>401</v>
      </c>
      <c r="D4516" s="4">
        <v>98394</v>
      </c>
    </row>
    <row r="4517" spans="1:4" x14ac:dyDescent="0.25">
      <c r="A4517" t="str">
        <f>T("   390521")</f>
        <v xml:space="preserve">   390521</v>
      </c>
      <c r="B4517" t="str">
        <f>T("   EN DISPERSION AQUEUSE")</f>
        <v xml:space="preserve">   EN DISPERSION AQUEUSE</v>
      </c>
      <c r="C4517" s="4">
        <v>27613</v>
      </c>
      <c r="D4517" s="4">
        <v>24314305</v>
      </c>
    </row>
    <row r="4518" spans="1:4" x14ac:dyDescent="0.25">
      <c r="A4518" t="str">
        <f>T("   390690")</f>
        <v xml:space="preserve">   390690</v>
      </c>
      <c r="B4518" t="str">
        <f>T("   AUTRES")</f>
        <v xml:space="preserve">   AUTRES</v>
      </c>
      <c r="C4518" s="4">
        <v>2889</v>
      </c>
      <c r="D4518" s="4">
        <v>7516468</v>
      </c>
    </row>
    <row r="4519" spans="1:4" x14ac:dyDescent="0.25">
      <c r="A4519" t="str">
        <f>T("   390720")</f>
        <v xml:space="preserve">   390720</v>
      </c>
      <c r="B4519" t="str">
        <f>T("   AUTRES POLYETHERS")</f>
        <v xml:space="preserve">   AUTRES POLYETHERS</v>
      </c>
      <c r="C4519" s="4">
        <v>296400</v>
      </c>
      <c r="D4519" s="4">
        <v>361287023</v>
      </c>
    </row>
    <row r="4520" spans="1:4" x14ac:dyDescent="0.25">
      <c r="A4520" t="str">
        <f>T("   390730")</f>
        <v xml:space="preserve">   390730</v>
      </c>
      <c r="B4520" t="str">
        <f>T("   RESINES EPOXYDES")</f>
        <v xml:space="preserve">   RESINES EPOXYDES</v>
      </c>
      <c r="C4520" s="4">
        <v>17</v>
      </c>
      <c r="D4520" s="4">
        <v>481475</v>
      </c>
    </row>
    <row r="4521" spans="1:4" x14ac:dyDescent="0.25">
      <c r="A4521" t="str">
        <f>T("   390750")</f>
        <v xml:space="preserve">   390750</v>
      </c>
      <c r="B4521" t="str">
        <f>T("   RESINES ALKYDES")</f>
        <v xml:space="preserve">   RESINES ALKYDES</v>
      </c>
      <c r="C4521" s="4">
        <v>16100</v>
      </c>
      <c r="D4521" s="4">
        <v>16664467</v>
      </c>
    </row>
    <row r="4522" spans="1:4" x14ac:dyDescent="0.25">
      <c r="A4522" t="str">
        <f>T("   390791")</f>
        <v xml:space="preserve">   390791</v>
      </c>
      <c r="B4522" t="str">
        <f>T("   NON SATURES")</f>
        <v xml:space="preserve">   NON SATURES</v>
      </c>
      <c r="C4522" s="4">
        <v>250</v>
      </c>
      <c r="D4522" s="4">
        <v>131192</v>
      </c>
    </row>
    <row r="4523" spans="1:4" x14ac:dyDescent="0.25">
      <c r="A4523" t="str">
        <f>T("   390799")</f>
        <v xml:space="preserve">   390799</v>
      </c>
      <c r="B4523" t="str">
        <f>T("   AUTRES")</f>
        <v xml:space="preserve">   AUTRES</v>
      </c>
      <c r="C4523" s="4">
        <v>374195</v>
      </c>
      <c r="D4523" s="4">
        <v>275407422</v>
      </c>
    </row>
    <row r="4524" spans="1:4" x14ac:dyDescent="0.25">
      <c r="A4524" t="str">
        <f>T("   390930")</f>
        <v xml:space="preserve">   390930</v>
      </c>
      <c r="B4524" t="str">
        <f>T("   AUTRES RESINES AMINIQUES")</f>
        <v xml:space="preserve">   AUTRES RESINES AMINIQUES</v>
      </c>
      <c r="C4524" s="4">
        <v>771311</v>
      </c>
      <c r="D4524" s="4">
        <v>382013279</v>
      </c>
    </row>
    <row r="4525" spans="1:4" x14ac:dyDescent="0.25">
      <c r="A4525" t="str">
        <f>T("   390950")</f>
        <v xml:space="preserve">   390950</v>
      </c>
      <c r="B4525" t="str">
        <f>T("   POLYURETHANNES")</f>
        <v xml:space="preserve">   POLYURETHANNES</v>
      </c>
      <c r="C4525" s="4">
        <v>151</v>
      </c>
      <c r="D4525" s="4">
        <v>359853</v>
      </c>
    </row>
    <row r="4526" spans="1:4" x14ac:dyDescent="0.25">
      <c r="A4526" t="str">
        <f>T("   391000")</f>
        <v xml:space="preserve">   391000</v>
      </c>
      <c r="B4526" t="str">
        <f>T("   SILICONES SOUS FORMES PRIMAIRES.")</f>
        <v xml:space="preserve">   SILICONES SOUS FORMES PRIMAIRES.</v>
      </c>
      <c r="C4526" s="4">
        <v>15223</v>
      </c>
      <c r="D4526" s="4">
        <v>82587635</v>
      </c>
    </row>
    <row r="4527" spans="1:4" x14ac:dyDescent="0.25">
      <c r="A4527" t="str">
        <f>T("   391220")</f>
        <v xml:space="preserve">   391220</v>
      </c>
      <c r="B4527" t="str">
        <f>T("   NITRATES DE CELLULOSE (Y COMPRIS LES COLLODIONS)")</f>
        <v xml:space="preserve">   NITRATES DE CELLULOSE (Y COMPRIS LES COLLODIONS)</v>
      </c>
      <c r="C4527" s="4">
        <v>740</v>
      </c>
      <c r="D4527" s="4">
        <v>4686177</v>
      </c>
    </row>
    <row r="4528" spans="1:4" x14ac:dyDescent="0.25">
      <c r="A4528" t="str">
        <f>T("   391239")</f>
        <v xml:space="preserve">   391239</v>
      </c>
      <c r="B4528" t="str">
        <f>T("   AUTRES")</f>
        <v xml:space="preserve">   AUTRES</v>
      </c>
      <c r="C4528" s="4">
        <v>2000</v>
      </c>
      <c r="D4528" s="4">
        <v>10025692</v>
      </c>
    </row>
    <row r="4529" spans="1:4" x14ac:dyDescent="0.25">
      <c r="A4529" t="str">
        <f>T("   391290")</f>
        <v xml:space="preserve">   391290</v>
      </c>
      <c r="B4529" t="str">
        <f>T("   AUTRES")</f>
        <v xml:space="preserve">   AUTRES</v>
      </c>
      <c r="C4529" s="4">
        <v>4185</v>
      </c>
      <c r="D4529" s="4">
        <v>2817624</v>
      </c>
    </row>
    <row r="4530" spans="1:4" x14ac:dyDescent="0.25">
      <c r="A4530" t="str">
        <f>T("   391400")</f>
        <v xml:space="preserve">   391400</v>
      </c>
      <c r="B4530" t="str">
        <f>T("   ECHANGEURS D'IONS A BASE DE POLYMERES DES N°S 39.01 A 39.13, SOUS FORMES PRIMAIRES.")</f>
        <v xml:space="preserve">   ECHANGEURS D'IONS A BASE DE POLYMERES DES N°S 39.01 A 39.13, SOUS FORMES PRIMAIRES.</v>
      </c>
      <c r="C4530" s="4">
        <v>2076</v>
      </c>
      <c r="D4530" s="4">
        <v>4355975</v>
      </c>
    </row>
    <row r="4531" spans="1:4" x14ac:dyDescent="0.25">
      <c r="A4531" t="str">
        <f>T("   391690")</f>
        <v xml:space="preserve">   391690</v>
      </c>
      <c r="B4531" t="str">
        <f>T("   EN AUTRES MATIERES PLASTIQUES")</f>
        <v xml:space="preserve">   EN AUTRES MATIERES PLASTIQUES</v>
      </c>
      <c r="C4531" s="4">
        <v>408</v>
      </c>
      <c r="D4531" s="4">
        <v>1500000</v>
      </c>
    </row>
    <row r="4532" spans="1:4" x14ac:dyDescent="0.25">
      <c r="A4532" t="str">
        <f>T("   391710")</f>
        <v xml:space="preserve">   391710</v>
      </c>
      <c r="B4532" t="str">
        <f>T("   BOYAUX ARTIFICIELS EN PROTEINES DURCIES OU EN MATIERES PLASTIQUES CELLULOSIQUES")</f>
        <v xml:space="preserve">   BOYAUX ARTIFICIELS EN PROTEINES DURCIES OU EN MATIERES PLASTIQUES CELLULOSIQUES</v>
      </c>
      <c r="C4532" s="4">
        <v>351</v>
      </c>
      <c r="D4532" s="4">
        <v>4574113</v>
      </c>
    </row>
    <row r="4533" spans="1:4" x14ac:dyDescent="0.25">
      <c r="A4533" t="str">
        <f>T("   391721")</f>
        <v xml:space="preserve">   391721</v>
      </c>
      <c r="B4533" t="str">
        <f>T("   EN POLYMERES DE L'ETHYLENE")</f>
        <v xml:space="preserve">   EN POLYMERES DE L'ETHYLENE</v>
      </c>
      <c r="C4533" s="4">
        <v>32969</v>
      </c>
      <c r="D4533" s="4">
        <v>19107300</v>
      </c>
    </row>
    <row r="4534" spans="1:4" x14ac:dyDescent="0.25">
      <c r="A4534" t="str">
        <f>T("   391723")</f>
        <v xml:space="preserve">   391723</v>
      </c>
      <c r="B4534" t="str">
        <f>T("   EN POLYMERES DU CHLORURE DE VINYLE")</f>
        <v xml:space="preserve">   EN POLYMERES DU CHLORURE DE VINYLE</v>
      </c>
      <c r="C4534" s="4">
        <v>21247</v>
      </c>
      <c r="D4534" s="4">
        <v>87068924</v>
      </c>
    </row>
    <row r="4535" spans="1:4" x14ac:dyDescent="0.25">
      <c r="A4535" t="str">
        <f>T("   391731")</f>
        <v xml:space="preserve">   391731</v>
      </c>
      <c r="B4535" t="str">
        <f>T("   TUBES ET TUYAUX SOUPLES POUVANT SUPPORTER AU MINIMUM UNE PRESSION DE 27,6 MPA")</f>
        <v xml:space="preserve">   TUBES ET TUYAUX SOUPLES POUVANT SUPPORTER AU MINIMUM UNE PRESSION DE 27,6 MPA</v>
      </c>
      <c r="C4535" s="4">
        <v>227</v>
      </c>
      <c r="D4535" s="4">
        <v>1975339</v>
      </c>
    </row>
    <row r="4536" spans="1:4" x14ac:dyDescent="0.25">
      <c r="A4536" t="str">
        <f>T("   391733")</f>
        <v xml:space="preserve">   391733</v>
      </c>
      <c r="B4536" t="str">
        <f>T("   AUTRES, NON RENFORCES D'AUTRES MATIERES NI AUTREMENT ASSOCIES A D'AUTRES MATIERES, A")</f>
        <v xml:space="preserve">   AUTRES, NON RENFORCES D'AUTRES MATIERES NI AUTREMENT ASSOCIES A D'AUTRES MATIERES, A</v>
      </c>
      <c r="C4536" s="4">
        <v>131</v>
      </c>
      <c r="D4536" s="4">
        <v>2606731</v>
      </c>
    </row>
    <row r="4537" spans="1:4" x14ac:dyDescent="0.25">
      <c r="A4537" t="str">
        <f>T("   391739")</f>
        <v xml:space="preserve">   391739</v>
      </c>
      <c r="B4537" t="str">
        <f>T("   AUTRES")</f>
        <v xml:space="preserve">   AUTRES</v>
      </c>
      <c r="C4537" s="4">
        <v>16170</v>
      </c>
      <c r="D4537" s="4">
        <v>35661988</v>
      </c>
    </row>
    <row r="4538" spans="1:4" x14ac:dyDescent="0.25">
      <c r="A4538" t="str">
        <f>T("   391740")</f>
        <v xml:space="preserve">   391740</v>
      </c>
      <c r="B4538" t="str">
        <f>T("   ACCESSOIRES")</f>
        <v xml:space="preserve">   ACCESSOIRES</v>
      </c>
      <c r="C4538" s="4">
        <v>1941.9</v>
      </c>
      <c r="D4538" s="4">
        <v>14841213</v>
      </c>
    </row>
    <row r="4539" spans="1:4" x14ac:dyDescent="0.25">
      <c r="A4539" t="str">
        <f>T("   391810")</f>
        <v xml:space="preserve">   391810</v>
      </c>
      <c r="B4539" t="str">
        <f>T("   EN POLYMERES DU CHLORURE DE VINYLE")</f>
        <v xml:space="preserve">   EN POLYMERES DU CHLORURE DE VINYLE</v>
      </c>
      <c r="C4539" s="4">
        <v>2904</v>
      </c>
      <c r="D4539" s="4">
        <v>823230</v>
      </c>
    </row>
    <row r="4540" spans="1:4" x14ac:dyDescent="0.25">
      <c r="A4540" t="str">
        <f>T("   391890")</f>
        <v xml:space="preserve">   391890</v>
      </c>
      <c r="B4540" t="str">
        <f>T("   EN AUTRES MATIERES PLASTIQUES")</f>
        <v xml:space="preserve">   EN AUTRES MATIERES PLASTIQUES</v>
      </c>
      <c r="C4540" s="4">
        <v>17658</v>
      </c>
      <c r="D4540" s="4">
        <v>16099740</v>
      </c>
    </row>
    <row r="4541" spans="1:4" x14ac:dyDescent="0.25">
      <c r="A4541" t="str">
        <f>T("   391910")</f>
        <v xml:space="preserve">   391910</v>
      </c>
      <c r="B4541" t="str">
        <f>T("   EN ROULEAUX D'UNE LARGEUR N'EXCEDANT PAS 20 CM")</f>
        <v xml:space="preserve">   EN ROULEAUX D'UNE LARGEUR N'EXCEDANT PAS 20 CM</v>
      </c>
      <c r="C4541" s="4">
        <v>6306</v>
      </c>
      <c r="D4541" s="4">
        <v>41161438</v>
      </c>
    </row>
    <row r="4542" spans="1:4" x14ac:dyDescent="0.25">
      <c r="A4542" t="str">
        <f>T("   391990")</f>
        <v xml:space="preserve">   391990</v>
      </c>
      <c r="B4542" t="str">
        <f>T("   AUTRES")</f>
        <v xml:space="preserve">   AUTRES</v>
      </c>
      <c r="C4542" s="4">
        <v>5197</v>
      </c>
      <c r="D4542" s="4">
        <v>32812825</v>
      </c>
    </row>
    <row r="4543" spans="1:4" x14ac:dyDescent="0.25">
      <c r="A4543" t="str">
        <f>T("   392010")</f>
        <v xml:space="preserve">   392010</v>
      </c>
      <c r="B4543" t="str">
        <f>T("   EN POLYMERES DE L'ETHYLENE")</f>
        <v xml:space="preserve">   EN POLYMERES DE L'ETHYLENE</v>
      </c>
      <c r="C4543" s="4">
        <v>67979</v>
      </c>
      <c r="D4543" s="4">
        <v>136857671</v>
      </c>
    </row>
    <row r="4544" spans="1:4" x14ac:dyDescent="0.25">
      <c r="A4544" t="str">
        <f>T("   392020")</f>
        <v xml:space="preserve">   392020</v>
      </c>
      <c r="B4544" t="str">
        <f>T("   EN POLYMERES DU PROPYLENE")</f>
        <v xml:space="preserve">   EN POLYMERES DU PROPYLENE</v>
      </c>
      <c r="C4544" s="4">
        <v>465</v>
      </c>
      <c r="D4544" s="4">
        <v>4549738</v>
      </c>
    </row>
    <row r="4545" spans="1:4" x14ac:dyDescent="0.25">
      <c r="A4545" t="str">
        <f>T("   392059")</f>
        <v xml:space="preserve">   392059</v>
      </c>
      <c r="B4545" t="str">
        <f>T("   AUTRES")</f>
        <v xml:space="preserve">   AUTRES</v>
      </c>
      <c r="C4545" s="4">
        <v>520</v>
      </c>
      <c r="D4545" s="4">
        <v>2821285</v>
      </c>
    </row>
    <row r="4546" spans="1:4" x14ac:dyDescent="0.25">
      <c r="A4546" t="str">
        <f>T("   392099")</f>
        <v xml:space="preserve">   392099</v>
      </c>
      <c r="B4546" t="str">
        <f>T("   EN AUTRES MATIERES PLASTIQUES")</f>
        <v xml:space="preserve">   EN AUTRES MATIERES PLASTIQUES</v>
      </c>
      <c r="C4546" s="4">
        <v>8374.23</v>
      </c>
      <c r="D4546" s="4">
        <v>6224556</v>
      </c>
    </row>
    <row r="4547" spans="1:4" x14ac:dyDescent="0.25">
      <c r="A4547" t="str">
        <f>T("   392112")</f>
        <v xml:space="preserve">   392112</v>
      </c>
      <c r="B4547" t="str">
        <f>T("   EN POLYMERES DU CHLORURE DE VINYLE")</f>
        <v xml:space="preserve">   EN POLYMERES DU CHLORURE DE VINYLE</v>
      </c>
      <c r="C4547" s="4">
        <v>1600</v>
      </c>
      <c r="D4547" s="4">
        <v>5461523</v>
      </c>
    </row>
    <row r="4548" spans="1:4" x14ac:dyDescent="0.25">
      <c r="A4548" t="str">
        <f>T("   392119")</f>
        <v xml:space="preserve">   392119</v>
      </c>
      <c r="B4548" t="str">
        <f>T("   EN AUTRES MATIERES PLASTIQUES")</f>
        <v xml:space="preserve">   EN AUTRES MATIERES PLASTIQUES</v>
      </c>
      <c r="C4548" s="4">
        <v>397</v>
      </c>
      <c r="D4548" s="4">
        <v>3432069</v>
      </c>
    </row>
    <row r="4549" spans="1:4" x14ac:dyDescent="0.25">
      <c r="A4549" t="str">
        <f>T("   392190")</f>
        <v xml:space="preserve">   392190</v>
      </c>
      <c r="B4549" t="str">
        <f>T("   AUTRES")</f>
        <v xml:space="preserve">   AUTRES</v>
      </c>
      <c r="C4549" s="4">
        <v>54751.4</v>
      </c>
      <c r="D4549" s="4">
        <v>239409898</v>
      </c>
    </row>
    <row r="4550" spans="1:4" x14ac:dyDescent="0.25">
      <c r="A4550" t="str">
        <f>T("   392210")</f>
        <v xml:space="preserve">   392210</v>
      </c>
      <c r="B4550" t="str">
        <f>T("   BAIGNOIRES, DOUCHES, EVIERS ET LAVABOS")</f>
        <v xml:space="preserve">   BAIGNOIRES, DOUCHES, EVIERS ET LAVABOS</v>
      </c>
      <c r="C4550" s="4">
        <v>647</v>
      </c>
      <c r="D4550" s="4">
        <v>10080019</v>
      </c>
    </row>
    <row r="4551" spans="1:4" x14ac:dyDescent="0.25">
      <c r="A4551" t="str">
        <f>T("   392290")</f>
        <v xml:space="preserve">   392290</v>
      </c>
      <c r="B4551" t="str">
        <f>T("   AUTRES")</f>
        <v xml:space="preserve">   AUTRES</v>
      </c>
      <c r="C4551" s="4">
        <v>126</v>
      </c>
      <c r="D4551" s="4">
        <v>206628</v>
      </c>
    </row>
    <row r="4552" spans="1:4" x14ac:dyDescent="0.25">
      <c r="A4552" t="str">
        <f>T("   392310")</f>
        <v xml:space="preserve">   392310</v>
      </c>
      <c r="B4552" t="str">
        <f>T("   BOITES, CAISSES, CASIERS ET ARTICLES SIMILAIRES")</f>
        <v xml:space="preserve">   BOITES, CAISSES, CASIERS ET ARTICLES SIMILAIRES</v>
      </c>
      <c r="C4552" s="4">
        <v>125199</v>
      </c>
      <c r="D4552" s="4">
        <v>53082292</v>
      </c>
    </row>
    <row r="4553" spans="1:4" x14ac:dyDescent="0.25">
      <c r="A4553" t="str">
        <f>T("   392321")</f>
        <v xml:space="preserve">   392321</v>
      </c>
      <c r="B4553" t="str">
        <f>T("   EN POLYMERES DE L'ETHYLENE")</f>
        <v xml:space="preserve">   EN POLYMERES DE L'ETHYLENE</v>
      </c>
      <c r="C4553" s="4">
        <v>1255</v>
      </c>
      <c r="D4553" s="4">
        <v>2898688</v>
      </c>
    </row>
    <row r="4554" spans="1:4" x14ac:dyDescent="0.25">
      <c r="A4554" t="str">
        <f>T("   392329")</f>
        <v xml:space="preserve">   392329</v>
      </c>
      <c r="B4554" t="str">
        <f>T("   EN AUTRES MATIERES PLASTIQUES")</f>
        <v xml:space="preserve">   EN AUTRES MATIERES PLASTIQUES</v>
      </c>
      <c r="C4554" s="4">
        <v>17537.439999999999</v>
      </c>
      <c r="D4554" s="4">
        <v>19188136</v>
      </c>
    </row>
    <row r="4555" spans="1:4" x14ac:dyDescent="0.25">
      <c r="A4555" t="str">
        <f>T("   392330")</f>
        <v xml:space="preserve">   392330</v>
      </c>
      <c r="B4555" t="str">
        <f>T("   BONBONNES, BOUTEILLES, FLACONS ET ARTICLES SIMILAIRES")</f>
        <v xml:space="preserve">   BONBONNES, BOUTEILLES, FLACONS ET ARTICLES SIMILAIRES</v>
      </c>
      <c r="C4555" s="4">
        <v>5851</v>
      </c>
      <c r="D4555" s="4">
        <v>1999130</v>
      </c>
    </row>
    <row r="4556" spans="1:4" x14ac:dyDescent="0.25">
      <c r="A4556" t="str">
        <f>T("   392350")</f>
        <v xml:space="preserve">   392350</v>
      </c>
      <c r="B4556" t="str">
        <f>T("   BOUCHONS, COUVERCLES, CAPSULES ET AUTRES DISPOSITIFS DE FERMETURE")</f>
        <v xml:space="preserve">   BOUCHONS, COUVERCLES, CAPSULES ET AUTRES DISPOSITIFS DE FERMETURE</v>
      </c>
      <c r="C4556" s="4">
        <v>12930</v>
      </c>
      <c r="D4556" s="4">
        <v>36484867</v>
      </c>
    </row>
    <row r="4557" spans="1:4" x14ac:dyDescent="0.25">
      <c r="A4557" t="str">
        <f>T("   392390")</f>
        <v xml:space="preserve">   392390</v>
      </c>
      <c r="B4557" t="str">
        <f>T("   AUTRES")</f>
        <v xml:space="preserve">   AUTRES</v>
      </c>
      <c r="C4557" s="4">
        <v>280510</v>
      </c>
      <c r="D4557" s="4">
        <v>331444019</v>
      </c>
    </row>
    <row r="4558" spans="1:4" x14ac:dyDescent="0.25">
      <c r="A4558" t="str">
        <f>T("   392410")</f>
        <v xml:space="preserve">   392410</v>
      </c>
      <c r="B4558" t="str">
        <f>T("   VAISSELLE ET AUTRES ARTICLES POUR LE SERVICE DE LA TABLE OU DE LA CUISINE")</f>
        <v xml:space="preserve">   VAISSELLE ET AUTRES ARTICLES POUR LE SERVICE DE LA TABLE OU DE LA CUISINE</v>
      </c>
      <c r="C4558" s="4">
        <v>31056</v>
      </c>
      <c r="D4558" s="4">
        <v>82017952</v>
      </c>
    </row>
    <row r="4559" spans="1:4" x14ac:dyDescent="0.25">
      <c r="A4559" t="str">
        <f>T("   392490")</f>
        <v xml:space="preserve">   392490</v>
      </c>
      <c r="B4559" t="str">
        <f>T("   AUTRES")</f>
        <v xml:space="preserve">   AUTRES</v>
      </c>
      <c r="C4559" s="4">
        <v>47392.800000000003</v>
      </c>
      <c r="D4559" s="4">
        <v>90541829</v>
      </c>
    </row>
    <row r="4560" spans="1:4" x14ac:dyDescent="0.25">
      <c r="A4560" t="str">
        <f>T("   392590")</f>
        <v xml:space="preserve">   392590</v>
      </c>
      <c r="B4560" t="str">
        <f>T("   AUTRES")</f>
        <v xml:space="preserve">   AUTRES</v>
      </c>
      <c r="C4560" s="4">
        <v>6809.58</v>
      </c>
      <c r="D4560" s="4">
        <v>23903662</v>
      </c>
    </row>
    <row r="4561" spans="1:4" x14ac:dyDescent="0.25">
      <c r="A4561" t="str">
        <f>T("   392610")</f>
        <v xml:space="preserve">   392610</v>
      </c>
      <c r="B4561" t="str">
        <f>T("   ARTICLES DE BUREAU ET ARTICLES SCOLAIRES")</f>
        <v xml:space="preserve">   ARTICLES DE BUREAU ET ARTICLES SCOLAIRES</v>
      </c>
      <c r="C4561" s="4">
        <v>54767</v>
      </c>
      <c r="D4561" s="4">
        <v>89292415</v>
      </c>
    </row>
    <row r="4562" spans="1:4" x14ac:dyDescent="0.25">
      <c r="A4562" t="str">
        <f>T("   392620")</f>
        <v xml:space="preserve">   392620</v>
      </c>
      <c r="B4562" t="str">
        <f>T("   VETEMENTS ET ACCESSOIRES DU VETEMENT (Y COMPRIS LES GANTS, MITAINES ET MOUFLES)")</f>
        <v xml:space="preserve">   VETEMENTS ET ACCESSOIRES DU VETEMENT (Y COMPRIS LES GANTS, MITAINES ET MOUFLES)</v>
      </c>
      <c r="C4562" s="4">
        <v>3099</v>
      </c>
      <c r="D4562" s="4">
        <v>24319718</v>
      </c>
    </row>
    <row r="4563" spans="1:4" x14ac:dyDescent="0.25">
      <c r="A4563" t="str">
        <f>T("   392630")</f>
        <v xml:space="preserve">   392630</v>
      </c>
      <c r="B4563" t="str">
        <f>T("   GARNITURES POUR MEUBLES, CARROSSERIES OU SIMILAIRES")</f>
        <v xml:space="preserve">   GARNITURES POUR MEUBLES, CARROSSERIES OU SIMILAIRES</v>
      </c>
      <c r="C4563" s="4">
        <v>1</v>
      </c>
      <c r="D4563" s="4">
        <v>24375</v>
      </c>
    </row>
    <row r="4564" spans="1:4" x14ac:dyDescent="0.25">
      <c r="A4564" t="str">
        <f>T("   392640")</f>
        <v xml:space="preserve">   392640</v>
      </c>
      <c r="B4564" t="str">
        <f>T("   STATUETTES ET AUTRES OBJETS D'ORNEMENTATION")</f>
        <v xml:space="preserve">   STATUETTES ET AUTRES OBJETS D'ORNEMENTATION</v>
      </c>
      <c r="C4564" s="4">
        <v>779</v>
      </c>
      <c r="D4564" s="4">
        <v>869506</v>
      </c>
    </row>
    <row r="4565" spans="1:4" x14ac:dyDescent="0.25">
      <c r="A4565" t="str">
        <f>T("   392690")</f>
        <v xml:space="preserve">   392690</v>
      </c>
      <c r="B4565" t="str">
        <f>T("   AUTRES")</f>
        <v xml:space="preserve">   AUTRES</v>
      </c>
      <c r="C4565" s="4">
        <v>31196.41</v>
      </c>
      <c r="D4565" s="4">
        <v>70270241</v>
      </c>
    </row>
    <row r="4566" spans="1:4" x14ac:dyDescent="0.25">
      <c r="A4566" t="str">
        <f>T("   400211")</f>
        <v xml:space="preserve">   400211</v>
      </c>
      <c r="B4566" t="str">
        <f>T("   LATEX")</f>
        <v xml:space="preserve">   LATEX</v>
      </c>
      <c r="C4566" s="4">
        <v>41414</v>
      </c>
      <c r="D4566" s="4">
        <v>41162705</v>
      </c>
    </row>
    <row r="4567" spans="1:4" x14ac:dyDescent="0.25">
      <c r="A4567" t="str">
        <f>T("   400520")</f>
        <v xml:space="preserve">   400520</v>
      </c>
      <c r="B4567" t="str">
        <f>T("   SOLUTIONS; DISPERSIONS AUTRES QUE CELLES DU N° 4005.10")</f>
        <v xml:space="preserve">   SOLUTIONS; DISPERSIONS AUTRES QUE CELLES DU N° 4005.10</v>
      </c>
      <c r="C4567" s="4">
        <v>842</v>
      </c>
      <c r="D4567" s="4">
        <v>3208957</v>
      </c>
    </row>
    <row r="4568" spans="1:4" x14ac:dyDescent="0.25">
      <c r="A4568" t="str">
        <f>T("   400700")</f>
        <v xml:space="preserve">   400700</v>
      </c>
      <c r="B4568" t="str">
        <f>T("   FILS ET CORDES DE CAOUTCHOUC VULCANISE.")</f>
        <v xml:space="preserve">   FILS ET CORDES DE CAOUTCHOUC VULCANISE.</v>
      </c>
      <c r="C4568" s="4">
        <v>1151</v>
      </c>
      <c r="D4568" s="4">
        <v>1008749</v>
      </c>
    </row>
    <row r="4569" spans="1:4" x14ac:dyDescent="0.25">
      <c r="A4569" t="str">
        <f>T("   400821")</f>
        <v xml:space="preserve">   400821</v>
      </c>
      <c r="B4569" t="str">
        <f>T("   PLAQUES, FEUILLES ET BANDES")</f>
        <v xml:space="preserve">   PLAQUES, FEUILLES ET BANDES</v>
      </c>
      <c r="C4569" s="4">
        <v>250</v>
      </c>
      <c r="D4569" s="4">
        <v>1053472</v>
      </c>
    </row>
    <row r="4570" spans="1:4" x14ac:dyDescent="0.25">
      <c r="A4570" t="str">
        <f>T("   400829")</f>
        <v xml:space="preserve">   400829</v>
      </c>
      <c r="B4570" t="str">
        <f>T("   AUTRES")</f>
        <v xml:space="preserve">   AUTRES</v>
      </c>
      <c r="C4570" s="4">
        <v>5</v>
      </c>
      <c r="D4570" s="4">
        <v>66908</v>
      </c>
    </row>
    <row r="4571" spans="1:4" x14ac:dyDescent="0.25">
      <c r="A4571" t="str">
        <f>T("   400911")</f>
        <v xml:space="preserve">   400911</v>
      </c>
      <c r="B4571" t="str">
        <f>T("   SANS ACCESSOIRES")</f>
        <v xml:space="preserve">   SANS ACCESSOIRES</v>
      </c>
      <c r="C4571" s="4">
        <v>1128</v>
      </c>
      <c r="D4571" s="4">
        <v>14934848</v>
      </c>
    </row>
    <row r="4572" spans="1:4" x14ac:dyDescent="0.25">
      <c r="A4572" t="str">
        <f>T("   400912")</f>
        <v xml:space="preserve">   400912</v>
      </c>
      <c r="B4572" t="str">
        <f>T("   AVEC ACCESSOIRES")</f>
        <v xml:space="preserve">   AVEC ACCESSOIRES</v>
      </c>
      <c r="C4572" s="4">
        <v>56</v>
      </c>
      <c r="D4572" s="4">
        <v>1914793</v>
      </c>
    </row>
    <row r="4573" spans="1:4" x14ac:dyDescent="0.25">
      <c r="A4573" t="str">
        <f>T("   400921")</f>
        <v xml:space="preserve">   400921</v>
      </c>
      <c r="B4573" t="str">
        <f>T("   SANS ACCESSOIRES")</f>
        <v xml:space="preserve">   SANS ACCESSOIRES</v>
      </c>
      <c r="C4573" s="4">
        <v>1</v>
      </c>
      <c r="D4573" s="4">
        <v>16792</v>
      </c>
    </row>
    <row r="4574" spans="1:4" x14ac:dyDescent="0.25">
      <c r="A4574" t="str">
        <f>T("   400922")</f>
        <v xml:space="preserve">   400922</v>
      </c>
      <c r="B4574" t="str">
        <f>T("   AVEC ACCESSOIRES")</f>
        <v xml:space="preserve">   AVEC ACCESSOIRES</v>
      </c>
      <c r="C4574" s="4">
        <v>382</v>
      </c>
      <c r="D4574" s="4">
        <v>4035851</v>
      </c>
    </row>
    <row r="4575" spans="1:4" x14ac:dyDescent="0.25">
      <c r="A4575" t="str">
        <f>T("   400932")</f>
        <v xml:space="preserve">   400932</v>
      </c>
      <c r="B4575" t="str">
        <f>T("   AVEC ACCESSOIRES")</f>
        <v xml:space="preserve">   AVEC ACCESSOIRES</v>
      </c>
      <c r="C4575" s="4">
        <v>2032</v>
      </c>
      <c r="D4575" s="4">
        <v>3418864</v>
      </c>
    </row>
    <row r="4576" spans="1:4" x14ac:dyDescent="0.25">
      <c r="A4576" t="str">
        <f>T("   400941")</f>
        <v xml:space="preserve">   400941</v>
      </c>
      <c r="B4576" t="str">
        <f>T("   SANS ACCESSOIRES")</f>
        <v xml:space="preserve">   SANS ACCESSOIRES</v>
      </c>
      <c r="C4576" s="4">
        <v>44.7</v>
      </c>
      <c r="D4576" s="4">
        <v>1466032</v>
      </c>
    </row>
    <row r="4577" spans="1:4" x14ac:dyDescent="0.25">
      <c r="A4577" t="str">
        <f>T("   400942")</f>
        <v xml:space="preserve">   400942</v>
      </c>
      <c r="B4577" t="str">
        <f>T("   AVEC ACCESSOIRES")</f>
        <v xml:space="preserve">   AVEC ACCESSOIRES</v>
      </c>
      <c r="C4577" s="4">
        <v>1369.81</v>
      </c>
      <c r="D4577" s="4">
        <v>28194782</v>
      </c>
    </row>
    <row r="4578" spans="1:4" x14ac:dyDescent="0.25">
      <c r="A4578" t="str">
        <f>T("   401012")</f>
        <v xml:space="preserve">   401012</v>
      </c>
      <c r="B4578" t="str">
        <f>T("   RENFORCEES SEULEMENT DE MATIERES TEXTILES")</f>
        <v xml:space="preserve">   RENFORCEES SEULEMENT DE MATIERES TEXTILES</v>
      </c>
      <c r="C4578" s="4">
        <v>11723</v>
      </c>
      <c r="D4578" s="4">
        <v>72890339</v>
      </c>
    </row>
    <row r="4579" spans="1:4" x14ac:dyDescent="0.25">
      <c r="A4579" t="str">
        <f>T("   401019")</f>
        <v xml:space="preserve">   401019</v>
      </c>
      <c r="B4579" t="str">
        <f>T("   AUTRES")</f>
        <v xml:space="preserve">   AUTRES</v>
      </c>
      <c r="C4579" s="4">
        <v>4366.6000000000004</v>
      </c>
      <c r="D4579" s="4">
        <v>46446264</v>
      </c>
    </row>
    <row r="4580" spans="1:4" x14ac:dyDescent="0.25">
      <c r="A4580" t="str">
        <f>T("   401031")</f>
        <v xml:space="preserve">   401031</v>
      </c>
      <c r="B4580" t="str">
        <f>T("   COURROIES DE TRANSMISSION SANS FIN, DE SECTION TRAPEZOIDALE, STRIEES, D'UNE CIRCONFE")</f>
        <v xml:space="preserve">   COURROIES DE TRANSMISSION SANS FIN, DE SECTION TRAPEZOIDALE, STRIEES, D'UNE CIRCONFE</v>
      </c>
      <c r="C4580" s="4">
        <v>271</v>
      </c>
      <c r="D4580" s="4">
        <v>2900821</v>
      </c>
    </row>
    <row r="4581" spans="1:4" x14ac:dyDescent="0.25">
      <c r="A4581" t="str">
        <f>T("   401039")</f>
        <v xml:space="preserve">   401039</v>
      </c>
      <c r="B4581" t="str">
        <f>T("   AUTRES")</f>
        <v xml:space="preserve">   AUTRES</v>
      </c>
      <c r="C4581" s="4">
        <v>4199.46</v>
      </c>
      <c r="D4581" s="4">
        <v>36191505</v>
      </c>
    </row>
    <row r="4582" spans="1:4" x14ac:dyDescent="0.25">
      <c r="A4582" t="str">
        <f>T("   401110")</f>
        <v xml:space="preserve">   401110</v>
      </c>
      <c r="B4582" t="str">
        <f>T("   DES TYPES UTILISES POUR LES VOITURES DE TOURISME (Y COMPRIS LES VOITURES DU TYPE «BRE")</f>
        <v xml:space="preserve">   DES TYPES UTILISES POUR LES VOITURES DE TOURISME (Y COMPRIS LES VOITURES DU TYPE «BRE</v>
      </c>
      <c r="C4582" s="4">
        <v>7969</v>
      </c>
      <c r="D4582" s="4">
        <v>16806914</v>
      </c>
    </row>
    <row r="4583" spans="1:4" x14ac:dyDescent="0.25">
      <c r="A4583" t="str">
        <f>T("   401120")</f>
        <v xml:space="preserve">   401120</v>
      </c>
      <c r="B4583" t="str">
        <f>T("   DES TYPES UTILISES POUR AUTOBUS OU CAMIONS")</f>
        <v xml:space="preserve">   DES TYPES UTILISES POUR AUTOBUS OU CAMIONS</v>
      </c>
      <c r="C4583" s="4">
        <v>17470</v>
      </c>
      <c r="D4583" s="4">
        <v>22559420</v>
      </c>
    </row>
    <row r="4584" spans="1:4" x14ac:dyDescent="0.25">
      <c r="A4584" t="str">
        <f>T("   401140")</f>
        <v xml:space="preserve">   401140</v>
      </c>
      <c r="B4584" t="str">
        <f>T("   DES TYPES UTILISES POUR MOTOCYCLES")</f>
        <v xml:space="preserve">   DES TYPES UTILISES POUR MOTOCYCLES</v>
      </c>
      <c r="C4584" s="4">
        <v>4300</v>
      </c>
      <c r="D4584" s="4">
        <v>360000</v>
      </c>
    </row>
    <row r="4585" spans="1:4" x14ac:dyDescent="0.25">
      <c r="A4585" t="str">
        <f>T("   401169")</f>
        <v xml:space="preserve">   401169</v>
      </c>
      <c r="B4585" t="str">
        <f>T("   AUTRES")</f>
        <v xml:space="preserve">   AUTRES</v>
      </c>
      <c r="C4585" s="4">
        <v>94</v>
      </c>
      <c r="D4585" s="4">
        <v>205000</v>
      </c>
    </row>
    <row r="4586" spans="1:4" x14ac:dyDescent="0.25">
      <c r="A4586" t="str">
        <f>T("   401199")</f>
        <v xml:space="preserve">   401199</v>
      </c>
      <c r="B4586" t="str">
        <f>T("   AUTRES")</f>
        <v xml:space="preserve">   AUTRES</v>
      </c>
      <c r="C4586" s="4">
        <v>124552</v>
      </c>
      <c r="D4586" s="4">
        <v>540879485</v>
      </c>
    </row>
    <row r="4587" spans="1:4" x14ac:dyDescent="0.25">
      <c r="A4587" t="str">
        <f>T("   401211")</f>
        <v xml:space="preserve">   401211</v>
      </c>
      <c r="B4587" t="str">
        <f>T("   DES TYPES UTILISES POUR LES VOITURES DE TOURISME (Y COMPRIS LES VOITURES DU TYPE «BR")</f>
        <v xml:space="preserve">   DES TYPES UTILISES POUR LES VOITURES DE TOURISME (Y COMPRIS LES VOITURES DU TYPE «BR</v>
      </c>
      <c r="C4587" s="4">
        <v>183832</v>
      </c>
      <c r="D4587" s="4">
        <v>46955842</v>
      </c>
    </row>
    <row r="4588" spans="1:4" x14ac:dyDescent="0.25">
      <c r="A4588" t="str">
        <f>T("   401212")</f>
        <v xml:space="preserve">   401212</v>
      </c>
      <c r="B4588" t="str">
        <f>T("   DES TYPES UTILISES POUR AUTOBUS OU CAMIONS")</f>
        <v xml:space="preserve">   DES TYPES UTILISES POUR AUTOBUS OU CAMIONS</v>
      </c>
      <c r="C4588" s="4">
        <v>943042</v>
      </c>
      <c r="D4588" s="4">
        <v>19482892</v>
      </c>
    </row>
    <row r="4589" spans="1:4" x14ac:dyDescent="0.25">
      <c r="A4589" t="str">
        <f>T("   401219")</f>
        <v xml:space="preserve">   401219</v>
      </c>
      <c r="B4589" t="str">
        <f>T("   AUTRES")</f>
        <v xml:space="preserve">   AUTRES</v>
      </c>
      <c r="C4589" s="4">
        <v>109924</v>
      </c>
      <c r="D4589" s="4">
        <v>21156581</v>
      </c>
    </row>
    <row r="4590" spans="1:4" x14ac:dyDescent="0.25">
      <c r="A4590" t="str">
        <f>T("   401220")</f>
        <v xml:space="preserve">   401220</v>
      </c>
      <c r="B4590" t="str">
        <f>T("   PNEUMATIQUES USAGES")</f>
        <v xml:space="preserve">   PNEUMATIQUES USAGES</v>
      </c>
      <c r="C4590" s="4">
        <v>3128182</v>
      </c>
      <c r="D4590" s="4">
        <v>1156507205</v>
      </c>
    </row>
    <row r="4591" spans="1:4" x14ac:dyDescent="0.25">
      <c r="A4591" t="str">
        <f>T("   401310")</f>
        <v xml:space="preserve">   401310</v>
      </c>
      <c r="B4591" t="str">
        <f>T("   DES TYPES UTILISES POUR LES VOITURES DE TOURISME (Y COMPRIS LES VOITURES DU TYPE «BRE")</f>
        <v xml:space="preserve">   DES TYPES UTILISES POUR LES VOITURES DE TOURISME (Y COMPRIS LES VOITURES DU TYPE «BRE</v>
      </c>
      <c r="C4591" s="4">
        <v>447525</v>
      </c>
      <c r="D4591" s="4">
        <v>49930670</v>
      </c>
    </row>
    <row r="4592" spans="1:4" x14ac:dyDescent="0.25">
      <c r="A4592" t="str">
        <f>T("   401390")</f>
        <v xml:space="preserve">   401390</v>
      </c>
      <c r="B4592" t="str">
        <f>T("   AUTRES")</f>
        <v xml:space="preserve">   AUTRES</v>
      </c>
      <c r="C4592" s="4">
        <v>370939</v>
      </c>
      <c r="D4592" s="4">
        <v>39484443</v>
      </c>
    </row>
    <row r="4593" spans="1:4" x14ac:dyDescent="0.25">
      <c r="A4593" t="str">
        <f>T("   401410")</f>
        <v xml:space="preserve">   401410</v>
      </c>
      <c r="B4593" t="str">
        <f>T("   PRESERVATIFS")</f>
        <v xml:space="preserve">   PRESERVATIFS</v>
      </c>
      <c r="C4593" s="4">
        <v>11405</v>
      </c>
      <c r="D4593" s="4">
        <v>126418686</v>
      </c>
    </row>
    <row r="4594" spans="1:4" x14ac:dyDescent="0.25">
      <c r="A4594" t="str">
        <f>T("   401490")</f>
        <v xml:space="preserve">   401490</v>
      </c>
      <c r="B4594" t="str">
        <f>T("   AUTRES")</f>
        <v xml:space="preserve">   AUTRES</v>
      </c>
      <c r="C4594" s="4">
        <v>1030</v>
      </c>
      <c r="D4594" s="4">
        <v>13680703</v>
      </c>
    </row>
    <row r="4595" spans="1:4" x14ac:dyDescent="0.25">
      <c r="A4595" t="str">
        <f>T("   401511")</f>
        <v xml:space="preserve">   401511</v>
      </c>
      <c r="B4595" t="str">
        <f>T("   POUR CHIRURGIE")</f>
        <v xml:space="preserve">   POUR CHIRURGIE</v>
      </c>
      <c r="C4595" s="4">
        <v>649</v>
      </c>
      <c r="D4595" s="4">
        <v>5333158</v>
      </c>
    </row>
    <row r="4596" spans="1:4" x14ac:dyDescent="0.25">
      <c r="A4596" t="str">
        <f>T("   401519")</f>
        <v xml:space="preserve">   401519</v>
      </c>
      <c r="B4596" t="str">
        <f>T("   AUTRES")</f>
        <v xml:space="preserve">   AUTRES</v>
      </c>
      <c r="C4596" s="4">
        <v>5986</v>
      </c>
      <c r="D4596" s="4">
        <v>9676923</v>
      </c>
    </row>
    <row r="4597" spans="1:4" x14ac:dyDescent="0.25">
      <c r="A4597" t="str">
        <f>T("   401590")</f>
        <v xml:space="preserve">   401590</v>
      </c>
      <c r="B4597" t="str">
        <f>T("   AUTRES")</f>
        <v xml:space="preserve">   AUTRES</v>
      </c>
      <c r="C4597" s="4">
        <v>338</v>
      </c>
      <c r="D4597" s="4">
        <v>4654954</v>
      </c>
    </row>
    <row r="4598" spans="1:4" x14ac:dyDescent="0.25">
      <c r="A4598" t="str">
        <f>T("   401610")</f>
        <v xml:space="preserve">   401610</v>
      </c>
      <c r="B4598" t="str">
        <f>T("   EN CAOUTCHOUC ALVEOLAIRE")</f>
        <v xml:space="preserve">   EN CAOUTCHOUC ALVEOLAIRE</v>
      </c>
      <c r="C4598" s="4">
        <v>54</v>
      </c>
      <c r="D4598" s="4">
        <v>661704</v>
      </c>
    </row>
    <row r="4599" spans="1:4" x14ac:dyDescent="0.25">
      <c r="A4599" t="str">
        <f>T("   401691")</f>
        <v xml:space="preserve">   401691</v>
      </c>
      <c r="B4599" t="str">
        <f>T("   REVETEMENTS DE SOL ET TAPIS DE PIED")</f>
        <v xml:space="preserve">   REVETEMENTS DE SOL ET TAPIS DE PIED</v>
      </c>
      <c r="C4599" s="4">
        <v>3577</v>
      </c>
      <c r="D4599" s="4">
        <v>3832723</v>
      </c>
    </row>
    <row r="4600" spans="1:4" x14ac:dyDescent="0.25">
      <c r="A4600" t="str">
        <f>T("   401692")</f>
        <v xml:space="preserve">   401692</v>
      </c>
      <c r="B4600" t="str">
        <f>T("   GOMMES A EFFACER")</f>
        <v xml:space="preserve">   GOMMES A EFFACER</v>
      </c>
      <c r="C4600" s="4">
        <v>369</v>
      </c>
      <c r="D4600" s="4">
        <v>435558</v>
      </c>
    </row>
    <row r="4601" spans="1:4" x14ac:dyDescent="0.25">
      <c r="A4601" t="str">
        <f>T("   401693")</f>
        <v xml:space="preserve">   401693</v>
      </c>
      <c r="B4601" t="str">
        <f>T("   JOINTS")</f>
        <v xml:space="preserve">   JOINTS</v>
      </c>
      <c r="C4601" s="4">
        <v>2390.5</v>
      </c>
      <c r="D4601" s="4">
        <v>20878915</v>
      </c>
    </row>
    <row r="4602" spans="1:4" x14ac:dyDescent="0.25">
      <c r="A4602" t="str">
        <f>T("   401699")</f>
        <v xml:space="preserve">   401699</v>
      </c>
      <c r="B4602" t="str">
        <f>T("   AUTRES")</f>
        <v xml:space="preserve">   AUTRES</v>
      </c>
      <c r="C4602" s="4">
        <v>4773</v>
      </c>
      <c r="D4602" s="4">
        <v>9242242</v>
      </c>
    </row>
    <row r="4603" spans="1:4" x14ac:dyDescent="0.25">
      <c r="A4603" t="str">
        <f>T("   401700")</f>
        <v xml:space="preserve">   401700</v>
      </c>
      <c r="B4603" t="str">
        <f>T("   CAOUTCHOUC DURCI (EBONITE, PAR EXEMPLE) SOUS TOUTES FORMES, Y COMPRIS LES DECHETS ET DE")</f>
        <v xml:space="preserve">   CAOUTCHOUC DURCI (EBONITE, PAR EXEMPLE) SOUS TOUTES FORMES, Y COMPRIS LES DECHETS ET DE</v>
      </c>
      <c r="C4603" s="4">
        <v>208</v>
      </c>
      <c r="D4603" s="4">
        <v>695318</v>
      </c>
    </row>
    <row r="4604" spans="1:4" x14ac:dyDescent="0.25">
      <c r="A4604" t="str">
        <f>T("   420100")</f>
        <v xml:space="preserve">   420100</v>
      </c>
      <c r="B4604" t="str">
        <f>T("   ARTICLES DE SELLERIE OU DE BOURRELLERIE POUR TOUS ANIMAUX (Y COMPRIS LES TRAITS, LAISSE")</f>
        <v xml:space="preserve">   ARTICLES DE SELLERIE OU DE BOURRELLERIE POUR TOUS ANIMAUX (Y COMPRIS LES TRAITS, LAISSE</v>
      </c>
      <c r="C4604" s="4">
        <v>583</v>
      </c>
      <c r="D4604" s="4">
        <v>4903450</v>
      </c>
    </row>
    <row r="4605" spans="1:4" x14ac:dyDescent="0.25">
      <c r="A4605" t="str">
        <f>T("   420211")</f>
        <v xml:space="preserve">   420211</v>
      </c>
      <c r="B4605" t="str">
        <f>T("   A SURFACE EXTERIEURE EN CUIR NATUREL OU EN CUIR RECONSTITUE")</f>
        <v xml:space="preserve">   A SURFACE EXTERIEURE EN CUIR NATUREL OU EN CUIR RECONSTITUE</v>
      </c>
      <c r="C4605" s="4">
        <v>39</v>
      </c>
      <c r="D4605" s="4">
        <v>56629</v>
      </c>
    </row>
    <row r="4606" spans="1:4" x14ac:dyDescent="0.25">
      <c r="A4606" t="str">
        <f>T("   420212")</f>
        <v xml:space="preserve">   420212</v>
      </c>
      <c r="B4606" t="str">
        <f>T("   A SURFACE EXTERIEURE EN MATIERES PLASTIQUES OU EN MATIERES TEXTILES")</f>
        <v xml:space="preserve">   A SURFACE EXTERIEURE EN MATIERES PLASTIQUES OU EN MATIERES TEXTILES</v>
      </c>
      <c r="C4606" s="4">
        <v>74.2</v>
      </c>
      <c r="D4606" s="4">
        <v>93947</v>
      </c>
    </row>
    <row r="4607" spans="1:4" x14ac:dyDescent="0.25">
      <c r="A4607" t="str">
        <f>T("   420219")</f>
        <v xml:space="preserve">   420219</v>
      </c>
      <c r="B4607" t="str">
        <f>T("   AUTRES")</f>
        <v xml:space="preserve">   AUTRES</v>
      </c>
      <c r="C4607" s="4">
        <v>669.5</v>
      </c>
      <c r="D4607" s="4">
        <v>6278785</v>
      </c>
    </row>
    <row r="4608" spans="1:4" x14ac:dyDescent="0.25">
      <c r="A4608" t="str">
        <f>T("   420221")</f>
        <v xml:space="preserve">   420221</v>
      </c>
      <c r="B4608" t="str">
        <f>T("   A SURFACE EXTERIEURE EN CUIR NATUREL OU EN CUIR RECONSTITUE")</f>
        <v xml:space="preserve">   A SURFACE EXTERIEURE EN CUIR NATUREL OU EN CUIR RECONSTITUE</v>
      </c>
      <c r="C4608" s="4">
        <v>323</v>
      </c>
      <c r="D4608" s="4">
        <v>1193192</v>
      </c>
    </row>
    <row r="4609" spans="1:4" x14ac:dyDescent="0.25">
      <c r="A4609" t="str">
        <f>T("   420229")</f>
        <v xml:space="preserve">   420229</v>
      </c>
      <c r="B4609" t="str">
        <f>T("   AUTRES")</f>
        <v xml:space="preserve">   AUTRES</v>
      </c>
      <c r="C4609" s="4">
        <v>2354</v>
      </c>
      <c r="D4609" s="4">
        <v>9683638</v>
      </c>
    </row>
    <row r="4610" spans="1:4" x14ac:dyDescent="0.25">
      <c r="A4610" t="str">
        <f>T("   420232")</f>
        <v xml:space="preserve">   420232</v>
      </c>
      <c r="B4610" t="str">
        <f>T("   A SURFACE EXTERIEURE EN FEUILLES DE MATIERES PLASTIQUES OU EN MATIERES TEXTILES")</f>
        <v xml:space="preserve">   A SURFACE EXTERIEURE EN FEUILLES DE MATIERES PLASTIQUES OU EN MATIERES TEXTILES</v>
      </c>
      <c r="C4610" s="4">
        <v>770.74</v>
      </c>
      <c r="D4610" s="4">
        <v>933288</v>
      </c>
    </row>
    <row r="4611" spans="1:4" x14ac:dyDescent="0.25">
      <c r="A4611" t="str">
        <f>T("   420239")</f>
        <v xml:space="preserve">   420239</v>
      </c>
      <c r="B4611" t="str">
        <f>T("   AUTRES")</f>
        <v xml:space="preserve">   AUTRES</v>
      </c>
      <c r="C4611" s="4">
        <v>87</v>
      </c>
      <c r="D4611" s="4">
        <v>781632</v>
      </c>
    </row>
    <row r="4612" spans="1:4" x14ac:dyDescent="0.25">
      <c r="A4612" t="str">
        <f>T("   420292")</f>
        <v xml:space="preserve">   420292</v>
      </c>
      <c r="B4612" t="str">
        <f>T("   A SURFACE EXTERIEURE EN FEUILLES DE MATIERES PLASTIQUES OU EN MATIERES TEXTILES")</f>
        <v xml:space="preserve">   A SURFACE EXTERIEURE EN FEUILLES DE MATIERES PLASTIQUES OU EN MATIERES TEXTILES</v>
      </c>
      <c r="C4612" s="4">
        <v>2129</v>
      </c>
      <c r="D4612" s="4">
        <v>9796376</v>
      </c>
    </row>
    <row r="4613" spans="1:4" x14ac:dyDescent="0.25">
      <c r="A4613" t="str">
        <f>T("   420299")</f>
        <v xml:space="preserve">   420299</v>
      </c>
      <c r="B4613" t="str">
        <f>T("   AUTRES")</f>
        <v xml:space="preserve">   AUTRES</v>
      </c>
      <c r="C4613" s="4">
        <v>1375</v>
      </c>
      <c r="D4613" s="4">
        <v>9687035</v>
      </c>
    </row>
    <row r="4614" spans="1:4" x14ac:dyDescent="0.25">
      <c r="A4614" t="str">
        <f>T("   420310")</f>
        <v xml:space="preserve">   420310</v>
      </c>
      <c r="B4614" t="str">
        <f>T("   VETEMENTS")</f>
        <v xml:space="preserve">   VETEMENTS</v>
      </c>
      <c r="C4614" s="4">
        <v>4</v>
      </c>
      <c r="D4614" s="4">
        <v>33454</v>
      </c>
    </row>
    <row r="4615" spans="1:4" x14ac:dyDescent="0.25">
      <c r="A4615" t="str">
        <f>T("   420329")</f>
        <v xml:space="preserve">   420329</v>
      </c>
      <c r="B4615" t="str">
        <f>T("   AUTRES")</f>
        <v xml:space="preserve">   AUTRES</v>
      </c>
      <c r="C4615" s="4">
        <v>1551</v>
      </c>
      <c r="D4615" s="4">
        <v>6263044</v>
      </c>
    </row>
    <row r="4616" spans="1:4" x14ac:dyDescent="0.25">
      <c r="A4616" t="str">
        <f>T("   420330")</f>
        <v xml:space="preserve">   420330</v>
      </c>
      <c r="B4616" t="str">
        <f>T("   CEINTURES, CEINTURONS ET BAUDRIERS")</f>
        <v xml:space="preserve">   CEINTURES, CEINTURONS ET BAUDRIERS</v>
      </c>
      <c r="C4616" s="4">
        <v>228</v>
      </c>
      <c r="D4616" s="4">
        <v>1145621</v>
      </c>
    </row>
    <row r="4617" spans="1:4" x14ac:dyDescent="0.25">
      <c r="A4617" t="str">
        <f>T("   441090")</f>
        <v xml:space="preserve">   441090</v>
      </c>
      <c r="B4617" t="str">
        <f>T("   AUTRES")</f>
        <v xml:space="preserve">   AUTRES</v>
      </c>
      <c r="C4617" s="4">
        <v>78</v>
      </c>
      <c r="D4617" s="4">
        <v>5847883</v>
      </c>
    </row>
    <row r="4618" spans="1:4" x14ac:dyDescent="0.25">
      <c r="A4618" t="str">
        <f>T("   441192")</f>
        <v xml:space="preserve">   441192</v>
      </c>
      <c r="B4618" t="str">
        <f>T("   D'UNE MASSE VOLUMIQUE EXCEDANT 0,8 G/CM³")</f>
        <v xml:space="preserve">   D'UNE MASSE VOLUMIQUE EXCEDANT 0,8 G/CM³</v>
      </c>
      <c r="C4618" s="4">
        <v>43250</v>
      </c>
      <c r="D4618" s="4">
        <v>6129238</v>
      </c>
    </row>
    <row r="4619" spans="1:4" x14ac:dyDescent="0.25">
      <c r="A4619" t="str">
        <f>T("   441400")</f>
        <v xml:space="preserve">   441400</v>
      </c>
      <c r="B4619" t="str">
        <f>T("   CADRES EN BOIS POUR TABLEAUX, PHOTOGRAPHIES, MIROIRS OU OBJETS SIMILAIRES.")</f>
        <v xml:space="preserve">   CADRES EN BOIS POUR TABLEAUX, PHOTOGRAPHIES, MIROIRS OU OBJETS SIMILAIRES.</v>
      </c>
      <c r="C4619" s="4">
        <v>1239</v>
      </c>
      <c r="D4619" s="4">
        <v>7193915</v>
      </c>
    </row>
    <row r="4620" spans="1:4" x14ac:dyDescent="0.25">
      <c r="A4620" t="str">
        <f>T("   441510")</f>
        <v xml:space="preserve">   441510</v>
      </c>
      <c r="B4620" t="str">
        <f>T("   CAISSES, CAISSETTES, CAGEOTS, CYLINDRES ET EMBALLAGES SIMILAIRES; TAMBOURS (TOURETS)")</f>
        <v xml:space="preserve">   CAISSES, CAISSETTES, CAGEOTS, CYLINDRES ET EMBALLAGES SIMILAIRES; TAMBOURS (TOURETS)</v>
      </c>
      <c r="C4620" s="4">
        <v>3421</v>
      </c>
      <c r="D4620" s="4">
        <v>7397438</v>
      </c>
    </row>
    <row r="4621" spans="1:4" x14ac:dyDescent="0.25">
      <c r="A4621" t="str">
        <f>T("   441700")</f>
        <v xml:space="preserve">   441700</v>
      </c>
      <c r="B4621" t="str">
        <f>T("   OUTILS, MONTURES ET MANCHES D'OUTILS, MONTURES DE BROSSES, MANCHES DE BALAIS OU DE BROS")</f>
        <v xml:space="preserve">   OUTILS, MONTURES ET MANCHES D'OUTILS, MONTURES DE BROSSES, MANCHES DE BALAIS OU DE BROS</v>
      </c>
      <c r="C4621" s="4">
        <v>30066</v>
      </c>
      <c r="D4621" s="4">
        <v>17091607</v>
      </c>
    </row>
    <row r="4622" spans="1:4" x14ac:dyDescent="0.25">
      <c r="A4622" t="str">
        <f>T("   441810")</f>
        <v xml:space="preserve">   441810</v>
      </c>
      <c r="B4622" t="str">
        <f>T("   FENETRES, PORTESFENETRES ET LEURS CADRES ET CHAMBRANLES")</f>
        <v xml:space="preserve">   FENETRES, PORTESFENETRES ET LEURS CADRES ET CHAMBRANLES</v>
      </c>
      <c r="C4622" s="4">
        <v>2175</v>
      </c>
      <c r="D4622" s="4">
        <v>1377516</v>
      </c>
    </row>
    <row r="4623" spans="1:4" x14ac:dyDescent="0.25">
      <c r="A4623" t="str">
        <f>T("   441820")</f>
        <v xml:space="preserve">   441820</v>
      </c>
      <c r="B4623" t="str">
        <f>T("   PORTES ET LEURS CADRES, CHAMBRANLES ET SEUILS")</f>
        <v xml:space="preserve">   PORTES ET LEURS CADRES, CHAMBRANLES ET SEUILS</v>
      </c>
      <c r="C4623" s="4">
        <v>2000</v>
      </c>
      <c r="D4623" s="4">
        <v>1198598</v>
      </c>
    </row>
    <row r="4624" spans="1:4" x14ac:dyDescent="0.25">
      <c r="A4624" t="str">
        <f>T("   441890")</f>
        <v xml:space="preserve">   441890</v>
      </c>
      <c r="B4624" t="str">
        <f>T("   AUTRES")</f>
        <v xml:space="preserve">   AUTRES</v>
      </c>
      <c r="C4624" s="4">
        <v>76174</v>
      </c>
      <c r="D4624" s="4">
        <v>141307938</v>
      </c>
    </row>
    <row r="4625" spans="1:4" x14ac:dyDescent="0.25">
      <c r="A4625" t="str">
        <f>T("   441900")</f>
        <v xml:space="preserve">   441900</v>
      </c>
      <c r="B4625" t="str">
        <f>T("   ARTICLES EN BOIS POUR LA TABLE OU LA CUISINE.")</f>
        <v xml:space="preserve">   ARTICLES EN BOIS POUR LA TABLE OU LA CUISINE.</v>
      </c>
      <c r="C4625" s="4">
        <v>17</v>
      </c>
      <c r="D4625" s="4">
        <v>204660</v>
      </c>
    </row>
    <row r="4626" spans="1:4" x14ac:dyDescent="0.25">
      <c r="A4626" t="str">
        <f>T("   442090")</f>
        <v xml:space="preserve">   442090</v>
      </c>
      <c r="B4626" t="str">
        <f>T("   AUTRES")</f>
        <v xml:space="preserve">   AUTRES</v>
      </c>
      <c r="C4626" s="4">
        <v>424</v>
      </c>
      <c r="D4626" s="4">
        <v>10095121</v>
      </c>
    </row>
    <row r="4627" spans="1:4" x14ac:dyDescent="0.25">
      <c r="A4627" t="str">
        <f>T("   442190")</f>
        <v xml:space="preserve">   442190</v>
      </c>
      <c r="B4627" t="str">
        <f>T("   AUTRES")</f>
        <v xml:space="preserve">   AUTRES</v>
      </c>
      <c r="C4627" s="4">
        <v>5502</v>
      </c>
      <c r="D4627" s="4">
        <v>3221845</v>
      </c>
    </row>
    <row r="4628" spans="1:4" x14ac:dyDescent="0.25">
      <c r="A4628" t="str">
        <f>T("   470429")</f>
        <v xml:space="preserve">   470429</v>
      </c>
      <c r="B4628" t="str">
        <f>T("   AUTRES QUE DE CONIFERES")</f>
        <v xml:space="preserve">   AUTRES QUE DE CONIFERES</v>
      </c>
      <c r="C4628" s="4">
        <v>305</v>
      </c>
      <c r="D4628" s="4">
        <v>883578</v>
      </c>
    </row>
    <row r="4629" spans="1:4" x14ac:dyDescent="0.25">
      <c r="A4629" t="str">
        <f>T("   480210")</f>
        <v xml:space="preserve">   480210</v>
      </c>
      <c r="B4629" t="str">
        <f>T("   Papiers et cartons formes feuille a feuille (papiers a la main)")</f>
        <v xml:space="preserve">   Papiers et cartons formes feuille a feuille (papiers a la main)</v>
      </c>
      <c r="C4629" s="4">
        <v>11073</v>
      </c>
      <c r="D4629" s="4">
        <v>8478873</v>
      </c>
    </row>
    <row r="4630" spans="1:4" x14ac:dyDescent="0.25">
      <c r="A4630" t="str">
        <f>T("   480220")</f>
        <v xml:space="preserve">   480220</v>
      </c>
      <c r="B4630" t="str">
        <f>T("   PAPIERS ET CARTONS SUPPORTS POUR PAPIERS OU CARTONS PHOTOSENSIBLES, SENSIBLES A LA CH")</f>
        <v xml:space="preserve">   PAPIERS ET CARTONS SUPPORTS POUR PAPIERS OU CARTONS PHOTOSENSIBLES, SENSIBLES A LA CH</v>
      </c>
      <c r="C4630" s="4">
        <v>7525</v>
      </c>
      <c r="D4630" s="4">
        <v>13237896</v>
      </c>
    </row>
    <row r="4631" spans="1:4" x14ac:dyDescent="0.25">
      <c r="A4631" t="str">
        <f>T("   480254")</f>
        <v xml:space="preserve">   480254</v>
      </c>
      <c r="B4631" t="str">
        <f>T("   D'UN POIDS AU M² INFERIEUR A 40 G")</f>
        <v xml:space="preserve">   D'UN POIDS AU M² INFERIEUR A 40 G</v>
      </c>
      <c r="C4631" s="4">
        <v>1590</v>
      </c>
      <c r="D4631" s="4">
        <v>5911512</v>
      </c>
    </row>
    <row r="4632" spans="1:4" x14ac:dyDescent="0.25">
      <c r="A4632" t="str">
        <f>T("   480256")</f>
        <v xml:space="preserve">   480256</v>
      </c>
      <c r="B4632" t="str">
        <f>T("   D'UN POIDS AU M² DE 40 G OU PLUS MAIS N'EXCEDANT PAS 150 G, EN FEUILLES DONT UN COTE")</f>
        <v xml:space="preserve">   D'UN POIDS AU M² DE 40 G OU PLUS MAIS N'EXCEDANT PAS 150 G, EN FEUILLES DONT UN COTE</v>
      </c>
      <c r="C4632" s="4">
        <v>3980</v>
      </c>
      <c r="D4632" s="4">
        <v>12308185</v>
      </c>
    </row>
    <row r="4633" spans="1:4" x14ac:dyDescent="0.25">
      <c r="A4633" t="str">
        <f>T("   480258")</f>
        <v xml:space="preserve">   480258</v>
      </c>
      <c r="B4633" t="str">
        <f>T("   D'UN POIDS AU M² EXCEDANT 150 G")</f>
        <v xml:space="preserve">   D'UN POIDS AU M² EXCEDANT 150 G</v>
      </c>
      <c r="C4633" s="4">
        <v>35109</v>
      </c>
      <c r="D4633" s="4">
        <v>23679319</v>
      </c>
    </row>
    <row r="4634" spans="1:4" x14ac:dyDescent="0.25">
      <c r="A4634" t="str">
        <f>T("   480261")</f>
        <v xml:space="preserve">   480261</v>
      </c>
      <c r="B4634" t="str">
        <f>T("   EN ROULEAUX")</f>
        <v xml:space="preserve">   EN ROULEAUX</v>
      </c>
      <c r="C4634" s="4">
        <v>1003</v>
      </c>
      <c r="D4634" s="4">
        <v>5239958</v>
      </c>
    </row>
    <row r="4635" spans="1:4" x14ac:dyDescent="0.25">
      <c r="A4635" t="str">
        <f>T("   480269")</f>
        <v xml:space="preserve">   480269</v>
      </c>
      <c r="B4635" t="str">
        <f>T("   AUTRES")</f>
        <v xml:space="preserve">   AUTRES</v>
      </c>
      <c r="C4635" s="4">
        <v>19400</v>
      </c>
      <c r="D4635" s="4">
        <v>9398595</v>
      </c>
    </row>
    <row r="4636" spans="1:4" x14ac:dyDescent="0.25">
      <c r="A4636" t="str">
        <f>T("   480300")</f>
        <v xml:space="preserve">   480300</v>
      </c>
      <c r="B4636" t="str">
        <f>T("   PAPIERS DES TYPES UTILISES POUR PAPIERS DE TOILETTE, POUR SERVIETTES A DEMAQUILLER, POU")</f>
        <v xml:space="preserve">   PAPIERS DES TYPES UTILISES POUR PAPIERS DE TOILETTE, POUR SERVIETTES A DEMAQUILLER, POU</v>
      </c>
      <c r="C4636" s="4">
        <v>2637</v>
      </c>
      <c r="D4636" s="4">
        <v>4746985</v>
      </c>
    </row>
    <row r="4637" spans="1:4" x14ac:dyDescent="0.25">
      <c r="A4637" t="str">
        <f>T("   480419")</f>
        <v xml:space="preserve">   480419</v>
      </c>
      <c r="B4637" t="str">
        <f>T("   AUTRES")</f>
        <v xml:space="preserve">   AUTRES</v>
      </c>
      <c r="C4637" s="4">
        <v>897</v>
      </c>
      <c r="D4637" s="4">
        <v>1965892</v>
      </c>
    </row>
    <row r="4638" spans="1:4" x14ac:dyDescent="0.25">
      <c r="A4638" t="str">
        <f>T("   480439")</f>
        <v xml:space="preserve">   480439</v>
      </c>
      <c r="B4638" t="str">
        <f>T("   AUTRES")</f>
        <v xml:space="preserve">   AUTRES</v>
      </c>
      <c r="C4638" s="4">
        <v>16852</v>
      </c>
      <c r="D4638" s="4">
        <v>12745304</v>
      </c>
    </row>
    <row r="4639" spans="1:4" x14ac:dyDescent="0.25">
      <c r="A4639" t="str">
        <f>T("   480540")</f>
        <v xml:space="preserve">   480540</v>
      </c>
      <c r="B4639" t="str">
        <f>T("   PAPIER ET CARTON FILTRE")</f>
        <v xml:space="preserve">   PAPIER ET CARTON FILTRE</v>
      </c>
      <c r="C4639" s="4">
        <v>2</v>
      </c>
      <c r="D4639" s="4">
        <v>609328</v>
      </c>
    </row>
    <row r="4640" spans="1:4" x14ac:dyDescent="0.25">
      <c r="A4640" t="str">
        <f>T("   480630")</f>
        <v xml:space="preserve">   480630</v>
      </c>
      <c r="B4640" t="str">
        <f>T("    PAPIERSCALQUES")</f>
        <v xml:space="preserve">    PAPIERSCALQUES</v>
      </c>
      <c r="C4640" s="4">
        <v>2630</v>
      </c>
      <c r="D4640" s="4">
        <v>678341</v>
      </c>
    </row>
    <row r="4641" spans="1:4" x14ac:dyDescent="0.25">
      <c r="A4641" t="str">
        <f>T("   480810")</f>
        <v xml:space="preserve">   480810</v>
      </c>
      <c r="B4641" t="str">
        <f>T("    PAPIERS ET CARTONS ONDULES, MEME PERFORES")</f>
        <v xml:space="preserve">    PAPIERS ET CARTONS ONDULES, MEME PERFORES</v>
      </c>
      <c r="C4641" s="4">
        <v>10540</v>
      </c>
      <c r="D4641" s="4">
        <v>8856116</v>
      </c>
    </row>
    <row r="4642" spans="1:4" x14ac:dyDescent="0.25">
      <c r="A4642" t="str">
        <f>T("   480890")</f>
        <v xml:space="preserve">   480890</v>
      </c>
      <c r="B4642" t="str">
        <f>T("    AUTRES")</f>
        <v xml:space="preserve">    AUTRES</v>
      </c>
      <c r="C4642" s="4">
        <v>2085</v>
      </c>
      <c r="D4642" s="4">
        <v>8649948</v>
      </c>
    </row>
    <row r="4643" spans="1:4" x14ac:dyDescent="0.25">
      <c r="A4643" t="str">
        <f>T("   480990")</f>
        <v xml:space="preserve">   480990</v>
      </c>
      <c r="B4643" t="str">
        <f>T("    AUTRES")</f>
        <v xml:space="preserve">    AUTRES</v>
      </c>
      <c r="C4643" s="4">
        <v>232</v>
      </c>
      <c r="D4643" s="4">
        <v>3406215</v>
      </c>
    </row>
    <row r="4644" spans="1:4" x14ac:dyDescent="0.25">
      <c r="A4644" t="str">
        <f>T("   481013")</f>
        <v xml:space="preserve">   481013</v>
      </c>
      <c r="B4644" t="str">
        <f>T("   EN ROULEAUX")</f>
        <v xml:space="preserve">   EN ROULEAUX</v>
      </c>
      <c r="C4644" s="4">
        <v>28</v>
      </c>
      <c r="D4644" s="4">
        <v>283807</v>
      </c>
    </row>
    <row r="4645" spans="1:4" x14ac:dyDescent="0.25">
      <c r="A4645" t="str">
        <f>T("   481019")</f>
        <v xml:space="preserve">   481019</v>
      </c>
      <c r="B4645" t="str">
        <f>T("   AUTRES")</f>
        <v xml:space="preserve">   AUTRES</v>
      </c>
      <c r="C4645" s="4">
        <v>47421</v>
      </c>
      <c r="D4645" s="4">
        <v>27795087</v>
      </c>
    </row>
    <row r="4646" spans="1:4" x14ac:dyDescent="0.25">
      <c r="A4646" t="str">
        <f>T("   481029")</f>
        <v xml:space="preserve">   481029</v>
      </c>
      <c r="B4646" t="str">
        <f>T("   AUTRES")</f>
        <v xml:space="preserve">   AUTRES</v>
      </c>
      <c r="C4646" s="4">
        <v>32</v>
      </c>
      <c r="D4646" s="4">
        <v>582006</v>
      </c>
    </row>
    <row r="4647" spans="1:4" x14ac:dyDescent="0.25">
      <c r="A4647" t="str">
        <f>T("   481031")</f>
        <v xml:space="preserve">   481031</v>
      </c>
      <c r="B4647" t="str">
        <f>T("   BLANCHIS UNIFORMEMENT DANS LA MASSE ET DONT PLUS DE 95 % EN POIDS DE LA COMPOSITION")</f>
        <v xml:space="preserve">   BLANCHIS UNIFORMEMENT DANS LA MASSE ET DONT PLUS DE 95 % EN POIDS DE LA COMPOSITION</v>
      </c>
      <c r="C4647" s="4">
        <v>698</v>
      </c>
      <c r="D4647" s="4">
        <v>1483782</v>
      </c>
    </row>
    <row r="4648" spans="1:4" x14ac:dyDescent="0.25">
      <c r="A4648" t="str">
        <f>T("   481039")</f>
        <v xml:space="preserve">   481039</v>
      </c>
      <c r="B4648" t="str">
        <f>T("   AUTRES")</f>
        <v xml:space="preserve">   AUTRES</v>
      </c>
      <c r="C4648" s="4">
        <v>76866.8</v>
      </c>
      <c r="D4648" s="4">
        <v>23614168</v>
      </c>
    </row>
    <row r="4649" spans="1:4" x14ac:dyDescent="0.25">
      <c r="A4649" t="str">
        <f>T("   481099")</f>
        <v xml:space="preserve">   481099</v>
      </c>
      <c r="B4649" t="str">
        <f>T("   AUTRES")</f>
        <v xml:space="preserve">   AUTRES</v>
      </c>
      <c r="C4649" s="4">
        <v>6611</v>
      </c>
      <c r="D4649" s="4">
        <v>3980695</v>
      </c>
    </row>
    <row r="4650" spans="1:4" x14ac:dyDescent="0.25">
      <c r="A4650" t="str">
        <f>T("   481110")</f>
        <v xml:space="preserve">   481110</v>
      </c>
      <c r="B4650" t="str">
        <f>T("   PAPIERS ET CARTONS GOUDRONNES, BITUMES OU ASPHALTES")</f>
        <v xml:space="preserve">   PAPIERS ET CARTONS GOUDRONNES, BITUMES OU ASPHALTES</v>
      </c>
      <c r="C4650" s="4">
        <v>122057</v>
      </c>
      <c r="D4650" s="4">
        <v>34937748</v>
      </c>
    </row>
    <row r="4651" spans="1:4" x14ac:dyDescent="0.25">
      <c r="A4651" t="str">
        <f>T("   481141")</f>
        <v xml:space="preserve">   481141</v>
      </c>
      <c r="B4651" t="str">
        <f>T("   AUTOADHESIFS")</f>
        <v xml:space="preserve">   AUTOADHESIFS</v>
      </c>
      <c r="C4651" s="4">
        <v>1101</v>
      </c>
      <c r="D4651" s="4">
        <v>440976</v>
      </c>
    </row>
    <row r="4652" spans="1:4" x14ac:dyDescent="0.25">
      <c r="A4652" t="str">
        <f>T("   481149")</f>
        <v xml:space="preserve">   481149</v>
      </c>
      <c r="B4652" t="str">
        <f>T("   AUTRES")</f>
        <v xml:space="preserve">   AUTRES</v>
      </c>
      <c r="C4652" s="4">
        <v>228</v>
      </c>
      <c r="D4652" s="4">
        <v>3707250</v>
      </c>
    </row>
    <row r="4653" spans="1:4" x14ac:dyDescent="0.25">
      <c r="A4653" t="str">
        <f>T("   481159")</f>
        <v xml:space="preserve">   481159</v>
      </c>
      <c r="B4653" t="str">
        <f>T("   AUTRES")</f>
        <v xml:space="preserve">   AUTRES</v>
      </c>
      <c r="C4653" s="4">
        <v>50</v>
      </c>
      <c r="D4653" s="4">
        <v>512960</v>
      </c>
    </row>
    <row r="4654" spans="1:4" x14ac:dyDescent="0.25">
      <c r="A4654" t="str">
        <f>T("   481190")</f>
        <v xml:space="preserve">   481190</v>
      </c>
      <c r="B4654" t="str">
        <f>T("   AUTRES PAPIERS, CARTONS, OUATE DE CELLULOSE ET NAPPES DE FIBRES DE CELLULOSE")</f>
        <v xml:space="preserve">   AUTRES PAPIERS, CARTONS, OUATE DE CELLULOSE ET NAPPES DE FIBRES DE CELLULOSE</v>
      </c>
      <c r="C4654" s="4">
        <v>1860</v>
      </c>
      <c r="D4654" s="4">
        <v>18858850</v>
      </c>
    </row>
    <row r="4655" spans="1:4" x14ac:dyDescent="0.25">
      <c r="A4655" t="str">
        <f>T("   481200")</f>
        <v xml:space="preserve">   481200</v>
      </c>
      <c r="B4655" t="str">
        <f>T("   BLOCS FILTRANTS ET PLAQUES FILTRANTES, EN PATE A PAPIER.")</f>
        <v xml:space="preserve">   BLOCS FILTRANTS ET PLAQUES FILTRANTES, EN PATE A PAPIER.</v>
      </c>
      <c r="C4655" s="4">
        <v>6963</v>
      </c>
      <c r="D4655" s="4">
        <v>15813267</v>
      </c>
    </row>
    <row r="4656" spans="1:4" x14ac:dyDescent="0.25">
      <c r="A4656" t="str">
        <f>T("   481620")</f>
        <v xml:space="preserve">   481620</v>
      </c>
      <c r="B4656" t="str">
        <f>T("   PAPIERS DITS «AUTOCOPIANTS»")</f>
        <v xml:space="preserve">   PAPIERS DITS «AUTOCOPIANTS»</v>
      </c>
      <c r="C4656" s="4">
        <v>13465</v>
      </c>
      <c r="D4656" s="4">
        <v>11704367</v>
      </c>
    </row>
    <row r="4657" spans="1:4" x14ac:dyDescent="0.25">
      <c r="A4657" t="str">
        <f>T("   481690")</f>
        <v xml:space="preserve">   481690</v>
      </c>
      <c r="B4657" t="str">
        <f>T("   AUTRES")</f>
        <v xml:space="preserve">   AUTRES</v>
      </c>
      <c r="C4657" s="4">
        <v>127</v>
      </c>
      <c r="D4657" s="4">
        <v>664192</v>
      </c>
    </row>
    <row r="4658" spans="1:4" x14ac:dyDescent="0.25">
      <c r="A4658" t="str">
        <f>T("   481710")</f>
        <v xml:space="preserve">   481710</v>
      </c>
      <c r="B4658" t="str">
        <f>T("   Enveloppes")</f>
        <v xml:space="preserve">   Enveloppes</v>
      </c>
      <c r="C4658" s="4">
        <v>254389.45</v>
      </c>
      <c r="D4658" s="4">
        <v>103567015</v>
      </c>
    </row>
    <row r="4659" spans="1:4" x14ac:dyDescent="0.25">
      <c r="A4659" t="str">
        <f>T("   481720")</f>
        <v xml:space="preserve">   481720</v>
      </c>
      <c r="B4659" t="str">
        <f>T("   CARTESLETTRES, CARTES POSTALES NON ILLUSTREES ET CARTES POUR CORRESPONDANCE")</f>
        <v xml:space="preserve">   CARTESLETTRES, CARTES POSTALES NON ILLUSTREES ET CARTES POUR CORRESPONDANCE</v>
      </c>
      <c r="C4659" s="4">
        <v>124</v>
      </c>
      <c r="D4659" s="4">
        <v>106000</v>
      </c>
    </row>
    <row r="4660" spans="1:4" x14ac:dyDescent="0.25">
      <c r="A4660" t="str">
        <f>T("   481730")</f>
        <v xml:space="preserve">   481730</v>
      </c>
      <c r="B4660" t="str">
        <f>T("   BOITES, POCHETTES ET PRESENTATIONS SIMILAIRES, EN PAPIER OU CARTON, RENFERMANT UN ASS")</f>
        <v xml:space="preserve">   BOITES, POCHETTES ET PRESENTATIONS SIMILAIRES, EN PAPIER OU CARTON, RENFERMANT UN ASS</v>
      </c>
      <c r="C4660" s="4">
        <v>464</v>
      </c>
      <c r="D4660" s="4">
        <v>711060</v>
      </c>
    </row>
    <row r="4661" spans="1:4" x14ac:dyDescent="0.25">
      <c r="A4661" t="str">
        <f>T("   481810")</f>
        <v xml:space="preserve">   481810</v>
      </c>
      <c r="B4661" t="str">
        <f>T("   Papier hygienique")</f>
        <v xml:space="preserve">   Papier hygienique</v>
      </c>
      <c r="C4661" s="4">
        <v>12906</v>
      </c>
      <c r="D4661" s="4">
        <v>11094352</v>
      </c>
    </row>
    <row r="4662" spans="1:4" x14ac:dyDescent="0.25">
      <c r="A4662" t="str">
        <f>T("   481820")</f>
        <v xml:space="preserve">   481820</v>
      </c>
      <c r="B4662" t="str">
        <f>T("   MOUCHOIRS, SERVIETTES A DEMAQUILLER ET ESSUIEMAINS")</f>
        <v xml:space="preserve">   MOUCHOIRS, SERVIETTES A DEMAQUILLER ET ESSUIEMAINS</v>
      </c>
      <c r="C4662" s="4">
        <v>177948</v>
      </c>
      <c r="D4662" s="4">
        <v>149553959</v>
      </c>
    </row>
    <row r="4663" spans="1:4" x14ac:dyDescent="0.25">
      <c r="A4663" t="str">
        <f>T("   481830")</f>
        <v xml:space="preserve">   481830</v>
      </c>
      <c r="B4663" t="str">
        <f>T("   NAPPES ET SERVIETTES DE TABLE")</f>
        <v xml:space="preserve">   NAPPES ET SERVIETTES DE TABLE</v>
      </c>
      <c r="C4663" s="4">
        <v>8997</v>
      </c>
      <c r="D4663" s="4">
        <v>6950722</v>
      </c>
    </row>
    <row r="4664" spans="1:4" x14ac:dyDescent="0.25">
      <c r="A4664" t="str">
        <f>T("   481840")</f>
        <v xml:space="preserve">   481840</v>
      </c>
      <c r="B4664" t="str">
        <f>T("   SERVIETTES,TAMPONS HYGIENIQUES,COUCHES POUR BEBES ET SIMILAIRES EN PAPIER")</f>
        <v xml:space="preserve">   SERVIETTES,TAMPONS HYGIENIQUES,COUCHES POUR BEBES ET SIMILAIRES EN PAPIER</v>
      </c>
      <c r="C4664" s="4">
        <v>147126</v>
      </c>
      <c r="D4664" s="4">
        <v>142339385</v>
      </c>
    </row>
    <row r="4665" spans="1:4" x14ac:dyDescent="0.25">
      <c r="A4665" t="str">
        <f>T("   481890")</f>
        <v xml:space="preserve">   481890</v>
      </c>
      <c r="B4665" t="str">
        <f>T("   AUTRES")</f>
        <v xml:space="preserve">   AUTRES</v>
      </c>
      <c r="C4665" s="4">
        <v>57643</v>
      </c>
      <c r="D4665" s="4">
        <v>93470499</v>
      </c>
    </row>
    <row r="4666" spans="1:4" x14ac:dyDescent="0.25">
      <c r="A4666" t="str">
        <f>T("   481910")</f>
        <v xml:space="preserve">   481910</v>
      </c>
      <c r="B4666" t="str">
        <f>T("   BOITES ET CAISSES EN PAPIER OU CARTON ONDULE")</f>
        <v xml:space="preserve">   BOITES ET CAISSES EN PAPIER OU CARTON ONDULE</v>
      </c>
      <c r="C4666" s="4">
        <v>26127</v>
      </c>
      <c r="D4666" s="4">
        <v>23976601</v>
      </c>
    </row>
    <row r="4667" spans="1:4" x14ac:dyDescent="0.25">
      <c r="A4667" t="str">
        <f>T("   481920")</f>
        <v xml:space="preserve">   481920</v>
      </c>
      <c r="B4667" t="str">
        <f>T("   BOITES ET CARTONNAGES, PLIANTS, EN PAPIER OU CARTON NON ONDULE")</f>
        <v xml:space="preserve">   BOITES ET CARTONNAGES, PLIANTS, EN PAPIER OU CARTON NON ONDULE</v>
      </c>
      <c r="C4667" s="4">
        <v>51277</v>
      </c>
      <c r="D4667" s="4">
        <v>24976853</v>
      </c>
    </row>
    <row r="4668" spans="1:4" x14ac:dyDescent="0.25">
      <c r="A4668" t="str">
        <f>T("   481930")</f>
        <v xml:space="preserve">   481930</v>
      </c>
      <c r="B4668" t="str">
        <f>T("   SACS D'UNE LARGEUR A LA BASE DE 40 CM OU PLUS")</f>
        <v xml:space="preserve">   SACS D'UNE LARGEUR A LA BASE DE 40 CM OU PLUS</v>
      </c>
      <c r="C4668" s="4">
        <v>167</v>
      </c>
      <c r="D4668" s="4">
        <v>722868</v>
      </c>
    </row>
    <row r="4669" spans="1:4" x14ac:dyDescent="0.25">
      <c r="A4669" t="str">
        <f>T("   481940")</f>
        <v xml:space="preserve">   481940</v>
      </c>
      <c r="B4669" t="str">
        <f>T("   AUTRES SACS; SACHETS, POCHETTES (AUTRES QUE CELLES POUR DISQUES) ET CORNETS")</f>
        <v xml:space="preserve">   AUTRES SACS; SACHETS, POCHETTES (AUTRES QUE CELLES POUR DISQUES) ET CORNETS</v>
      </c>
      <c r="C4669" s="4">
        <v>43319</v>
      </c>
      <c r="D4669" s="4">
        <v>28368184</v>
      </c>
    </row>
    <row r="4670" spans="1:4" x14ac:dyDescent="0.25">
      <c r="A4670" t="str">
        <f>T("   481950")</f>
        <v xml:space="preserve">   481950</v>
      </c>
      <c r="B4670" t="str">
        <f>T("   AUTRES EMBALLAGES, Y COMPRIS LES POCHETTES POUR DISQUES")</f>
        <v xml:space="preserve">   AUTRES EMBALLAGES, Y COMPRIS LES POCHETTES POUR DISQUES</v>
      </c>
      <c r="C4670" s="4">
        <v>5508</v>
      </c>
      <c r="D4670" s="4">
        <v>5831454</v>
      </c>
    </row>
    <row r="4671" spans="1:4" x14ac:dyDescent="0.25">
      <c r="A4671" t="str">
        <f>T("   481960")</f>
        <v xml:space="preserve">   481960</v>
      </c>
      <c r="B4671" t="str">
        <f>T("   CARTONNAGES DE BUREAU, DE MAGASIN OU SIMILAIRES")</f>
        <v xml:space="preserve">   CARTONNAGES DE BUREAU, DE MAGASIN OU SIMILAIRES</v>
      </c>
      <c r="C4671" s="4">
        <v>5873</v>
      </c>
      <c r="D4671" s="4">
        <v>3314272</v>
      </c>
    </row>
    <row r="4672" spans="1:4" x14ac:dyDescent="0.25">
      <c r="A4672" t="str">
        <f>T("   482010")</f>
        <v xml:space="preserve">   482010</v>
      </c>
      <c r="B4672" t="str">
        <f>T("   REGISTRES, LIVRES COMPTABLES, CARNETS (DE NOTES, DE COMMANDES, DE QUITTANCES), BLOCS")</f>
        <v xml:space="preserve">   REGISTRES, LIVRES COMPTABLES, CARNETS (DE NOTES, DE COMMANDES, DE QUITTANCES), BLOCS</v>
      </c>
      <c r="C4672" s="4">
        <v>16669</v>
      </c>
      <c r="D4672" s="4">
        <v>55934481</v>
      </c>
    </row>
    <row r="4673" spans="1:4" x14ac:dyDescent="0.25">
      <c r="A4673" t="str">
        <f>T("   482020")</f>
        <v xml:space="preserve">   482020</v>
      </c>
      <c r="B4673" t="str">
        <f>T("   Cahiers")</f>
        <v xml:space="preserve">   Cahiers</v>
      </c>
      <c r="C4673" s="4">
        <v>16997</v>
      </c>
      <c r="D4673" s="4">
        <v>14162709</v>
      </c>
    </row>
    <row r="4674" spans="1:4" x14ac:dyDescent="0.25">
      <c r="A4674" t="str">
        <f>T("   482030")</f>
        <v xml:space="preserve">   482030</v>
      </c>
      <c r="B4674" t="str">
        <f>T("   CLASSEURS, RELIURES (AUTRES QUE LES COUVERTURES POUR LIVRES), CHEMISES ET COUVERTURES")</f>
        <v xml:space="preserve">   CLASSEURS, RELIURES (AUTRES QUE LES COUVERTURES POUR LIVRES), CHEMISES ET COUVERTURES</v>
      </c>
      <c r="C4674" s="4">
        <v>27728</v>
      </c>
      <c r="D4674" s="4">
        <v>14304597</v>
      </c>
    </row>
    <row r="4675" spans="1:4" x14ac:dyDescent="0.25">
      <c r="A4675" t="str">
        <f>T("   482040")</f>
        <v xml:space="preserve">   482040</v>
      </c>
      <c r="B4675" t="str">
        <f>T("   LIASSES ET CARNETS MANIFOLD, MEME COMPORTANT DES FEUILLES DE PAPIER CARBONE")</f>
        <v xml:space="preserve">   LIASSES ET CARNETS MANIFOLD, MEME COMPORTANT DES FEUILLES DE PAPIER CARBONE</v>
      </c>
      <c r="C4675" s="4">
        <v>15742</v>
      </c>
      <c r="D4675" s="4">
        <v>3878345</v>
      </c>
    </row>
    <row r="4676" spans="1:4" x14ac:dyDescent="0.25">
      <c r="A4676" t="str">
        <f>T("   482050")</f>
        <v xml:space="preserve">   482050</v>
      </c>
      <c r="B4676" t="str">
        <f>T("   Albums pour echantillonnages ou pour collections")</f>
        <v xml:space="preserve">   Albums pour echantillonnages ou pour collections</v>
      </c>
      <c r="C4676" s="4">
        <v>161</v>
      </c>
      <c r="D4676" s="4">
        <v>716099</v>
      </c>
    </row>
    <row r="4677" spans="1:4" x14ac:dyDescent="0.25">
      <c r="A4677" t="str">
        <f>T("   482090")</f>
        <v xml:space="preserve">   482090</v>
      </c>
      <c r="B4677" t="str">
        <f>T("   AUTRES")</f>
        <v xml:space="preserve">   AUTRES</v>
      </c>
      <c r="C4677" s="4">
        <v>19427</v>
      </c>
      <c r="D4677" s="4">
        <v>18182708</v>
      </c>
    </row>
    <row r="4678" spans="1:4" x14ac:dyDescent="0.25">
      <c r="A4678" t="str">
        <f>T("   482110")</f>
        <v xml:space="preserve">   482110</v>
      </c>
      <c r="B4678" t="str">
        <f>T("   IMPRIMEES")</f>
        <v xml:space="preserve">   IMPRIMEES</v>
      </c>
      <c r="C4678" s="4">
        <v>178469</v>
      </c>
      <c r="D4678" s="4">
        <v>652193536</v>
      </c>
    </row>
    <row r="4679" spans="1:4" x14ac:dyDescent="0.25">
      <c r="A4679" t="str">
        <f>T("   482190")</f>
        <v xml:space="preserve">   482190</v>
      </c>
      <c r="B4679" t="str">
        <f>T("   AUTRES")</f>
        <v xml:space="preserve">   AUTRES</v>
      </c>
      <c r="C4679" s="4">
        <v>12516.15</v>
      </c>
      <c r="D4679" s="4">
        <v>37878454</v>
      </c>
    </row>
    <row r="4680" spans="1:4" x14ac:dyDescent="0.25">
      <c r="A4680" t="str">
        <f>T("   482290")</f>
        <v xml:space="preserve">   482290</v>
      </c>
      <c r="B4680" t="str">
        <f>T("   AUTRES")</f>
        <v xml:space="preserve">   AUTRES</v>
      </c>
      <c r="C4680" s="4">
        <v>2268</v>
      </c>
      <c r="D4680" s="4">
        <v>8596374</v>
      </c>
    </row>
    <row r="4681" spans="1:4" x14ac:dyDescent="0.25">
      <c r="A4681" t="str">
        <f>T("   482320")</f>
        <v xml:space="preserve">   482320</v>
      </c>
      <c r="B4681" t="str">
        <f>T("   PAPIER ET CARTONFILTRE")</f>
        <v xml:space="preserve">   PAPIER ET CARTONFILTRE</v>
      </c>
      <c r="C4681" s="4">
        <v>582.49</v>
      </c>
      <c r="D4681" s="4">
        <v>15848590</v>
      </c>
    </row>
    <row r="4682" spans="1:4" x14ac:dyDescent="0.25">
      <c r="A4682" t="str">
        <f>T("   482340")</f>
        <v xml:space="preserve">   482340</v>
      </c>
      <c r="B4682" t="str">
        <f>T("   PAPIERS A DIAGRAMMES POUR APPAREILS ENREGISTREURS, EN BOBINES, EN FEUILLES OU EN DISQ")</f>
        <v xml:space="preserve">   PAPIERS A DIAGRAMMES POUR APPAREILS ENREGISTREURS, EN BOBINES, EN FEUILLES OU EN DISQ</v>
      </c>
      <c r="C4682" s="4">
        <v>3997</v>
      </c>
      <c r="D4682" s="4">
        <v>14839790</v>
      </c>
    </row>
    <row r="4683" spans="1:4" x14ac:dyDescent="0.25">
      <c r="A4683" t="str">
        <f>T("   482369")</f>
        <v xml:space="preserve">   482369</v>
      </c>
      <c r="B4683" t="str">
        <f>T("   AUTRES")</f>
        <v xml:space="preserve">   AUTRES</v>
      </c>
      <c r="C4683" s="4">
        <v>1690</v>
      </c>
      <c r="D4683" s="4">
        <v>564454</v>
      </c>
    </row>
    <row r="4684" spans="1:4" x14ac:dyDescent="0.25">
      <c r="A4684" t="str">
        <f>T("   482370")</f>
        <v xml:space="preserve">   482370</v>
      </c>
      <c r="B4684" t="str">
        <f>T("   ARTICLES MOULES OU PRESSES EN PATE A PAPIER")</f>
        <v xml:space="preserve">   ARTICLES MOULES OU PRESSES EN PATE A PAPIER</v>
      </c>
      <c r="C4684" s="4">
        <v>4086</v>
      </c>
      <c r="D4684" s="4">
        <v>2819388</v>
      </c>
    </row>
    <row r="4685" spans="1:4" x14ac:dyDescent="0.25">
      <c r="A4685" t="str">
        <f>T("   482390")</f>
        <v xml:space="preserve">   482390</v>
      </c>
      <c r="B4685" t="str">
        <f>T("   AUTRES")</f>
        <v xml:space="preserve">   AUTRES</v>
      </c>
      <c r="C4685" s="4">
        <v>25137</v>
      </c>
      <c r="D4685" s="4">
        <v>34066786</v>
      </c>
    </row>
    <row r="4686" spans="1:4" x14ac:dyDescent="0.25">
      <c r="A4686" t="str">
        <f>T("   490110")</f>
        <v xml:space="preserve">   490110</v>
      </c>
      <c r="B4686" t="str">
        <f>T("   EN FEUILLETS ISOLES, MEME PLIES")</f>
        <v xml:space="preserve">   EN FEUILLETS ISOLES, MEME PLIES</v>
      </c>
      <c r="C4686" s="4">
        <v>27723.7</v>
      </c>
      <c r="D4686" s="4">
        <v>10747922</v>
      </c>
    </row>
    <row r="4687" spans="1:4" x14ac:dyDescent="0.25">
      <c r="A4687" t="str">
        <f>T("   490191")</f>
        <v xml:space="preserve">   490191</v>
      </c>
      <c r="B4687" t="str">
        <f>T("   DICTIONNAIRES ET ENCYCLOPEDIES, MEME EN FASCICULES")</f>
        <v xml:space="preserve">   DICTIONNAIRES ET ENCYCLOPEDIES, MEME EN FASCICULES</v>
      </c>
      <c r="C4687" s="4">
        <v>11247</v>
      </c>
      <c r="D4687" s="4">
        <v>59495743</v>
      </c>
    </row>
    <row r="4688" spans="1:4" x14ac:dyDescent="0.25">
      <c r="A4688" t="str">
        <f>T("   490199")</f>
        <v xml:space="preserve">   490199</v>
      </c>
      <c r="B4688" t="str">
        <f>T("   AUTRES")</f>
        <v xml:space="preserve">   AUTRES</v>
      </c>
      <c r="C4688" s="4">
        <v>201147.47</v>
      </c>
      <c r="D4688" s="4">
        <v>872504434</v>
      </c>
    </row>
    <row r="4689" spans="1:4" x14ac:dyDescent="0.25">
      <c r="A4689" t="str">
        <f>T("   490210")</f>
        <v xml:space="preserve">   490210</v>
      </c>
      <c r="B4689" t="str">
        <f>T("   PARAISSANT AU MOINS QUATRE FOIS PAR SEMAINE")</f>
        <v xml:space="preserve">   PARAISSANT AU MOINS QUATRE FOIS PAR SEMAINE</v>
      </c>
      <c r="C4689" s="4">
        <v>11154</v>
      </c>
      <c r="D4689" s="4">
        <v>22030204</v>
      </c>
    </row>
    <row r="4690" spans="1:4" x14ac:dyDescent="0.25">
      <c r="A4690" t="str">
        <f>T("   490290")</f>
        <v xml:space="preserve">   490290</v>
      </c>
      <c r="B4690" t="str">
        <f>T("   AUTRES")</f>
        <v xml:space="preserve">   AUTRES</v>
      </c>
      <c r="C4690" s="4">
        <v>2783.9</v>
      </c>
      <c r="D4690" s="4">
        <v>4855216</v>
      </c>
    </row>
    <row r="4691" spans="1:4" x14ac:dyDescent="0.25">
      <c r="A4691" t="str">
        <f>T("   490599")</f>
        <v xml:space="preserve">   490599</v>
      </c>
      <c r="B4691" t="str">
        <f>T("   AUTRES")</f>
        <v xml:space="preserve">   AUTRES</v>
      </c>
      <c r="C4691" s="4">
        <v>39</v>
      </c>
      <c r="D4691" s="4">
        <v>85275</v>
      </c>
    </row>
    <row r="4692" spans="1:4" x14ac:dyDescent="0.25">
      <c r="A4692" t="str">
        <f>T("   490600")</f>
        <v xml:space="preserve">   490600</v>
      </c>
      <c r="B4692" t="str">
        <f>T("   PLANS ET DESSINS D'ARCHITECTES, D'INGENIEURS ET AUTRES PLANS ET DESSINS INDUSTRIELS, CO")</f>
        <v xml:space="preserve">   PLANS ET DESSINS D'ARCHITECTES, D'INGENIEURS ET AUTRES PLANS ET DESSINS INDUSTRIELS, CO</v>
      </c>
      <c r="C4692" s="4">
        <v>138</v>
      </c>
      <c r="D4692" s="4">
        <v>1054456</v>
      </c>
    </row>
    <row r="4693" spans="1:4" x14ac:dyDescent="0.25">
      <c r="A4693" t="str">
        <f>T("   490700")</f>
        <v xml:space="preserve">   490700</v>
      </c>
      <c r="B4693" t="str">
        <f>T("   TIMBRESPOSTE, TIMBRES FISCAUX ET ANALOGUES, NON OBLITERES, AYANT COURS OU DESTINES A A")</f>
        <v xml:space="preserve">   TIMBRESPOSTE, TIMBRES FISCAUX ET ANALOGUES, NON OBLITERES, AYANT COURS OU DESTINES A A</v>
      </c>
      <c r="C4693" s="4">
        <v>2885.6</v>
      </c>
      <c r="D4693" s="4">
        <v>11703808</v>
      </c>
    </row>
    <row r="4694" spans="1:4" x14ac:dyDescent="0.25">
      <c r="A4694" t="str">
        <f>T("   490810")</f>
        <v xml:space="preserve">   490810</v>
      </c>
      <c r="B4694" t="str">
        <f>T("   DECALCOMANIES VITRIFIABLES")</f>
        <v xml:space="preserve">   DECALCOMANIES VITRIFIABLES</v>
      </c>
      <c r="C4694" s="4">
        <v>11</v>
      </c>
      <c r="D4694" s="4">
        <v>63629</v>
      </c>
    </row>
    <row r="4695" spans="1:4" x14ac:dyDescent="0.25">
      <c r="A4695" t="str">
        <f>T("   490890")</f>
        <v xml:space="preserve">   490890</v>
      </c>
      <c r="B4695" t="str">
        <f>T("   AUTRES")</f>
        <v xml:space="preserve">   AUTRES</v>
      </c>
      <c r="C4695" s="4">
        <v>35</v>
      </c>
      <c r="D4695" s="4">
        <v>96426</v>
      </c>
    </row>
    <row r="4696" spans="1:4" x14ac:dyDescent="0.25">
      <c r="A4696" t="str">
        <f>T("   490900")</f>
        <v xml:space="preserve">   490900</v>
      </c>
      <c r="B4696" t="str">
        <f>T("   CARTES POSTALES IMPRIMEES OU ILLUSTREES; CARTES IMPRIMEES COMPORTANT DES VœUX OU DES ME")</f>
        <v xml:space="preserve">   CARTES POSTALES IMPRIMEES OU ILLUSTREES; CARTES IMPRIMEES COMPORTANT DES VœUX OU DES ME</v>
      </c>
      <c r="C4696" s="4">
        <v>228.9</v>
      </c>
      <c r="D4696" s="4">
        <v>4818844</v>
      </c>
    </row>
    <row r="4697" spans="1:4" x14ac:dyDescent="0.25">
      <c r="A4697" t="str">
        <f>T("   491000")</f>
        <v xml:space="preserve">   491000</v>
      </c>
      <c r="B4697" t="str">
        <f>T("   CALENDRIERS DE TOUS GENRES, IMPRIMES, Y COMPRIS LES BLOCS DE CALENDRIERS A EFFEUILLER.")</f>
        <v xml:space="preserve">   CALENDRIERS DE TOUS GENRES, IMPRIMES, Y COMPRIS LES BLOCS DE CALENDRIERS A EFFEUILLER.</v>
      </c>
      <c r="C4697" s="4">
        <v>24034.2</v>
      </c>
      <c r="D4697" s="4">
        <v>66542877</v>
      </c>
    </row>
    <row r="4698" spans="1:4" x14ac:dyDescent="0.25">
      <c r="A4698" t="str">
        <f>T("   491110")</f>
        <v xml:space="preserve">   491110</v>
      </c>
      <c r="B4698" t="str">
        <f>T("   IMPRIMES PUBLICITAIRES, CATALOGUES COMMERCIAUX ET SIMILAIRES")</f>
        <v xml:space="preserve">   IMPRIMES PUBLICITAIRES, CATALOGUES COMMERCIAUX ET SIMILAIRES</v>
      </c>
      <c r="C4698" s="4">
        <v>11228.06</v>
      </c>
      <c r="D4698" s="4">
        <v>40741460</v>
      </c>
    </row>
    <row r="4699" spans="1:4" x14ac:dyDescent="0.25">
      <c r="A4699" t="str">
        <f>T("   491191")</f>
        <v xml:space="preserve">   491191</v>
      </c>
      <c r="B4699" t="str">
        <f>T("   IMAGES, GRAVURES ET PHOTOGRAPHIES")</f>
        <v xml:space="preserve">   IMAGES, GRAVURES ET PHOTOGRAPHIES</v>
      </c>
      <c r="C4699" s="4">
        <v>1544</v>
      </c>
      <c r="D4699" s="4">
        <v>3621690</v>
      </c>
    </row>
    <row r="4700" spans="1:4" x14ac:dyDescent="0.25">
      <c r="A4700" t="str">
        <f>T("   491199")</f>
        <v xml:space="preserve">   491199</v>
      </c>
      <c r="B4700" t="str">
        <f>T("   AUTRES")</f>
        <v xml:space="preserve">   AUTRES</v>
      </c>
      <c r="C4700" s="4">
        <v>4274.2</v>
      </c>
      <c r="D4700" s="4">
        <v>9974388</v>
      </c>
    </row>
    <row r="4701" spans="1:4" x14ac:dyDescent="0.25">
      <c r="A4701" t="str">
        <f>T("   511190")</f>
        <v xml:space="preserve">   511190</v>
      </c>
      <c r="B4701" t="str">
        <f>T("   AUTRES")</f>
        <v xml:space="preserve">   AUTRES</v>
      </c>
      <c r="C4701" s="4">
        <v>132</v>
      </c>
      <c r="D4701" s="4">
        <v>268943</v>
      </c>
    </row>
    <row r="4702" spans="1:4" x14ac:dyDescent="0.25">
      <c r="A4702" t="str">
        <f>T("   511220")</f>
        <v xml:space="preserve">   511220</v>
      </c>
      <c r="B4702" t="str">
        <f>T("   AUTRES, MELANGES PRINCIPALEMENT OU UNIQUEMENT AVEC DES FILAMENTS SYNTHETIQUES OU ARTI")</f>
        <v xml:space="preserve">   AUTRES, MELANGES PRINCIPALEMENT OU UNIQUEMENT AVEC DES FILAMENTS SYNTHETIQUES OU ARTI</v>
      </c>
      <c r="C4702" s="4">
        <v>3.7</v>
      </c>
      <c r="D4702" s="4">
        <v>63412</v>
      </c>
    </row>
    <row r="4703" spans="1:4" x14ac:dyDescent="0.25">
      <c r="A4703" t="str">
        <f>T("   511290")</f>
        <v xml:space="preserve">   511290</v>
      </c>
      <c r="B4703" t="str">
        <f>T("   AUTRES")</f>
        <v xml:space="preserve">   AUTRES</v>
      </c>
      <c r="C4703" s="4">
        <v>864</v>
      </c>
      <c r="D4703" s="4">
        <v>3933072</v>
      </c>
    </row>
    <row r="4704" spans="1:4" x14ac:dyDescent="0.25">
      <c r="A4704" t="str">
        <f>T("   520859")</f>
        <v xml:space="preserve">   520859</v>
      </c>
      <c r="B4704" t="str">
        <f>T("   AUTRES TISSUS")</f>
        <v xml:space="preserve">   AUTRES TISSUS</v>
      </c>
      <c r="C4704" s="4">
        <v>2199</v>
      </c>
      <c r="D4704" s="4">
        <v>5939943</v>
      </c>
    </row>
    <row r="4705" spans="1:4" x14ac:dyDescent="0.25">
      <c r="A4705" t="str">
        <f>T("   520951")</f>
        <v xml:space="preserve">   520951</v>
      </c>
      <c r="B4705" t="str">
        <f>T("   A ARMURE TOILE")</f>
        <v xml:space="preserve">   A ARMURE TOILE</v>
      </c>
      <c r="C4705" s="4">
        <v>100</v>
      </c>
      <c r="D4705" s="4">
        <v>505089</v>
      </c>
    </row>
    <row r="4706" spans="1:4" x14ac:dyDescent="0.25">
      <c r="A4706" t="str">
        <f>T("   521159")</f>
        <v xml:space="preserve">   521159</v>
      </c>
      <c r="B4706" t="str">
        <f>T("   AUTRES TISSUS")</f>
        <v xml:space="preserve">   AUTRES TISSUS</v>
      </c>
      <c r="C4706" s="4">
        <v>1376</v>
      </c>
      <c r="D4706" s="4">
        <v>4504248</v>
      </c>
    </row>
    <row r="4707" spans="1:4" x14ac:dyDescent="0.25">
      <c r="A4707" t="str">
        <f>T("   530929")</f>
        <v xml:space="preserve">   530929</v>
      </c>
      <c r="B4707" t="str">
        <f>T("   AUTRES")</f>
        <v xml:space="preserve">   AUTRES</v>
      </c>
      <c r="C4707" s="4">
        <v>86</v>
      </c>
      <c r="D4707" s="4">
        <v>318535</v>
      </c>
    </row>
    <row r="4708" spans="1:4" x14ac:dyDescent="0.25">
      <c r="A4708" t="str">
        <f>T("   540234")</f>
        <v xml:space="preserve">   540234</v>
      </c>
      <c r="B4708" t="str">
        <f>T("   DE POLYPROPYLENE")</f>
        <v xml:space="preserve">   DE POLYPROPYLENE</v>
      </c>
      <c r="C4708" s="4">
        <v>850</v>
      </c>
      <c r="D4708" s="4">
        <v>4390340</v>
      </c>
    </row>
    <row r="4709" spans="1:4" x14ac:dyDescent="0.25">
      <c r="A4709" t="str">
        <f>T("   540720")</f>
        <v xml:space="preserve">   540720</v>
      </c>
      <c r="B4709" t="str">
        <f>T("   TISSUS OBTENUS A PARTIR DE LAMES OU FORMES SIMILAIRES")</f>
        <v xml:space="preserve">   TISSUS OBTENUS A PARTIR DE LAMES OU FORMES SIMILAIRES</v>
      </c>
      <c r="C4709" s="4">
        <v>294</v>
      </c>
      <c r="D4709" s="4">
        <v>435600</v>
      </c>
    </row>
    <row r="4710" spans="1:4" x14ac:dyDescent="0.25">
      <c r="A4710" t="str">
        <f>T("   540793")</f>
        <v xml:space="preserve">   540793</v>
      </c>
      <c r="B4710" t="str">
        <f>T("   EN FILS DE DIVERSES COULEURS")</f>
        <v xml:space="preserve">   EN FILS DE DIVERSES COULEURS</v>
      </c>
      <c r="C4710" s="4">
        <v>2250</v>
      </c>
      <c r="D4710" s="4">
        <v>1475910</v>
      </c>
    </row>
    <row r="4711" spans="1:4" x14ac:dyDescent="0.25">
      <c r="A4711" t="str">
        <f>T("   540823")</f>
        <v xml:space="preserve">   540823</v>
      </c>
      <c r="B4711" t="str">
        <f>T("   EN FILS DE DIVERSES COULEURS")</f>
        <v xml:space="preserve">   EN FILS DE DIVERSES COULEURS</v>
      </c>
      <c r="C4711" s="4">
        <v>13</v>
      </c>
      <c r="D4711" s="4">
        <v>19900</v>
      </c>
    </row>
    <row r="4712" spans="1:4" x14ac:dyDescent="0.25">
      <c r="A4712" t="str">
        <f>T("   550140")</f>
        <v xml:space="preserve">   550140</v>
      </c>
      <c r="B4712" t="str">
        <f>T("   DE POLYPROPYLENE")</f>
        <v xml:space="preserve">   DE POLYPROPYLENE</v>
      </c>
      <c r="C4712" s="4">
        <v>340</v>
      </c>
      <c r="D4712" s="4">
        <v>150000</v>
      </c>
    </row>
    <row r="4713" spans="1:4" x14ac:dyDescent="0.25">
      <c r="A4713" t="str">
        <f>T("   550510")</f>
        <v xml:space="preserve">   550510</v>
      </c>
      <c r="B4713" t="str">
        <f>T("   DE FIBRES SYNTHETIQUES")</f>
        <v xml:space="preserve">   DE FIBRES SYNTHETIQUES</v>
      </c>
      <c r="C4713" s="4">
        <v>11.23</v>
      </c>
      <c r="D4713" s="4">
        <v>6034</v>
      </c>
    </row>
    <row r="4714" spans="1:4" x14ac:dyDescent="0.25">
      <c r="A4714" t="str">
        <f>T("   551349")</f>
        <v xml:space="preserve">   551349</v>
      </c>
      <c r="B4714" t="str">
        <f>T("   AUTRES TISSUS")</f>
        <v xml:space="preserve">   AUTRES TISSUS</v>
      </c>
      <c r="C4714" s="4">
        <v>2540</v>
      </c>
      <c r="D4714" s="4">
        <v>1470000</v>
      </c>
    </row>
    <row r="4715" spans="1:4" x14ac:dyDescent="0.25">
      <c r="A4715" t="str">
        <f>T("   560110")</f>
        <v xml:space="preserve">   560110</v>
      </c>
      <c r="B4715" t="str">
        <f>T("   SERVIETTES,TAMPONS HYGIENIQUES,COUCHES BEBES,ARTICLES D'HYGIENE EN OUATES")</f>
        <v xml:space="preserve">   SERVIETTES,TAMPONS HYGIENIQUES,COUCHES BEBES,ARTICLES D'HYGIENE EN OUATES</v>
      </c>
      <c r="C4715" s="4">
        <v>10135</v>
      </c>
      <c r="D4715" s="4">
        <v>5991664</v>
      </c>
    </row>
    <row r="4716" spans="1:4" x14ac:dyDescent="0.25">
      <c r="A4716" t="str">
        <f>T("   560121")</f>
        <v xml:space="preserve">   560121</v>
      </c>
      <c r="B4716" t="str">
        <f>T("   DE COTON")</f>
        <v xml:space="preserve">   DE COTON</v>
      </c>
      <c r="C4716" s="4">
        <v>385</v>
      </c>
      <c r="D4716" s="4">
        <v>1952794</v>
      </c>
    </row>
    <row r="4717" spans="1:4" x14ac:dyDescent="0.25">
      <c r="A4717" t="str">
        <f>T("   560210")</f>
        <v xml:space="preserve">   560210</v>
      </c>
      <c r="B4717" t="str">
        <f>T("   FEUTRES AIGUILLETES ET PRODUITS COUSUSTRICOTES")</f>
        <v xml:space="preserve">   FEUTRES AIGUILLETES ET PRODUITS COUSUSTRICOTES</v>
      </c>
      <c r="C4717" s="4">
        <v>994</v>
      </c>
      <c r="D4717" s="4">
        <v>11176647</v>
      </c>
    </row>
    <row r="4718" spans="1:4" x14ac:dyDescent="0.25">
      <c r="A4718" t="str">
        <f>T("   560314")</f>
        <v xml:space="preserve">   560314</v>
      </c>
      <c r="B4718" t="str">
        <f>T("   D'UN POIDS SUPERIEUR A 150 G/M²")</f>
        <v xml:space="preserve">   D'UN POIDS SUPERIEUR A 150 G/M²</v>
      </c>
      <c r="C4718" s="4">
        <v>112629</v>
      </c>
      <c r="D4718" s="4">
        <v>267786880</v>
      </c>
    </row>
    <row r="4719" spans="1:4" x14ac:dyDescent="0.25">
      <c r="A4719" t="str">
        <f>T("   560721")</f>
        <v xml:space="preserve">   560721</v>
      </c>
      <c r="B4719" t="str">
        <f>T("   FICELLES LIEUSES OU BOTTELEUSES")</f>
        <v xml:space="preserve">   FICELLES LIEUSES OU BOTTELEUSES</v>
      </c>
      <c r="C4719" s="4">
        <v>19</v>
      </c>
      <c r="D4719" s="4">
        <v>130500</v>
      </c>
    </row>
    <row r="4720" spans="1:4" x14ac:dyDescent="0.25">
      <c r="A4720" t="str">
        <f>T("   560749")</f>
        <v xml:space="preserve">   560749</v>
      </c>
      <c r="B4720" t="str">
        <f>T("   AUTRES")</f>
        <v xml:space="preserve">   AUTRES</v>
      </c>
      <c r="C4720" s="4">
        <v>16705</v>
      </c>
      <c r="D4720" s="4">
        <v>10285453</v>
      </c>
    </row>
    <row r="4721" spans="1:4" x14ac:dyDescent="0.25">
      <c r="A4721" t="str">
        <f>T("   560750")</f>
        <v xml:space="preserve">   560750</v>
      </c>
      <c r="B4721" t="str">
        <f>T("   D'AUTRES FIBRES SYNTHETIQUES")</f>
        <v xml:space="preserve">   D'AUTRES FIBRES SYNTHETIQUES</v>
      </c>
      <c r="C4721" s="4">
        <v>192</v>
      </c>
      <c r="D4721" s="4">
        <v>1578515</v>
      </c>
    </row>
    <row r="4722" spans="1:4" x14ac:dyDescent="0.25">
      <c r="A4722" t="str">
        <f>T("   560790")</f>
        <v xml:space="preserve">   560790</v>
      </c>
      <c r="B4722" t="str">
        <f>T("   AUTRES")</f>
        <v xml:space="preserve">   AUTRES</v>
      </c>
      <c r="C4722" s="4">
        <v>104.5</v>
      </c>
      <c r="D4722" s="4">
        <v>657337</v>
      </c>
    </row>
    <row r="4723" spans="1:4" x14ac:dyDescent="0.25">
      <c r="A4723" t="str">
        <f>T("   560811")</f>
        <v xml:space="preserve">   560811</v>
      </c>
      <c r="B4723" t="str">
        <f>T("   FILETS CONFECTIONNES POUR LA PECHE")</f>
        <v xml:space="preserve">   FILETS CONFECTIONNES POUR LA PECHE</v>
      </c>
      <c r="C4723" s="4">
        <v>19</v>
      </c>
      <c r="D4723" s="4">
        <v>40000</v>
      </c>
    </row>
    <row r="4724" spans="1:4" x14ac:dyDescent="0.25">
      <c r="A4724" t="str">
        <f>T("   560900")</f>
        <v xml:space="preserve">   560900</v>
      </c>
      <c r="B4724" t="str">
        <f>T("   ARTICLES EN FILS, LAMES OU FORMES SIMILAIRES DES N°S 54.04 OU 54.05, FICELLES, CORDES O")</f>
        <v xml:space="preserve">   ARTICLES EN FILS, LAMES OU FORMES SIMILAIRES DES N°S 54.04 OU 54.05, FICELLES, CORDES O</v>
      </c>
      <c r="C4724" s="4">
        <v>1263</v>
      </c>
      <c r="D4724" s="4">
        <v>1719927</v>
      </c>
    </row>
    <row r="4725" spans="1:4" x14ac:dyDescent="0.25">
      <c r="A4725" t="str">
        <f>T("   570190")</f>
        <v xml:space="preserve">   570190</v>
      </c>
      <c r="B4725" t="str">
        <f>T("   D'AUTRES MATIERES TEXTILES")</f>
        <v xml:space="preserve">   D'AUTRES MATIERES TEXTILES</v>
      </c>
      <c r="C4725" s="4">
        <v>150</v>
      </c>
      <c r="D4725" s="4">
        <v>575086</v>
      </c>
    </row>
    <row r="4726" spans="1:4" x14ac:dyDescent="0.25">
      <c r="A4726" t="str">
        <f>T("   570220")</f>
        <v xml:space="preserve">   570220</v>
      </c>
      <c r="B4726" t="str">
        <f>T("   REVETEMENTS DE SOL EN COCO")</f>
        <v xml:space="preserve">   REVETEMENTS DE SOL EN COCO</v>
      </c>
      <c r="C4726" s="4">
        <v>1000</v>
      </c>
      <c r="D4726" s="4">
        <v>2102352</v>
      </c>
    </row>
    <row r="4727" spans="1:4" x14ac:dyDescent="0.25">
      <c r="A4727" t="str">
        <f>T("   570330")</f>
        <v xml:space="preserve">   570330</v>
      </c>
      <c r="B4727" t="str">
        <f>T("   D'AUTRES MATIERES TEXTILES SYNTHETIQUES OU DE MATIERES TEXTILES ARTIFICIELLES")</f>
        <v xml:space="preserve">   D'AUTRES MATIERES TEXTILES SYNTHETIQUES OU DE MATIERES TEXTILES ARTIFICIELLES</v>
      </c>
      <c r="C4727" s="4">
        <v>320</v>
      </c>
      <c r="D4727" s="4">
        <v>717966</v>
      </c>
    </row>
    <row r="4728" spans="1:4" x14ac:dyDescent="0.25">
      <c r="A4728" t="str">
        <f>T("   570500")</f>
        <v xml:space="preserve">   570500</v>
      </c>
      <c r="B4728" t="str">
        <f>T("   AUTRES TAPIS ET REVETEMENTS DE SOL EN MATIERES TEXTILES, MEME CONFECTIONNES.")</f>
        <v xml:space="preserve">   AUTRES TAPIS ET REVETEMENTS DE SOL EN MATIERES TEXTILES, MEME CONFECTIONNES.</v>
      </c>
      <c r="C4728" s="4">
        <v>12701.46</v>
      </c>
      <c r="D4728" s="4">
        <v>6446179</v>
      </c>
    </row>
    <row r="4729" spans="1:4" x14ac:dyDescent="0.25">
      <c r="A4729" t="str">
        <f>T("   580410")</f>
        <v xml:space="preserve">   580410</v>
      </c>
      <c r="B4729" t="str">
        <f>T("   TULLES, TULLESBOBINOTS ET TISSUS A MAILLES NOUEES")</f>
        <v xml:space="preserve">   TULLES, TULLESBOBINOTS ET TISSUS A MAILLES NOUEES</v>
      </c>
      <c r="C4729" s="4">
        <v>386</v>
      </c>
      <c r="D4729" s="4">
        <v>1145000</v>
      </c>
    </row>
    <row r="4730" spans="1:4" x14ac:dyDescent="0.25">
      <c r="A4730" t="str">
        <f>T("   580890")</f>
        <v xml:space="preserve">   580890</v>
      </c>
      <c r="B4730" t="str">
        <f>T("   AUTRES")</f>
        <v xml:space="preserve">   AUTRES</v>
      </c>
      <c r="C4730" s="4">
        <v>68</v>
      </c>
      <c r="D4730" s="4">
        <v>964351</v>
      </c>
    </row>
    <row r="4731" spans="1:4" x14ac:dyDescent="0.25">
      <c r="A4731" t="str">
        <f>T("   581091")</f>
        <v xml:space="preserve">   581091</v>
      </c>
      <c r="B4731" t="str">
        <f>T("   DE COTON")</f>
        <v xml:space="preserve">   DE COTON</v>
      </c>
      <c r="C4731" s="4">
        <v>503</v>
      </c>
      <c r="D4731" s="4">
        <v>543200</v>
      </c>
    </row>
    <row r="4732" spans="1:4" x14ac:dyDescent="0.25">
      <c r="A4732" t="str">
        <f>T("   581099")</f>
        <v xml:space="preserve">   581099</v>
      </c>
      <c r="B4732" t="str">
        <f>T("   D'AUTRES MATIERES TEXTILES")</f>
        <v xml:space="preserve">   D'AUTRES MATIERES TEXTILES</v>
      </c>
      <c r="C4732" s="4">
        <v>1778.5</v>
      </c>
      <c r="D4732" s="4">
        <v>2934701</v>
      </c>
    </row>
    <row r="4733" spans="1:4" x14ac:dyDescent="0.25">
      <c r="A4733" t="str">
        <f>T("   581100")</f>
        <v xml:space="preserve">   581100</v>
      </c>
      <c r="B4733" t="str">
        <f>T("   PRODUITS TEXTILES MATELASSES EN PIECES, CONSTITUES D'UNE OU PLUSIEURS COUCHES DE MATIER")</f>
        <v xml:space="preserve">   PRODUITS TEXTILES MATELASSES EN PIECES, CONSTITUES D'UNE OU PLUSIEURS COUCHES DE MATIER</v>
      </c>
      <c r="C4733" s="4">
        <v>274</v>
      </c>
      <c r="D4733" s="4">
        <v>2053811</v>
      </c>
    </row>
    <row r="4734" spans="1:4" x14ac:dyDescent="0.25">
      <c r="A4734" t="str">
        <f>T("   590310")</f>
        <v xml:space="preserve">   590310</v>
      </c>
      <c r="B4734" t="str">
        <f>T("   AVEC DU POLY(CHLORURE DE VINYLE)")</f>
        <v xml:space="preserve">   AVEC DU POLY(CHLORURE DE VINYLE)</v>
      </c>
      <c r="C4734" s="4">
        <v>80.930000000000007</v>
      </c>
      <c r="D4734" s="4">
        <v>43490</v>
      </c>
    </row>
    <row r="4735" spans="1:4" x14ac:dyDescent="0.25">
      <c r="A4735" t="str">
        <f>T("   590390")</f>
        <v xml:space="preserve">   590390</v>
      </c>
      <c r="B4735" t="str">
        <f>T("   AUTRES")</f>
        <v xml:space="preserve">   AUTRES</v>
      </c>
      <c r="C4735" s="4">
        <v>203.7</v>
      </c>
      <c r="D4735" s="4">
        <v>730775</v>
      </c>
    </row>
    <row r="4736" spans="1:4" x14ac:dyDescent="0.25">
      <c r="A4736" t="str">
        <f>T("   590699")</f>
        <v xml:space="preserve">   590699</v>
      </c>
      <c r="B4736" t="str">
        <f>T("   AUTRES")</f>
        <v xml:space="preserve">   AUTRES</v>
      </c>
      <c r="C4736" s="4">
        <v>12</v>
      </c>
      <c r="D4736" s="4">
        <v>1623960</v>
      </c>
    </row>
    <row r="4737" spans="1:4" x14ac:dyDescent="0.25">
      <c r="A4737" t="str">
        <f>T("   590700")</f>
        <v xml:space="preserve">   590700</v>
      </c>
      <c r="B4737" t="str">
        <f>T("   AUTRES TISSUS IMPREGNES, ENDUITS OU RECOUVERTS; TOILES PEINTES POUR DECORS DE THEATRES,")</f>
        <v xml:space="preserve">   AUTRES TISSUS IMPREGNES, ENDUITS OU RECOUVERTS; TOILES PEINTES POUR DECORS DE THEATRES,</v>
      </c>
      <c r="C4737" s="4">
        <v>6456</v>
      </c>
      <c r="D4737" s="4">
        <v>5281789</v>
      </c>
    </row>
    <row r="4738" spans="1:4" x14ac:dyDescent="0.25">
      <c r="A4738" t="str">
        <f>T("   591132")</f>
        <v xml:space="preserve">   591132</v>
      </c>
      <c r="B4738" t="str">
        <f>T("   D'UN POIDS AU M² EGAL OU SUPERIEUR A 650 G")</f>
        <v xml:space="preserve">   D'UN POIDS AU M² EGAL OU SUPERIEUR A 650 G</v>
      </c>
      <c r="C4738" s="4">
        <v>198</v>
      </c>
      <c r="D4738" s="4">
        <v>1911468</v>
      </c>
    </row>
    <row r="4739" spans="1:4" x14ac:dyDescent="0.25">
      <c r="A4739" t="str">
        <f>T("   591190")</f>
        <v xml:space="preserve">   591190</v>
      </c>
      <c r="B4739" t="str">
        <f>T("   AUTRES")</f>
        <v xml:space="preserve">   AUTRES</v>
      </c>
      <c r="C4739" s="4">
        <v>390</v>
      </c>
      <c r="D4739" s="4">
        <v>3723012</v>
      </c>
    </row>
    <row r="4740" spans="1:4" x14ac:dyDescent="0.25">
      <c r="A4740" t="str">
        <f>T("   610310")</f>
        <v xml:space="preserve">   610310</v>
      </c>
      <c r="B4740" t="str">
        <f>T("   COSTUMES OU COMPLETS")</f>
        <v xml:space="preserve">   COSTUMES OU COMPLETS</v>
      </c>
      <c r="C4740" s="4">
        <v>5</v>
      </c>
      <c r="D4740" s="4">
        <v>268429</v>
      </c>
    </row>
    <row r="4741" spans="1:4" x14ac:dyDescent="0.25">
      <c r="A4741" t="str">
        <f>T("   610332")</f>
        <v xml:space="preserve">   610332</v>
      </c>
      <c r="B4741" t="str">
        <f>T("   DE COTON")</f>
        <v xml:space="preserve">   DE COTON</v>
      </c>
      <c r="C4741" s="4">
        <v>396</v>
      </c>
      <c r="D4741" s="4">
        <v>1500836</v>
      </c>
    </row>
    <row r="4742" spans="1:4" x14ac:dyDescent="0.25">
      <c r="A4742" t="str">
        <f>T("   610342")</f>
        <v xml:space="preserve">   610342</v>
      </c>
      <c r="B4742" t="str">
        <f>T("   DE COTON")</f>
        <v xml:space="preserve">   DE COTON</v>
      </c>
      <c r="C4742" s="4">
        <v>147</v>
      </c>
      <c r="D4742" s="4">
        <v>2038724</v>
      </c>
    </row>
    <row r="4743" spans="1:4" x14ac:dyDescent="0.25">
      <c r="A4743" t="str">
        <f>T("   610349")</f>
        <v xml:space="preserve">   610349</v>
      </c>
      <c r="B4743" t="str">
        <f>T("   D'AUTRES MATIERES TEXTILES")</f>
        <v xml:space="preserve">   D'AUTRES MATIERES TEXTILES</v>
      </c>
      <c r="C4743" s="4">
        <v>60</v>
      </c>
      <c r="D4743" s="4">
        <v>675061</v>
      </c>
    </row>
    <row r="4744" spans="1:4" x14ac:dyDescent="0.25">
      <c r="A4744" t="str">
        <f>T("   610419")</f>
        <v xml:space="preserve">   610419</v>
      </c>
      <c r="B4744" t="str">
        <f>T("   D'AUTRES MATIERES TEXTILES")</f>
        <v xml:space="preserve">   D'AUTRES MATIERES TEXTILES</v>
      </c>
      <c r="C4744" s="4">
        <v>101</v>
      </c>
      <c r="D4744" s="4">
        <v>201380</v>
      </c>
    </row>
    <row r="4745" spans="1:4" x14ac:dyDescent="0.25">
      <c r="A4745" t="str">
        <f>T("   610429")</f>
        <v xml:space="preserve">   610429</v>
      </c>
      <c r="B4745" t="str">
        <f>T("   D'AUTRES MATIERES TEXTILES")</f>
        <v xml:space="preserve">   D'AUTRES MATIERES TEXTILES</v>
      </c>
      <c r="C4745" s="4">
        <v>10</v>
      </c>
      <c r="D4745" s="4">
        <v>381034</v>
      </c>
    </row>
    <row r="4746" spans="1:4" x14ac:dyDescent="0.25">
      <c r="A4746" t="str">
        <f>T("   610439")</f>
        <v xml:space="preserve">   610439</v>
      </c>
      <c r="B4746" t="str">
        <f>T("   D'AUTRES MATIERES TEXTILES")</f>
        <v xml:space="preserve">   D'AUTRES MATIERES TEXTILES</v>
      </c>
      <c r="C4746" s="4">
        <v>351</v>
      </c>
      <c r="D4746" s="4">
        <v>1170000</v>
      </c>
    </row>
    <row r="4747" spans="1:4" x14ac:dyDescent="0.25">
      <c r="A4747" t="str">
        <f>T("   610441")</f>
        <v xml:space="preserve">   610441</v>
      </c>
      <c r="B4747" t="str">
        <f>T("   DE LAINE OU DE POILS FINS")</f>
        <v xml:space="preserve">   DE LAINE OU DE POILS FINS</v>
      </c>
      <c r="C4747" s="4">
        <v>387</v>
      </c>
      <c r="D4747" s="4">
        <v>1072320</v>
      </c>
    </row>
    <row r="4748" spans="1:4" x14ac:dyDescent="0.25">
      <c r="A4748" t="str">
        <f>T("   610449")</f>
        <v xml:space="preserve">   610449</v>
      </c>
      <c r="B4748" t="str">
        <f>T("   D'AUTRES MATIERES TEXTILES")</f>
        <v xml:space="preserve">   D'AUTRES MATIERES TEXTILES</v>
      </c>
      <c r="C4748" s="4">
        <v>733</v>
      </c>
      <c r="D4748" s="4">
        <v>923592</v>
      </c>
    </row>
    <row r="4749" spans="1:4" x14ac:dyDescent="0.25">
      <c r="A4749" t="str">
        <f>T("   610520")</f>
        <v xml:space="preserve">   610520</v>
      </c>
      <c r="B4749" t="str">
        <f>T("   DE FIBRES SYNTHETIQUES OU ARTIFICIELLES")</f>
        <v xml:space="preserve">   DE FIBRES SYNTHETIQUES OU ARTIFICIELLES</v>
      </c>
      <c r="C4749" s="4">
        <v>15</v>
      </c>
      <c r="D4749" s="4">
        <v>98394</v>
      </c>
    </row>
    <row r="4750" spans="1:4" x14ac:dyDescent="0.25">
      <c r="A4750" t="str">
        <f>T("   610590")</f>
        <v xml:space="preserve">   610590</v>
      </c>
      <c r="B4750" t="str">
        <f>T("   D'AUTRES MATIERES TEXTILES")</f>
        <v xml:space="preserve">   D'AUTRES MATIERES TEXTILES</v>
      </c>
      <c r="C4750" s="4">
        <v>8415</v>
      </c>
      <c r="D4750" s="4">
        <v>2863159</v>
      </c>
    </row>
    <row r="4751" spans="1:4" x14ac:dyDescent="0.25">
      <c r="A4751" t="str">
        <f>T("   610690")</f>
        <v xml:space="preserve">   610690</v>
      </c>
      <c r="B4751" t="str">
        <f>T("   D'AUTRES MATIERES TEXTILES")</f>
        <v xml:space="preserve">   D'AUTRES MATIERES TEXTILES</v>
      </c>
      <c r="C4751" s="4">
        <v>1876</v>
      </c>
      <c r="D4751" s="4">
        <v>4120712</v>
      </c>
    </row>
    <row r="4752" spans="1:4" x14ac:dyDescent="0.25">
      <c r="A4752" t="str">
        <f>T("   610831")</f>
        <v xml:space="preserve">   610831</v>
      </c>
      <c r="B4752" t="str">
        <f>T("   DE COTON")</f>
        <v xml:space="preserve">   DE COTON</v>
      </c>
      <c r="C4752" s="4">
        <v>117</v>
      </c>
      <c r="D4752" s="4">
        <v>1476566</v>
      </c>
    </row>
    <row r="4753" spans="1:4" x14ac:dyDescent="0.25">
      <c r="A4753" t="str">
        <f>T("   610891")</f>
        <v xml:space="preserve">   610891</v>
      </c>
      <c r="B4753" t="str">
        <f>T("   DE COTON")</f>
        <v xml:space="preserve">   DE COTON</v>
      </c>
      <c r="C4753" s="4">
        <v>2</v>
      </c>
      <c r="D4753" s="4">
        <v>37698</v>
      </c>
    </row>
    <row r="4754" spans="1:4" x14ac:dyDescent="0.25">
      <c r="A4754" t="str">
        <f>T("   610899")</f>
        <v xml:space="preserve">   610899</v>
      </c>
      <c r="B4754" t="str">
        <f>T("   D'AUTRES MATIERES TEXTILES")</f>
        <v xml:space="preserve">   D'AUTRES MATIERES TEXTILES</v>
      </c>
      <c r="C4754" s="4">
        <v>5</v>
      </c>
      <c r="D4754" s="4">
        <v>130975</v>
      </c>
    </row>
    <row r="4755" spans="1:4" x14ac:dyDescent="0.25">
      <c r="A4755" t="str">
        <f>T("   610910")</f>
        <v xml:space="preserve">   610910</v>
      </c>
      <c r="B4755" t="str">
        <f>T("   DE COTON")</f>
        <v xml:space="preserve">   DE COTON</v>
      </c>
      <c r="C4755" s="4">
        <v>10748</v>
      </c>
      <c r="D4755" s="4">
        <v>89426808</v>
      </c>
    </row>
    <row r="4756" spans="1:4" x14ac:dyDescent="0.25">
      <c r="A4756" t="str">
        <f>T("   610990")</f>
        <v xml:space="preserve">   610990</v>
      </c>
      <c r="B4756" t="str">
        <f>T("   D'AUTRES MATIERES TEXTILES")</f>
        <v xml:space="preserve">   D'AUTRES MATIERES TEXTILES</v>
      </c>
      <c r="C4756" s="4">
        <v>1063</v>
      </c>
      <c r="D4756" s="4">
        <v>5916050</v>
      </c>
    </row>
    <row r="4757" spans="1:4" x14ac:dyDescent="0.25">
      <c r="A4757" t="str">
        <f>T("   611090")</f>
        <v xml:space="preserve">   611090</v>
      </c>
      <c r="B4757" t="str">
        <f>T("   D’AUTRES MATIERES TEXTILES")</f>
        <v xml:space="preserve">   D’AUTRES MATIERES TEXTILES</v>
      </c>
      <c r="C4757" s="4">
        <v>80</v>
      </c>
      <c r="D4757" s="4">
        <v>629721</v>
      </c>
    </row>
    <row r="4758" spans="1:4" x14ac:dyDescent="0.25">
      <c r="A4758" t="str">
        <f>T("   611120")</f>
        <v xml:space="preserve">   611120</v>
      </c>
      <c r="B4758" t="str">
        <f>T("   DE COTON")</f>
        <v xml:space="preserve">   DE COTON</v>
      </c>
      <c r="C4758" s="4">
        <v>189</v>
      </c>
      <c r="D4758" s="4">
        <v>1071182</v>
      </c>
    </row>
    <row r="4759" spans="1:4" x14ac:dyDescent="0.25">
      <c r="A4759" t="str">
        <f>T("   611190")</f>
        <v xml:space="preserve">   611190</v>
      </c>
      <c r="B4759" t="str">
        <f>T("   D'AUTRES MATIERES TEXTILES")</f>
        <v xml:space="preserve">   D'AUTRES MATIERES TEXTILES</v>
      </c>
      <c r="C4759" s="4">
        <v>13</v>
      </c>
      <c r="D4759" s="4">
        <v>198736</v>
      </c>
    </row>
    <row r="4760" spans="1:4" x14ac:dyDescent="0.25">
      <c r="A4760" t="str">
        <f>T("   611490")</f>
        <v xml:space="preserve">   611490</v>
      </c>
      <c r="B4760" t="str">
        <f>T("   D'AUTRES MATIERES TEXTILES")</f>
        <v xml:space="preserve">   D'AUTRES MATIERES TEXTILES</v>
      </c>
      <c r="C4760" s="4">
        <v>1733</v>
      </c>
      <c r="D4760" s="4">
        <v>3219754</v>
      </c>
    </row>
    <row r="4761" spans="1:4" x14ac:dyDescent="0.25">
      <c r="A4761" t="str">
        <f>T("   611519")</f>
        <v xml:space="preserve">   611519</v>
      </c>
      <c r="B4761" t="str">
        <f>T("   COLLANTS EN BONNETERIE D'AUTRES MATIERES TEXTILES")</f>
        <v xml:space="preserve">   COLLANTS EN BONNETERIE D'AUTRES MATIERES TEXTILES</v>
      </c>
      <c r="C4761" s="4">
        <v>1429</v>
      </c>
      <c r="D4761" s="4">
        <v>11462000</v>
      </c>
    </row>
    <row r="4762" spans="1:4" x14ac:dyDescent="0.25">
      <c r="A4762" t="str">
        <f>T("   611599")</f>
        <v xml:space="preserve">   611599</v>
      </c>
      <c r="B4762" t="str">
        <f>T("   D'AUTRES MATIERES TEXTILES")</f>
        <v xml:space="preserve">   D'AUTRES MATIERES TEXTILES</v>
      </c>
      <c r="C4762" s="4">
        <v>18</v>
      </c>
      <c r="D4762" s="4">
        <v>40000</v>
      </c>
    </row>
    <row r="4763" spans="1:4" x14ac:dyDescent="0.25">
      <c r="A4763" t="str">
        <f>T("   611610")</f>
        <v xml:space="preserve">   611610</v>
      </c>
      <c r="B4763" t="str">
        <f>T("   IMPREGNES, ENDUITS OU RECOUVERTS DE MATIERES PLASTIQUES OU DE CAOUTCHOUC")</f>
        <v xml:space="preserve">   IMPREGNES, ENDUITS OU RECOUVERTS DE MATIERES PLASTIQUES OU DE CAOUTCHOUC</v>
      </c>
      <c r="C4763" s="4">
        <v>92.4</v>
      </c>
      <c r="D4763" s="4">
        <v>3030148</v>
      </c>
    </row>
    <row r="4764" spans="1:4" x14ac:dyDescent="0.25">
      <c r="A4764" t="str">
        <f>T("   611693")</f>
        <v xml:space="preserve">   611693</v>
      </c>
      <c r="B4764" t="str">
        <f>T("   DE FIBRES SYNTHETIQUES")</f>
        <v xml:space="preserve">   DE FIBRES SYNTHETIQUES</v>
      </c>
      <c r="C4764" s="4">
        <v>8</v>
      </c>
      <c r="D4764" s="4">
        <v>145604</v>
      </c>
    </row>
    <row r="4765" spans="1:4" x14ac:dyDescent="0.25">
      <c r="A4765" t="str">
        <f>T("   611780")</f>
        <v xml:space="preserve">   611780</v>
      </c>
      <c r="B4765" t="str">
        <f>T("   AUTRES ACCESSOIRES")</f>
        <v xml:space="preserve">   AUTRES ACCESSOIRES</v>
      </c>
      <c r="C4765" s="4">
        <v>65</v>
      </c>
      <c r="D4765" s="4">
        <v>282063</v>
      </c>
    </row>
    <row r="4766" spans="1:4" x14ac:dyDescent="0.25">
      <c r="A4766" t="str">
        <f>T("   611790")</f>
        <v xml:space="preserve">   611790</v>
      </c>
      <c r="B4766" t="str">
        <f>T("   PARTIES")</f>
        <v xml:space="preserve">   PARTIES</v>
      </c>
      <c r="C4766" s="4">
        <v>57</v>
      </c>
      <c r="D4766" s="4">
        <v>342457</v>
      </c>
    </row>
    <row r="4767" spans="1:4" x14ac:dyDescent="0.25">
      <c r="A4767" t="str">
        <f>T("   620119")</f>
        <v xml:space="preserve">   620119</v>
      </c>
      <c r="B4767" t="str">
        <f>T("   D'AUTRES MATIERES TEXTILES")</f>
        <v xml:space="preserve">   D'AUTRES MATIERES TEXTILES</v>
      </c>
      <c r="C4767" s="4">
        <v>56</v>
      </c>
      <c r="D4767" s="4">
        <v>994173</v>
      </c>
    </row>
    <row r="4768" spans="1:4" x14ac:dyDescent="0.25">
      <c r="A4768" t="str">
        <f>T("   620192")</f>
        <v xml:space="preserve">   620192</v>
      </c>
      <c r="B4768" t="str">
        <f>T("   DE COTON")</f>
        <v xml:space="preserve">   DE COTON</v>
      </c>
      <c r="C4768" s="4">
        <v>64</v>
      </c>
      <c r="D4768" s="4">
        <v>41750</v>
      </c>
    </row>
    <row r="4769" spans="1:4" x14ac:dyDescent="0.25">
      <c r="A4769" t="str">
        <f>T("   620199")</f>
        <v xml:space="preserve">   620199</v>
      </c>
      <c r="B4769" t="str">
        <f>T("   D'AUTRES MATIERES TEXTILES")</f>
        <v xml:space="preserve">   D'AUTRES MATIERES TEXTILES</v>
      </c>
      <c r="C4769" s="4">
        <v>291</v>
      </c>
      <c r="D4769" s="4">
        <v>338613</v>
      </c>
    </row>
    <row r="4770" spans="1:4" x14ac:dyDescent="0.25">
      <c r="A4770" t="str">
        <f>T("   620311")</f>
        <v xml:space="preserve">   620311</v>
      </c>
      <c r="B4770" t="str">
        <f>T("   DE LAINE OU DE POILS FINS")</f>
        <v xml:space="preserve">   DE LAINE OU DE POILS FINS</v>
      </c>
      <c r="C4770" s="4">
        <v>1739</v>
      </c>
      <c r="D4770" s="4">
        <v>5806735</v>
      </c>
    </row>
    <row r="4771" spans="1:4" x14ac:dyDescent="0.25">
      <c r="A4771" t="str">
        <f>T("   620319")</f>
        <v xml:space="preserve">   620319</v>
      </c>
      <c r="B4771" t="str">
        <f>T("   D'AUTRES MATIERES TEXTILES")</f>
        <v xml:space="preserve">   D'AUTRES MATIERES TEXTILES</v>
      </c>
      <c r="C4771" s="4">
        <v>1277</v>
      </c>
      <c r="D4771" s="4">
        <v>5623636</v>
      </c>
    </row>
    <row r="4772" spans="1:4" x14ac:dyDescent="0.25">
      <c r="A4772" t="str">
        <f>T("   620329")</f>
        <v xml:space="preserve">   620329</v>
      </c>
      <c r="B4772" t="str">
        <f>T("   D'AUTRES MATIERES TEXTILES")</f>
        <v xml:space="preserve">   D'AUTRES MATIERES TEXTILES</v>
      </c>
      <c r="C4772" s="4">
        <v>94.9</v>
      </c>
      <c r="D4772" s="4">
        <v>784542</v>
      </c>
    </row>
    <row r="4773" spans="1:4" x14ac:dyDescent="0.25">
      <c r="A4773" t="str">
        <f>T("   620339")</f>
        <v xml:space="preserve">   620339</v>
      </c>
      <c r="B4773" t="str">
        <f>T("   D'AUTRES MATIERES TEXTILES")</f>
        <v xml:space="preserve">   D'AUTRES MATIERES TEXTILES</v>
      </c>
      <c r="C4773" s="4">
        <v>396</v>
      </c>
      <c r="D4773" s="4">
        <v>2171884</v>
      </c>
    </row>
    <row r="4774" spans="1:4" x14ac:dyDescent="0.25">
      <c r="A4774" t="str">
        <f>T("   620341")</f>
        <v xml:space="preserve">   620341</v>
      </c>
      <c r="B4774" t="str">
        <f>T("   DE LAINE OU DE POILS FINS")</f>
        <v xml:space="preserve">   DE LAINE OU DE POILS FINS</v>
      </c>
      <c r="C4774" s="4">
        <v>56</v>
      </c>
      <c r="D4774" s="4">
        <v>187605</v>
      </c>
    </row>
    <row r="4775" spans="1:4" x14ac:dyDescent="0.25">
      <c r="A4775" t="str">
        <f>T("   620342")</f>
        <v xml:space="preserve">   620342</v>
      </c>
      <c r="B4775" t="str">
        <f>T("   DE COTON")</f>
        <v xml:space="preserve">   DE COTON</v>
      </c>
      <c r="C4775" s="4">
        <v>291</v>
      </c>
      <c r="D4775" s="4">
        <v>1211558</v>
      </c>
    </row>
    <row r="4776" spans="1:4" x14ac:dyDescent="0.25">
      <c r="A4776" t="str">
        <f>T("   620343")</f>
        <v xml:space="preserve">   620343</v>
      </c>
      <c r="B4776" t="str">
        <f>T("   DE FIBRES SYNTHETIQUES")</f>
        <v xml:space="preserve">   DE FIBRES SYNTHETIQUES</v>
      </c>
      <c r="C4776" s="4">
        <v>290</v>
      </c>
      <c r="D4776" s="4">
        <v>2669100</v>
      </c>
    </row>
    <row r="4777" spans="1:4" x14ac:dyDescent="0.25">
      <c r="A4777" t="str">
        <f>T("   620349")</f>
        <v xml:space="preserve">   620349</v>
      </c>
      <c r="B4777" t="str">
        <f>T("   D'AUTRES MATIERES TEXTILES")</f>
        <v xml:space="preserve">   D'AUTRES MATIERES TEXTILES</v>
      </c>
      <c r="C4777" s="4">
        <v>1960</v>
      </c>
      <c r="D4777" s="4">
        <v>12076173</v>
      </c>
    </row>
    <row r="4778" spans="1:4" x14ac:dyDescent="0.25">
      <c r="A4778" t="str">
        <f>T("   620412")</f>
        <v xml:space="preserve">   620412</v>
      </c>
      <c r="B4778" t="str">
        <f>T("   DE COTON")</f>
        <v xml:space="preserve">   DE COTON</v>
      </c>
      <c r="C4778" s="4">
        <v>4074</v>
      </c>
      <c r="D4778" s="4">
        <v>3020538</v>
      </c>
    </row>
    <row r="4779" spans="1:4" x14ac:dyDescent="0.25">
      <c r="A4779" t="str">
        <f>T("   620419")</f>
        <v xml:space="preserve">   620419</v>
      </c>
      <c r="B4779" t="str">
        <f>T("   D'AUTRES MATIERES TEXTILES")</f>
        <v xml:space="preserve">   D'AUTRES MATIERES TEXTILES</v>
      </c>
      <c r="C4779" s="4">
        <v>119</v>
      </c>
      <c r="D4779" s="4">
        <v>4882967</v>
      </c>
    </row>
    <row r="4780" spans="1:4" x14ac:dyDescent="0.25">
      <c r="A4780" t="str">
        <f>T("   620429")</f>
        <v xml:space="preserve">   620429</v>
      </c>
      <c r="B4780" t="str">
        <f>T("   D'AUTRES MATIERES TEXTILES")</f>
        <v xml:space="preserve">   D'AUTRES MATIERES TEXTILES</v>
      </c>
      <c r="C4780" s="4">
        <v>221</v>
      </c>
      <c r="D4780" s="4">
        <v>3615000</v>
      </c>
    </row>
    <row r="4781" spans="1:4" x14ac:dyDescent="0.25">
      <c r="A4781" t="str">
        <f>T("   620439")</f>
        <v xml:space="preserve">   620439</v>
      </c>
      <c r="B4781" t="str">
        <f>T("   D'AUTRES MATIERES TEXTILES")</f>
        <v xml:space="preserve">   D'AUTRES MATIERES TEXTILES</v>
      </c>
      <c r="C4781" s="4">
        <v>154</v>
      </c>
      <c r="D4781" s="4">
        <v>734676</v>
      </c>
    </row>
    <row r="4782" spans="1:4" x14ac:dyDescent="0.25">
      <c r="A4782" t="str">
        <f>T("   620441")</f>
        <v xml:space="preserve">   620441</v>
      </c>
      <c r="B4782" t="str">
        <f>T("   DE LAINE OU DE POILS FINS")</f>
        <v xml:space="preserve">   DE LAINE OU DE POILS FINS</v>
      </c>
      <c r="C4782" s="4">
        <v>345</v>
      </c>
      <c r="D4782" s="4">
        <v>1186632</v>
      </c>
    </row>
    <row r="4783" spans="1:4" x14ac:dyDescent="0.25">
      <c r="A4783" t="str">
        <f>T("   620449")</f>
        <v xml:space="preserve">   620449</v>
      </c>
      <c r="B4783" t="str">
        <f>T("   D'AUTRES MATIERES TEXTILES")</f>
        <v xml:space="preserve">   D'AUTRES MATIERES TEXTILES</v>
      </c>
      <c r="C4783" s="4">
        <v>1143</v>
      </c>
      <c r="D4783" s="4">
        <v>3962656</v>
      </c>
    </row>
    <row r="4784" spans="1:4" x14ac:dyDescent="0.25">
      <c r="A4784" t="str">
        <f>T("   620459")</f>
        <v xml:space="preserve">   620459</v>
      </c>
      <c r="B4784" t="str">
        <f>T("   D'AUTRES MATIERES TEXTILES")</f>
        <v xml:space="preserve">   D'AUTRES MATIERES TEXTILES</v>
      </c>
      <c r="C4784" s="4">
        <v>334</v>
      </c>
      <c r="D4784" s="4">
        <v>2956412</v>
      </c>
    </row>
    <row r="4785" spans="1:4" x14ac:dyDescent="0.25">
      <c r="A4785" t="str">
        <f>T("   620469")</f>
        <v xml:space="preserve">   620469</v>
      </c>
      <c r="B4785" t="str">
        <f>T("   D'AUTRES MATIERES TEXTILES")</f>
        <v xml:space="preserve">   D'AUTRES MATIERES TEXTILES</v>
      </c>
      <c r="C4785" s="4">
        <v>480</v>
      </c>
      <c r="D4785" s="4">
        <v>4912484</v>
      </c>
    </row>
    <row r="4786" spans="1:4" x14ac:dyDescent="0.25">
      <c r="A4786" t="str">
        <f>T("   620520")</f>
        <v xml:space="preserve">   620520</v>
      </c>
      <c r="B4786" t="str">
        <f>T("   DE COTON")</f>
        <v xml:space="preserve">   DE COTON</v>
      </c>
      <c r="C4786" s="4">
        <v>1102</v>
      </c>
      <c r="D4786" s="4">
        <v>3273434</v>
      </c>
    </row>
    <row r="4787" spans="1:4" x14ac:dyDescent="0.25">
      <c r="A4787" t="str">
        <f>T("   620530")</f>
        <v xml:space="preserve">   620530</v>
      </c>
      <c r="B4787" t="str">
        <f>T("   DE FIBRES SYNTHETIQUES OU ARTIFICIELLES")</f>
        <v xml:space="preserve">   DE FIBRES SYNTHETIQUES OU ARTIFICIELLES</v>
      </c>
      <c r="C4787" s="4">
        <v>553.17999999999995</v>
      </c>
      <c r="D4787" s="4">
        <v>4015327</v>
      </c>
    </row>
    <row r="4788" spans="1:4" x14ac:dyDescent="0.25">
      <c r="A4788" t="str">
        <f>T("   620590")</f>
        <v xml:space="preserve">   620590</v>
      </c>
      <c r="B4788" t="str">
        <f>T("   D'AUTRES MATIERES TEXTILES")</f>
        <v xml:space="preserve">   D'AUTRES MATIERES TEXTILES</v>
      </c>
      <c r="C4788" s="4">
        <v>122203</v>
      </c>
      <c r="D4788" s="4">
        <v>74501953</v>
      </c>
    </row>
    <row r="4789" spans="1:4" x14ac:dyDescent="0.25">
      <c r="A4789" t="str">
        <f>T("   620690")</f>
        <v xml:space="preserve">   620690</v>
      </c>
      <c r="B4789" t="str">
        <f>T("   D'AUTRES MATIERES TEXTILES")</f>
        <v xml:space="preserve">   D'AUTRES MATIERES TEXTILES</v>
      </c>
      <c r="C4789" s="4">
        <v>1300</v>
      </c>
      <c r="D4789" s="4">
        <v>1947377</v>
      </c>
    </row>
    <row r="4790" spans="1:4" x14ac:dyDescent="0.25">
      <c r="A4790" t="str">
        <f>T("   620799")</f>
        <v xml:space="preserve">   620799</v>
      </c>
      <c r="B4790" t="str">
        <f>T("   D'AUTRES MATIERES TEXTILES")</f>
        <v xml:space="preserve">   D'AUTRES MATIERES TEXTILES</v>
      </c>
      <c r="C4790" s="4">
        <v>173</v>
      </c>
      <c r="D4790" s="4">
        <v>210891</v>
      </c>
    </row>
    <row r="4791" spans="1:4" x14ac:dyDescent="0.25">
      <c r="A4791" t="str">
        <f>T("   620822")</f>
        <v xml:space="preserve">   620822</v>
      </c>
      <c r="B4791" t="str">
        <f>T("   DE FIBRES SYNTHETIQUES OU ARTIFICIELLES")</f>
        <v xml:space="preserve">   DE FIBRES SYNTHETIQUES OU ARTIFICIELLES</v>
      </c>
      <c r="C4791" s="4">
        <v>554</v>
      </c>
      <c r="D4791" s="4">
        <v>2595633</v>
      </c>
    </row>
    <row r="4792" spans="1:4" x14ac:dyDescent="0.25">
      <c r="A4792" t="str">
        <f>T("   620829")</f>
        <v xml:space="preserve">   620829</v>
      </c>
      <c r="B4792" t="str">
        <f>T("   D'AUTRES MATIERES TEXTILES")</f>
        <v xml:space="preserve">   D'AUTRES MATIERES TEXTILES</v>
      </c>
      <c r="C4792" s="4">
        <v>164</v>
      </c>
      <c r="D4792" s="4">
        <v>1321061</v>
      </c>
    </row>
    <row r="4793" spans="1:4" x14ac:dyDescent="0.25">
      <c r="A4793" t="str">
        <f>T("   620899")</f>
        <v xml:space="preserve">   620899</v>
      </c>
      <c r="B4793" t="str">
        <f>T("   D'AUTRES MATIERES TEXTILES")</f>
        <v xml:space="preserve">   D'AUTRES MATIERES TEXTILES</v>
      </c>
      <c r="C4793" s="4">
        <v>1</v>
      </c>
      <c r="D4793" s="4">
        <v>31467</v>
      </c>
    </row>
    <row r="4794" spans="1:4" x14ac:dyDescent="0.25">
      <c r="A4794" t="str">
        <f>T("   620920")</f>
        <v xml:space="preserve">   620920</v>
      </c>
      <c r="B4794" t="str">
        <f>T("   DE COTON")</f>
        <v xml:space="preserve">   DE COTON</v>
      </c>
      <c r="C4794" s="4">
        <v>8</v>
      </c>
      <c r="D4794" s="4">
        <v>13775</v>
      </c>
    </row>
    <row r="4795" spans="1:4" x14ac:dyDescent="0.25">
      <c r="A4795" t="str">
        <f>T("   620990")</f>
        <v xml:space="preserve">   620990</v>
      </c>
      <c r="B4795" t="str">
        <f>T("   D'AUTRES MATIERES TEXTILES")</f>
        <v xml:space="preserve">   D'AUTRES MATIERES TEXTILES</v>
      </c>
      <c r="C4795" s="4">
        <v>279</v>
      </c>
      <c r="D4795" s="4">
        <v>614070</v>
      </c>
    </row>
    <row r="4796" spans="1:4" x14ac:dyDescent="0.25">
      <c r="A4796" t="str">
        <f>T("   621010")</f>
        <v xml:space="preserve">   621010</v>
      </c>
      <c r="B4796" t="str">
        <f>T("   EN PRODUITS DES N°S 56.02 OU 56.03")</f>
        <v xml:space="preserve">   EN PRODUITS DES N°S 56.02 OU 56.03</v>
      </c>
      <c r="C4796" s="4">
        <v>242</v>
      </c>
      <c r="D4796" s="4">
        <v>1380844</v>
      </c>
    </row>
    <row r="4797" spans="1:4" x14ac:dyDescent="0.25">
      <c r="A4797" t="str">
        <f>T("   621020")</f>
        <v xml:space="preserve">   621020</v>
      </c>
      <c r="B4797" t="str">
        <f>T("   AUTRES VETEMENTS, DES TYPES VISES DANS LES N°S 6201.11 A 6201.19")</f>
        <v xml:space="preserve">   AUTRES VETEMENTS, DES TYPES VISES DANS LES N°S 6201.11 A 6201.19</v>
      </c>
      <c r="C4797" s="4">
        <v>768.3</v>
      </c>
      <c r="D4797" s="4">
        <v>2097002</v>
      </c>
    </row>
    <row r="4798" spans="1:4" x14ac:dyDescent="0.25">
      <c r="A4798" t="str">
        <f>T("   621030")</f>
        <v xml:space="preserve">   621030</v>
      </c>
      <c r="B4798" t="str">
        <f>T("   AUTRES VETEMENTS, DES TYPES VISES DANS LES N°S 6202.11 A 6202.19")</f>
        <v xml:space="preserve">   AUTRES VETEMENTS, DES TYPES VISES DANS LES N°S 6202.11 A 6202.19</v>
      </c>
      <c r="C4798" s="4">
        <v>1330</v>
      </c>
      <c r="D4798" s="4">
        <v>663963</v>
      </c>
    </row>
    <row r="4799" spans="1:4" x14ac:dyDescent="0.25">
      <c r="A4799" t="str">
        <f>T("   621040")</f>
        <v xml:space="preserve">   621040</v>
      </c>
      <c r="B4799" t="str">
        <f>T("   AUTRES VETEMENTS POUR HOMMES OU GARCONNETS")</f>
        <v xml:space="preserve">   AUTRES VETEMENTS POUR HOMMES OU GARCONNETS</v>
      </c>
      <c r="C4799" s="4">
        <v>45374.34</v>
      </c>
      <c r="D4799" s="4">
        <v>28683877</v>
      </c>
    </row>
    <row r="4800" spans="1:4" x14ac:dyDescent="0.25">
      <c r="A4800" t="str">
        <f>T("   621050")</f>
        <v xml:space="preserve">   621050</v>
      </c>
      <c r="B4800" t="str">
        <f>T("   AUTRES VETEMENTS POUR FEMMES OU FILLETTES")</f>
        <v xml:space="preserve">   AUTRES VETEMENTS POUR FEMMES OU FILLETTES</v>
      </c>
      <c r="C4800" s="4">
        <v>1532</v>
      </c>
      <c r="D4800" s="4">
        <v>6468890</v>
      </c>
    </row>
    <row r="4801" spans="1:4" x14ac:dyDescent="0.25">
      <c r="A4801" t="str">
        <f>T("   621132")</f>
        <v xml:space="preserve">   621132</v>
      </c>
      <c r="B4801" t="str">
        <f>T("   DE COTON")</f>
        <v xml:space="preserve">   DE COTON</v>
      </c>
      <c r="C4801" s="4">
        <v>211</v>
      </c>
      <c r="D4801" s="4">
        <v>5229968</v>
      </c>
    </row>
    <row r="4802" spans="1:4" x14ac:dyDescent="0.25">
      <c r="A4802" t="str">
        <f>T("   621139")</f>
        <v xml:space="preserve">   621139</v>
      </c>
      <c r="B4802" t="str">
        <f>T("   D'AUTRES MATIERES TEXTILES")</f>
        <v xml:space="preserve">   D'AUTRES MATIERES TEXTILES</v>
      </c>
      <c r="C4802" s="4">
        <v>467</v>
      </c>
      <c r="D4802" s="4">
        <v>2691915</v>
      </c>
    </row>
    <row r="4803" spans="1:4" x14ac:dyDescent="0.25">
      <c r="A4803" t="str">
        <f>T("   621143")</f>
        <v xml:space="preserve">   621143</v>
      </c>
      <c r="B4803" t="str">
        <f>T("   DE FIBRES SYNTHETIQUES OU ARTIFICIELLES")</f>
        <v xml:space="preserve">   DE FIBRES SYNTHETIQUES OU ARTIFICIELLES</v>
      </c>
      <c r="C4803" s="4">
        <v>30</v>
      </c>
      <c r="D4803" s="4">
        <v>529891</v>
      </c>
    </row>
    <row r="4804" spans="1:4" x14ac:dyDescent="0.25">
      <c r="A4804" t="str">
        <f>T("   621149")</f>
        <v xml:space="preserve">   621149</v>
      </c>
      <c r="B4804" t="str">
        <f>T("   D'AUTRES MATIERES TEXTILES")</f>
        <v xml:space="preserve">   D'AUTRES MATIERES TEXTILES</v>
      </c>
      <c r="C4804" s="4">
        <v>371</v>
      </c>
      <c r="D4804" s="4">
        <v>2444107</v>
      </c>
    </row>
    <row r="4805" spans="1:4" x14ac:dyDescent="0.25">
      <c r="A4805" t="str">
        <f>T("   621210")</f>
        <v xml:space="preserve">   621210</v>
      </c>
      <c r="B4805" t="str">
        <f>T("   SOUTIENSGORGE ET BUSTIERS")</f>
        <v xml:space="preserve">   SOUTIENSGORGE ET BUSTIERS</v>
      </c>
      <c r="C4805" s="4">
        <v>125</v>
      </c>
      <c r="D4805" s="4">
        <v>1690409</v>
      </c>
    </row>
    <row r="4806" spans="1:4" x14ac:dyDescent="0.25">
      <c r="A4806" t="str">
        <f>T("   621290")</f>
        <v xml:space="preserve">   621290</v>
      </c>
      <c r="B4806" t="str">
        <f>T("   AUTRES")</f>
        <v xml:space="preserve">   AUTRES</v>
      </c>
      <c r="C4806" s="4">
        <v>11</v>
      </c>
      <c r="D4806" s="4">
        <v>285080</v>
      </c>
    </row>
    <row r="4807" spans="1:4" x14ac:dyDescent="0.25">
      <c r="A4807" t="str">
        <f>T("   621490")</f>
        <v xml:space="preserve">   621490</v>
      </c>
      <c r="B4807" t="str">
        <f>T("   D'AUTRES MATIERES TEXTILES")</f>
        <v xml:space="preserve">   D'AUTRES MATIERES TEXTILES</v>
      </c>
      <c r="C4807" s="4">
        <v>5.5</v>
      </c>
      <c r="D4807" s="4">
        <v>283375</v>
      </c>
    </row>
    <row r="4808" spans="1:4" x14ac:dyDescent="0.25">
      <c r="A4808" t="str">
        <f>T("   621710")</f>
        <v xml:space="preserve">   621710</v>
      </c>
      <c r="B4808" t="str">
        <f>T("   ACCESSOIRES")</f>
        <v xml:space="preserve">   ACCESSOIRES</v>
      </c>
      <c r="C4808" s="4">
        <v>150</v>
      </c>
      <c r="D4808" s="4">
        <v>7002150</v>
      </c>
    </row>
    <row r="4809" spans="1:4" x14ac:dyDescent="0.25">
      <c r="A4809" t="str">
        <f>T("   621790")</f>
        <v xml:space="preserve">   621790</v>
      </c>
      <c r="B4809" t="str">
        <f>T("   PARTIES")</f>
        <v xml:space="preserve">   PARTIES</v>
      </c>
      <c r="C4809" s="4">
        <v>100</v>
      </c>
      <c r="D4809" s="4">
        <v>65596</v>
      </c>
    </row>
    <row r="4810" spans="1:4" x14ac:dyDescent="0.25">
      <c r="A4810" t="str">
        <f>T("   630221")</f>
        <v xml:space="preserve">   630221</v>
      </c>
      <c r="B4810" t="str">
        <f>T("   DE COTON")</f>
        <v xml:space="preserve">   DE COTON</v>
      </c>
      <c r="C4810" s="4">
        <v>3250</v>
      </c>
      <c r="D4810" s="4">
        <v>13060819</v>
      </c>
    </row>
    <row r="4811" spans="1:4" x14ac:dyDescent="0.25">
      <c r="A4811" t="str">
        <f>T("   630229")</f>
        <v xml:space="preserve">   630229</v>
      </c>
      <c r="B4811" t="str">
        <f>T("   D'AUTRES MATIERES TEXTILES")</f>
        <v xml:space="preserve">   D'AUTRES MATIERES TEXTILES</v>
      </c>
      <c r="C4811" s="4">
        <v>85</v>
      </c>
      <c r="D4811" s="4">
        <v>74500</v>
      </c>
    </row>
    <row r="4812" spans="1:4" x14ac:dyDescent="0.25">
      <c r="A4812" t="str">
        <f>T("   630231")</f>
        <v xml:space="preserve">   630231</v>
      </c>
      <c r="B4812" t="str">
        <f>T("   DE COTON")</f>
        <v xml:space="preserve">   DE COTON</v>
      </c>
      <c r="C4812" s="4">
        <v>1526</v>
      </c>
      <c r="D4812" s="4">
        <v>6892171</v>
      </c>
    </row>
    <row r="4813" spans="1:4" x14ac:dyDescent="0.25">
      <c r="A4813" t="str">
        <f>T("   630240")</f>
        <v xml:space="preserve">   630240</v>
      </c>
      <c r="B4813" t="str">
        <f>T("   LINGE DE TABLE EN BONNETERIE")</f>
        <v xml:space="preserve">   LINGE DE TABLE EN BONNETERIE</v>
      </c>
      <c r="C4813" s="4">
        <v>140</v>
      </c>
      <c r="D4813" s="4">
        <v>616124</v>
      </c>
    </row>
    <row r="4814" spans="1:4" x14ac:dyDescent="0.25">
      <c r="A4814" t="str">
        <f>T("   630251")</f>
        <v xml:space="preserve">   630251</v>
      </c>
      <c r="B4814" t="str">
        <f>T("   DE COTON")</f>
        <v xml:space="preserve">   DE COTON</v>
      </c>
      <c r="C4814" s="4">
        <v>608</v>
      </c>
      <c r="D4814" s="4">
        <v>1922619</v>
      </c>
    </row>
    <row r="4815" spans="1:4" x14ac:dyDescent="0.25">
      <c r="A4815" t="str">
        <f>T("   630259")</f>
        <v xml:space="preserve">   630259</v>
      </c>
      <c r="B4815" t="str">
        <f>T("   D'AUTRES MATIERES TEXTILES")</f>
        <v xml:space="preserve">   D'AUTRES MATIERES TEXTILES</v>
      </c>
      <c r="C4815" s="4">
        <v>593</v>
      </c>
      <c r="D4815" s="4">
        <v>2493960</v>
      </c>
    </row>
    <row r="4816" spans="1:4" x14ac:dyDescent="0.25">
      <c r="A4816" t="str">
        <f>T("   630260")</f>
        <v xml:space="preserve">   630260</v>
      </c>
      <c r="B4816" t="str">
        <f>T("   LINGE DE TOILETTE OU DE CUISINE, BOUCLE DU GENRE EPONGE, DE COTON")</f>
        <v xml:space="preserve">   LINGE DE TOILETTE OU DE CUISINE, BOUCLE DU GENRE EPONGE, DE COTON</v>
      </c>
      <c r="C4816" s="4">
        <v>339</v>
      </c>
      <c r="D4816" s="4">
        <v>1038696</v>
      </c>
    </row>
    <row r="4817" spans="1:4" x14ac:dyDescent="0.25">
      <c r="A4817" t="str">
        <f>T("   630299")</f>
        <v xml:space="preserve">   630299</v>
      </c>
      <c r="B4817" t="str">
        <f>T("   D'AUTRES MATIERES TEXTILES")</f>
        <v xml:space="preserve">   D'AUTRES MATIERES TEXTILES</v>
      </c>
      <c r="C4817" s="4">
        <v>1418</v>
      </c>
      <c r="D4817" s="4">
        <v>8048832</v>
      </c>
    </row>
    <row r="4818" spans="1:4" x14ac:dyDescent="0.25">
      <c r="A4818" t="str">
        <f>T("   630312")</f>
        <v xml:space="preserve">   630312</v>
      </c>
      <c r="B4818" t="str">
        <f>T("   DE FIBRES SYNTHETIQUES")</f>
        <v xml:space="preserve">   DE FIBRES SYNTHETIQUES</v>
      </c>
      <c r="C4818" s="4">
        <v>1000</v>
      </c>
      <c r="D4818" s="4">
        <v>1206966</v>
      </c>
    </row>
    <row r="4819" spans="1:4" x14ac:dyDescent="0.25">
      <c r="A4819" t="str">
        <f>T("   630319")</f>
        <v xml:space="preserve">   630319</v>
      </c>
      <c r="B4819" t="str">
        <f>T("   D'AUTRES MATIERES TEXTILES")</f>
        <v xml:space="preserve">   D'AUTRES MATIERES TEXTILES</v>
      </c>
      <c r="C4819" s="4">
        <v>643</v>
      </c>
      <c r="D4819" s="4">
        <v>2606129</v>
      </c>
    </row>
    <row r="4820" spans="1:4" x14ac:dyDescent="0.25">
      <c r="A4820" t="str">
        <f>T("   630399")</f>
        <v xml:space="preserve">   630399</v>
      </c>
      <c r="B4820" t="str">
        <f>T("   D'AUTRES MATIERES TEXTILES")</f>
        <v xml:space="preserve">   D'AUTRES MATIERES TEXTILES</v>
      </c>
      <c r="C4820" s="4">
        <v>5871</v>
      </c>
      <c r="D4820" s="4">
        <v>31061436</v>
      </c>
    </row>
    <row r="4821" spans="1:4" x14ac:dyDescent="0.25">
      <c r="A4821" t="str">
        <f>T("   630492")</f>
        <v xml:space="preserve">   630492</v>
      </c>
      <c r="B4821" t="str">
        <f>T("   AUTRES QU'EN BONNETERIE, DE COTON")</f>
        <v xml:space="preserve">   AUTRES QU'EN BONNETERIE, DE COTON</v>
      </c>
      <c r="C4821" s="4">
        <v>25.38</v>
      </c>
      <c r="D4821" s="4">
        <v>13645</v>
      </c>
    </row>
    <row r="4822" spans="1:4" x14ac:dyDescent="0.25">
      <c r="A4822" t="str">
        <f>T("   630510")</f>
        <v xml:space="preserve">   630510</v>
      </c>
      <c r="B4822" t="str">
        <f>T("   DE JUTE OU D'AUTRES FIBRES TEXTILES LIBERIENNES DU N° 53.03")</f>
        <v xml:space="preserve">   DE JUTE OU D'AUTRES FIBRES TEXTILES LIBERIENNES DU N° 53.03</v>
      </c>
      <c r="C4822" s="4">
        <v>314</v>
      </c>
      <c r="D4822" s="4">
        <v>90000</v>
      </c>
    </row>
    <row r="4823" spans="1:4" x14ac:dyDescent="0.25">
      <c r="A4823" t="str">
        <f>T("   630590")</f>
        <v xml:space="preserve">   630590</v>
      </c>
      <c r="B4823" t="str">
        <f>T("   D'AUTRES MATIERES TEXTILES")</f>
        <v xml:space="preserve">   D'AUTRES MATIERES TEXTILES</v>
      </c>
      <c r="C4823" s="4">
        <v>1625</v>
      </c>
      <c r="D4823" s="4">
        <v>3291383</v>
      </c>
    </row>
    <row r="4824" spans="1:4" x14ac:dyDescent="0.25">
      <c r="A4824" t="str">
        <f>T("   630639")</f>
        <v xml:space="preserve">   630639</v>
      </c>
      <c r="B4824" t="str">
        <f>T("   VOILES D'AUTRES MATIERES TEXTILES")</f>
        <v xml:space="preserve">   VOILES D'AUTRES MATIERES TEXTILES</v>
      </c>
      <c r="C4824" s="4">
        <v>42</v>
      </c>
      <c r="D4824" s="4">
        <v>768785</v>
      </c>
    </row>
    <row r="4825" spans="1:4" x14ac:dyDescent="0.25">
      <c r="A4825" t="str">
        <f>T("   630641")</f>
        <v xml:space="preserve">   630641</v>
      </c>
      <c r="B4825" t="str">
        <f>T("   MATELAS PNEUMATIQUES DE COTON")</f>
        <v xml:space="preserve">   MATELAS PNEUMATIQUES DE COTON</v>
      </c>
      <c r="C4825" s="4">
        <v>2000</v>
      </c>
      <c r="D4825" s="4">
        <v>262200</v>
      </c>
    </row>
    <row r="4826" spans="1:4" x14ac:dyDescent="0.25">
      <c r="A4826" t="str">
        <f>T("   630699")</f>
        <v xml:space="preserve">   630699</v>
      </c>
      <c r="B4826" t="str">
        <f>T("   AUTRES ARTICLES DU 63.06 D'AUTRES MATIERES TEXTILES")</f>
        <v xml:space="preserve">   AUTRES ARTICLES DU 63.06 D'AUTRES MATIERES TEXTILES</v>
      </c>
      <c r="C4826" s="4">
        <v>130</v>
      </c>
      <c r="D4826" s="4">
        <v>135800</v>
      </c>
    </row>
    <row r="4827" spans="1:4" x14ac:dyDescent="0.25">
      <c r="A4827" t="str">
        <f>T("   630710")</f>
        <v xml:space="preserve">   630710</v>
      </c>
      <c r="B4827" t="str">
        <f>T("   SERPILLIERES OU WASSINGUES, LAVETTES, CHAMOISETTES ET ARTICLES D'ENTRETIEN SIMILAIRES")</f>
        <v xml:space="preserve">   SERPILLIERES OU WASSINGUES, LAVETTES, CHAMOISETTES ET ARTICLES D'ENTRETIEN SIMILAIRES</v>
      </c>
      <c r="C4827" s="4">
        <v>3660</v>
      </c>
      <c r="D4827" s="4">
        <v>9655075</v>
      </c>
    </row>
    <row r="4828" spans="1:4" x14ac:dyDescent="0.25">
      <c r="A4828" t="str">
        <f>T("   630720")</f>
        <v xml:space="preserve">   630720</v>
      </c>
      <c r="B4828" t="str">
        <f>T("   CEINTURES ET GILETS DE SAUVETAGE")</f>
        <v xml:space="preserve">   CEINTURES ET GILETS DE SAUVETAGE</v>
      </c>
      <c r="C4828" s="4">
        <v>543</v>
      </c>
      <c r="D4828" s="4">
        <v>6026155</v>
      </c>
    </row>
    <row r="4829" spans="1:4" x14ac:dyDescent="0.25">
      <c r="A4829" t="str">
        <f>T("   630790")</f>
        <v xml:space="preserve">   630790</v>
      </c>
      <c r="B4829" t="str">
        <f>T("   AUTRES")</f>
        <v xml:space="preserve">   AUTRES</v>
      </c>
      <c r="C4829" s="4">
        <v>2628</v>
      </c>
      <c r="D4829" s="4">
        <v>17512526</v>
      </c>
    </row>
    <row r="4830" spans="1:4" x14ac:dyDescent="0.25">
      <c r="A4830" t="str">
        <f>T("   630800")</f>
        <v xml:space="preserve">   630800</v>
      </c>
      <c r="B4830" t="str">
        <f>T("   ASSORTIMENTS COMPOSES DE PIECES DE TISSUS ET DE FILS, MEME AVEC ACCESSOIRES, POUR LA CO")</f>
        <v xml:space="preserve">   ASSORTIMENTS COMPOSES DE PIECES DE TISSUS ET DE FILS, MEME AVEC ACCESSOIRES, POUR LA CO</v>
      </c>
      <c r="C4830" s="4">
        <v>342.15</v>
      </c>
      <c r="D4830" s="4">
        <v>1026286</v>
      </c>
    </row>
    <row r="4831" spans="1:4" x14ac:dyDescent="0.25">
      <c r="A4831" t="str">
        <f>T("   630900")</f>
        <v xml:space="preserve">   630900</v>
      </c>
      <c r="B4831" t="str">
        <f>T("   ARTICLES DE FRIPERIE.")</f>
        <v xml:space="preserve">   ARTICLES DE FRIPERIE.</v>
      </c>
      <c r="C4831" s="4">
        <v>324887.09999999998</v>
      </c>
      <c r="D4831" s="4">
        <v>142057592</v>
      </c>
    </row>
    <row r="4832" spans="1:4" x14ac:dyDescent="0.25">
      <c r="A4832" t="str">
        <f>T("   631090")</f>
        <v xml:space="preserve">   631090</v>
      </c>
      <c r="B4832" t="str">
        <f>T("   AUTRES")</f>
        <v xml:space="preserve">   AUTRES</v>
      </c>
      <c r="C4832" s="4">
        <v>3432</v>
      </c>
      <c r="D4832" s="4">
        <v>4674124</v>
      </c>
    </row>
    <row r="4833" spans="1:4" x14ac:dyDescent="0.25">
      <c r="A4833" t="str">
        <f>T("   640110")</f>
        <v xml:space="preserve">   640110</v>
      </c>
      <c r="B4833" t="str">
        <f>T("   CHAUSSURES COMPORTANT, A L'AVANT, UNE COQUILLE DE PROTECTION EN METAL")</f>
        <v xml:space="preserve">   CHAUSSURES COMPORTANT, A L'AVANT, UNE COQUILLE DE PROTECTION EN METAL</v>
      </c>
      <c r="C4833" s="4">
        <v>11991</v>
      </c>
      <c r="D4833" s="4">
        <v>69458032</v>
      </c>
    </row>
    <row r="4834" spans="1:4" x14ac:dyDescent="0.25">
      <c r="A4834" t="str">
        <f>T("   640192")</f>
        <v xml:space="preserve">   640192</v>
      </c>
      <c r="B4834" t="str">
        <f>T("   COUVRANT LA CHEVILLE MAIS NE COUVRANT PAS LE GENOU")</f>
        <v xml:space="preserve">   COUVRANT LA CHEVILLE MAIS NE COUVRANT PAS LE GENOU</v>
      </c>
      <c r="C4834" s="4">
        <v>198</v>
      </c>
      <c r="D4834" s="4">
        <v>626054</v>
      </c>
    </row>
    <row r="4835" spans="1:4" x14ac:dyDescent="0.25">
      <c r="A4835" t="str">
        <f>T("   640199")</f>
        <v xml:space="preserve">   640199</v>
      </c>
      <c r="B4835" t="str">
        <f>T("   AUTRES")</f>
        <v xml:space="preserve">   AUTRES</v>
      </c>
      <c r="C4835" s="4">
        <v>2613</v>
      </c>
      <c r="D4835" s="4">
        <v>6913392</v>
      </c>
    </row>
    <row r="4836" spans="1:4" x14ac:dyDescent="0.25">
      <c r="A4836" t="str">
        <f>T("   640219")</f>
        <v xml:space="preserve">   640219</v>
      </c>
      <c r="B4836" t="str">
        <f>T("   AUTRES")</f>
        <v xml:space="preserve">   AUTRES</v>
      </c>
      <c r="C4836" s="4">
        <v>551</v>
      </c>
      <c r="D4836" s="4">
        <v>1475700</v>
      </c>
    </row>
    <row r="4837" spans="1:4" x14ac:dyDescent="0.25">
      <c r="A4837" t="str">
        <f>T("   640299")</f>
        <v xml:space="preserve">   640299</v>
      </c>
      <c r="B4837" t="str">
        <f>T("   AUTRES")</f>
        <v xml:space="preserve">   AUTRES</v>
      </c>
      <c r="C4837" s="4">
        <v>11200</v>
      </c>
      <c r="D4837" s="4">
        <v>65275210</v>
      </c>
    </row>
    <row r="4838" spans="1:4" x14ac:dyDescent="0.25">
      <c r="A4838" t="str">
        <f>T("   640319")</f>
        <v xml:space="preserve">   640319</v>
      </c>
      <c r="B4838" t="str">
        <f>T("   AUTRES")</f>
        <v xml:space="preserve">   AUTRES</v>
      </c>
      <c r="C4838" s="4">
        <v>3854</v>
      </c>
      <c r="D4838" s="4">
        <v>4041952</v>
      </c>
    </row>
    <row r="4839" spans="1:4" x14ac:dyDescent="0.25">
      <c r="A4839" t="str">
        <f>T("   640320")</f>
        <v xml:space="preserve">   640320</v>
      </c>
      <c r="B4839" t="str">
        <f>T("   CHAUSSURES A SEMELLES EXTERIEURES EN CUIR NATUREL ET DESSUS CONSTITUES PAR DES LANIER")</f>
        <v xml:space="preserve">   CHAUSSURES A SEMELLES EXTERIEURES EN CUIR NATUREL ET DESSUS CONSTITUES PAR DES LANIER</v>
      </c>
      <c r="C4839" s="4">
        <v>829</v>
      </c>
      <c r="D4839" s="4">
        <v>1205250</v>
      </c>
    </row>
    <row r="4840" spans="1:4" x14ac:dyDescent="0.25">
      <c r="A4840" t="str">
        <f>T("   640340")</f>
        <v xml:space="preserve">   640340</v>
      </c>
      <c r="B4840" t="str">
        <f>T("   AUTRES CHAUSSURES, COMPORTANT, A L'AVANT, UNE COQUILLE DE PROTECTION EN METAL")</f>
        <v xml:space="preserve">   AUTRES CHAUSSURES, COMPORTANT, A L'AVANT, UNE COQUILLE DE PROTECTION EN METAL</v>
      </c>
      <c r="C4840" s="4">
        <v>4053</v>
      </c>
      <c r="D4840" s="4">
        <v>34400211</v>
      </c>
    </row>
    <row r="4841" spans="1:4" x14ac:dyDescent="0.25">
      <c r="A4841" t="str">
        <f>T("   640419")</f>
        <v xml:space="preserve">   640419</v>
      </c>
      <c r="B4841" t="str">
        <f>T("   AUTRES")</f>
        <v xml:space="preserve">   AUTRES</v>
      </c>
      <c r="C4841" s="4">
        <v>52</v>
      </c>
      <c r="D4841" s="4">
        <v>425062</v>
      </c>
    </row>
    <row r="4842" spans="1:4" x14ac:dyDescent="0.25">
      <c r="A4842" t="str">
        <f>T("   640520")</f>
        <v xml:space="preserve">   640520</v>
      </c>
      <c r="B4842" t="str">
        <f>T("   A DESSUS EN MATIERES TEXTILES")</f>
        <v xml:space="preserve">   A DESSUS EN MATIERES TEXTILES</v>
      </c>
      <c r="C4842" s="4">
        <v>76</v>
      </c>
      <c r="D4842" s="4">
        <v>401291</v>
      </c>
    </row>
    <row r="4843" spans="1:4" x14ac:dyDescent="0.25">
      <c r="A4843" t="str">
        <f>T("   640590")</f>
        <v xml:space="preserve">   640590</v>
      </c>
      <c r="B4843" t="str">
        <f>T("   AUTRES")</f>
        <v xml:space="preserve">   AUTRES</v>
      </c>
      <c r="C4843" s="4">
        <v>8045</v>
      </c>
      <c r="D4843" s="4">
        <v>29082782</v>
      </c>
    </row>
    <row r="4844" spans="1:4" x14ac:dyDescent="0.25">
      <c r="A4844" t="str">
        <f>T("   650100")</f>
        <v xml:space="preserve">   650100</v>
      </c>
      <c r="B4844" t="str">
        <f>T("   CLOCHES NON DRESSEES (MISES EN FORME) NI TOURNUREES (MISES EN TOURNURE), PLATEAUX (DISQ")</f>
        <v xml:space="preserve">   CLOCHES NON DRESSEES (MISES EN FORME) NI TOURNUREES (MISES EN TOURNURE), PLATEAUX (DISQ</v>
      </c>
      <c r="C4844" s="4">
        <v>26</v>
      </c>
      <c r="D4844" s="4">
        <v>115863</v>
      </c>
    </row>
    <row r="4845" spans="1:4" x14ac:dyDescent="0.25">
      <c r="A4845" t="str">
        <f>T("   650510")</f>
        <v xml:space="preserve">   650510</v>
      </c>
      <c r="B4845" t="str">
        <f>T("   RESILLES ET FILETS A CHEVEUX EN CHEVEUX")</f>
        <v xml:space="preserve">   RESILLES ET FILETS A CHEVEUX EN CHEVEUX</v>
      </c>
      <c r="C4845" s="4">
        <v>1</v>
      </c>
      <c r="D4845" s="4">
        <v>62493</v>
      </c>
    </row>
    <row r="4846" spans="1:4" x14ac:dyDescent="0.25">
      <c r="A4846" t="str">
        <f>T("   650590")</f>
        <v xml:space="preserve">   650590</v>
      </c>
      <c r="B4846" t="str">
        <f>T("   AUTRES COIFFURES EN MATIERES TEXTILES,EN PIECES(MAIS NON EN BANDES)")</f>
        <v xml:space="preserve">   AUTRES COIFFURES EN MATIERES TEXTILES,EN PIECES(MAIS NON EN BANDES)</v>
      </c>
      <c r="C4846" s="4">
        <v>654.25</v>
      </c>
      <c r="D4846" s="4">
        <v>10678773</v>
      </c>
    </row>
    <row r="4847" spans="1:4" x14ac:dyDescent="0.25">
      <c r="A4847" t="str">
        <f>T("   650610")</f>
        <v xml:space="preserve">   650610</v>
      </c>
      <c r="B4847" t="str">
        <f>T("   COIFFURES DE SECURITE")</f>
        <v xml:space="preserve">   COIFFURES DE SECURITE</v>
      </c>
      <c r="C4847" s="4">
        <v>10437</v>
      </c>
      <c r="D4847" s="4">
        <v>82752203</v>
      </c>
    </row>
    <row r="4848" spans="1:4" x14ac:dyDescent="0.25">
      <c r="A4848" t="str">
        <f>T("   650691")</f>
        <v xml:space="preserve">   650691</v>
      </c>
      <c r="B4848" t="str">
        <f>T("   EN CAOUTCHOUC OU EN MATIERE PLASTIQUE")</f>
        <v xml:space="preserve">   EN CAOUTCHOUC OU EN MATIERE PLASTIQUE</v>
      </c>
      <c r="C4848" s="4">
        <v>489.65</v>
      </c>
      <c r="D4848" s="4">
        <v>3643459</v>
      </c>
    </row>
    <row r="4849" spans="1:4" x14ac:dyDescent="0.25">
      <c r="A4849" t="str">
        <f>T("   650699")</f>
        <v xml:space="preserve">   650699</v>
      </c>
      <c r="B4849" t="str">
        <f>T("   EN AUTRES MATIERES")</f>
        <v xml:space="preserve">   EN AUTRES MATIERES</v>
      </c>
      <c r="C4849" s="4">
        <v>13045</v>
      </c>
      <c r="D4849" s="4">
        <v>9912101</v>
      </c>
    </row>
    <row r="4850" spans="1:4" x14ac:dyDescent="0.25">
      <c r="A4850" t="str">
        <f>T("   650700")</f>
        <v xml:space="preserve">   650700</v>
      </c>
      <c r="B4850" t="str">
        <f>T("   BANDES POUR GARNITURE INTERIEURE, COIFFES, COUVRECOIFFURES, CARCASSES, VISIERES ET JUG")</f>
        <v xml:space="preserve">   BANDES POUR GARNITURE INTERIEURE, COIFFES, COUVRECOIFFURES, CARCASSES, VISIERES ET JUG</v>
      </c>
      <c r="C4850" s="4">
        <v>130</v>
      </c>
      <c r="D4850" s="4">
        <v>150000</v>
      </c>
    </row>
    <row r="4851" spans="1:4" x14ac:dyDescent="0.25">
      <c r="A4851" t="str">
        <f>T("   660110")</f>
        <v xml:space="preserve">   660110</v>
      </c>
      <c r="B4851" t="str">
        <f>T("   PARASOLS DE JARDIN ET ARTICLES SIMILAIRES")</f>
        <v xml:space="preserve">   PARASOLS DE JARDIN ET ARTICLES SIMILAIRES</v>
      </c>
      <c r="C4851" s="4">
        <v>9</v>
      </c>
      <c r="D4851" s="4">
        <v>112983</v>
      </c>
    </row>
    <row r="4852" spans="1:4" x14ac:dyDescent="0.25">
      <c r="A4852" t="str">
        <f>T("   660199")</f>
        <v xml:space="preserve">   660199</v>
      </c>
      <c r="B4852" t="str">
        <f>T("   AUTRES")</f>
        <v xml:space="preserve">   AUTRES</v>
      </c>
      <c r="C4852" s="4">
        <v>6485</v>
      </c>
      <c r="D4852" s="4">
        <v>54971017</v>
      </c>
    </row>
    <row r="4853" spans="1:4" x14ac:dyDescent="0.25">
      <c r="A4853" t="str">
        <f>T("   660200")</f>
        <v xml:space="preserve">   660200</v>
      </c>
      <c r="B4853" t="str">
        <f>T("   CANNES, CANNESSIEGES, FOUETS, CRAVACHES ET ARTICLES SIMILAIRES.")</f>
        <v xml:space="preserve">   CANNES, CANNESSIEGES, FOUETS, CRAVACHES ET ARTICLES SIMILAIRES.</v>
      </c>
      <c r="C4853" s="4">
        <v>1703</v>
      </c>
      <c r="D4853" s="4">
        <v>527504</v>
      </c>
    </row>
    <row r="4854" spans="1:4" x14ac:dyDescent="0.25">
      <c r="A4854" t="str">
        <f>T("   660390")</f>
        <v xml:space="preserve">   660390</v>
      </c>
      <c r="B4854" t="str">
        <f>T("   AUTRES")</f>
        <v xml:space="preserve">   AUTRES</v>
      </c>
      <c r="C4854" s="4">
        <v>11</v>
      </c>
      <c r="D4854" s="4">
        <v>41325</v>
      </c>
    </row>
    <row r="4855" spans="1:4" x14ac:dyDescent="0.25">
      <c r="A4855" t="str">
        <f>T("   670210")</f>
        <v xml:space="preserve">   670210</v>
      </c>
      <c r="B4855" t="str">
        <f>T("   EN MATIERES PLASTIQUES")</f>
        <v xml:space="preserve">   EN MATIERES PLASTIQUES</v>
      </c>
      <c r="C4855" s="4">
        <v>569</v>
      </c>
      <c r="D4855" s="4">
        <v>3294232</v>
      </c>
    </row>
    <row r="4856" spans="1:4" x14ac:dyDescent="0.25">
      <c r="A4856" t="str">
        <f>T("   670290")</f>
        <v xml:space="preserve">   670290</v>
      </c>
      <c r="B4856" t="str">
        <f>T("   EN AUTRES MATIERES")</f>
        <v xml:space="preserve">   EN AUTRES MATIERES</v>
      </c>
      <c r="C4856" s="4">
        <v>4924</v>
      </c>
      <c r="D4856" s="4">
        <v>24904832</v>
      </c>
    </row>
    <row r="4857" spans="1:4" x14ac:dyDescent="0.25">
      <c r="A4857" t="str">
        <f>T("   680293")</f>
        <v xml:space="preserve">   680293</v>
      </c>
      <c r="B4857" t="str">
        <f>T("   GRANIT")</f>
        <v xml:space="preserve">   GRANIT</v>
      </c>
      <c r="C4857" s="4">
        <v>24300</v>
      </c>
      <c r="D4857" s="4">
        <v>4941230</v>
      </c>
    </row>
    <row r="4858" spans="1:4" x14ac:dyDescent="0.25">
      <c r="A4858" t="str">
        <f>T("   680410")</f>
        <v xml:space="preserve">   680410</v>
      </c>
      <c r="B4858" t="str">
        <f>T("   Meules a moudre ou a defibrer")</f>
        <v xml:space="preserve">   Meules a moudre ou a defibrer</v>
      </c>
      <c r="C4858" s="4">
        <v>171</v>
      </c>
      <c r="D4858" s="4">
        <v>1674010</v>
      </c>
    </row>
    <row r="4859" spans="1:4" x14ac:dyDescent="0.25">
      <c r="A4859" t="str">
        <f>T("   680421")</f>
        <v xml:space="preserve">   680421</v>
      </c>
      <c r="B4859" t="str">
        <f>T("   EN DIAMANT NATUREL OU SYNTHETIQUE, AGGLOMERE")</f>
        <v xml:space="preserve">   EN DIAMANT NATUREL OU SYNTHETIQUE, AGGLOMERE</v>
      </c>
      <c r="C4859" s="4">
        <v>533</v>
      </c>
      <c r="D4859" s="4">
        <v>1861313</v>
      </c>
    </row>
    <row r="4860" spans="1:4" x14ac:dyDescent="0.25">
      <c r="A4860" t="str">
        <f>T("   680422")</f>
        <v xml:space="preserve">   680422</v>
      </c>
      <c r="B4860" t="str">
        <f>T("   EN AUTRES ABRASIFS AGGLOMERES OU EN CERAMIQUE")</f>
        <v xml:space="preserve">   EN AUTRES ABRASIFS AGGLOMERES OU EN CERAMIQUE</v>
      </c>
      <c r="C4860" s="4">
        <v>3527</v>
      </c>
      <c r="D4860" s="4">
        <v>1605135</v>
      </c>
    </row>
    <row r="4861" spans="1:4" x14ac:dyDescent="0.25">
      <c r="A4861" t="str">
        <f>T("   680430")</f>
        <v xml:space="preserve">   680430</v>
      </c>
      <c r="B4861" t="str">
        <f>T("   Pierres a aiguiser ou a polir a la main")</f>
        <v xml:space="preserve">   Pierres a aiguiser ou a polir a la main</v>
      </c>
      <c r="C4861" s="4">
        <v>434.15</v>
      </c>
      <c r="D4861" s="4">
        <v>2749222</v>
      </c>
    </row>
    <row r="4862" spans="1:4" x14ac:dyDescent="0.25">
      <c r="A4862" t="str">
        <f>T("   680510")</f>
        <v xml:space="preserve">   680510</v>
      </c>
      <c r="B4862" t="str">
        <f>T("   APPLIQUES SUR TISSUS EN MATIERES TEXTILES SEULEMENT")</f>
        <v xml:space="preserve">   APPLIQUES SUR TISSUS EN MATIERES TEXTILES SEULEMENT</v>
      </c>
      <c r="C4862" s="4">
        <v>238</v>
      </c>
      <c r="D4862" s="4">
        <v>1502149</v>
      </c>
    </row>
    <row r="4863" spans="1:4" x14ac:dyDescent="0.25">
      <c r="A4863" t="str">
        <f>T("   680520")</f>
        <v xml:space="preserve">   680520</v>
      </c>
      <c r="B4863" t="str">
        <f>T("   APPLIQUES SUR PAPIER OU CARTON SEULEMENT")</f>
        <v xml:space="preserve">   APPLIQUES SUR PAPIER OU CARTON SEULEMENT</v>
      </c>
      <c r="C4863" s="4">
        <v>4112</v>
      </c>
      <c r="D4863" s="4">
        <v>2241115</v>
      </c>
    </row>
    <row r="4864" spans="1:4" x14ac:dyDescent="0.25">
      <c r="A4864" t="str">
        <f>T("   680530")</f>
        <v xml:space="preserve">   680530</v>
      </c>
      <c r="B4864" t="str">
        <f>T("   APPLIQUES SUR D'AUTRES MATIERES")</f>
        <v xml:space="preserve">   APPLIQUES SUR D'AUTRES MATIERES</v>
      </c>
      <c r="C4864" s="4">
        <v>3527</v>
      </c>
      <c r="D4864" s="4">
        <v>6296639</v>
      </c>
    </row>
    <row r="4865" spans="1:4" x14ac:dyDescent="0.25">
      <c r="A4865" t="str">
        <f>T("   680620")</f>
        <v xml:space="preserve">   680620</v>
      </c>
      <c r="B4865" t="str">
        <f>T("   VERMICULITE EXPANSEE, ARGILES EXPANSEES, MOUSSE DE SCORIES ET PRODUITS MINERAUX SIMIL")</f>
        <v xml:space="preserve">   VERMICULITE EXPANSEE, ARGILES EXPANSEES, MOUSSE DE SCORIES ET PRODUITS MINERAUX SIMIL</v>
      </c>
      <c r="C4865" s="4">
        <v>300</v>
      </c>
      <c r="D4865" s="4">
        <v>788464</v>
      </c>
    </row>
    <row r="4866" spans="1:4" x14ac:dyDescent="0.25">
      <c r="A4866" t="str">
        <f>T("   680710")</f>
        <v xml:space="preserve">   680710</v>
      </c>
      <c r="B4866" t="str">
        <f>T("   EN ROULEAUX")</f>
        <v xml:space="preserve">   EN ROULEAUX</v>
      </c>
      <c r="C4866" s="4">
        <v>203827.43</v>
      </c>
      <c r="D4866" s="4">
        <v>107090082</v>
      </c>
    </row>
    <row r="4867" spans="1:4" x14ac:dyDescent="0.25">
      <c r="A4867" t="str">
        <f>T("   680790")</f>
        <v xml:space="preserve">   680790</v>
      </c>
      <c r="B4867" t="str">
        <f>T("   AUTRES")</f>
        <v xml:space="preserve">   AUTRES</v>
      </c>
      <c r="C4867" s="4">
        <v>81356</v>
      </c>
      <c r="D4867" s="4">
        <v>33537505</v>
      </c>
    </row>
    <row r="4868" spans="1:4" x14ac:dyDescent="0.25">
      <c r="A4868" t="str">
        <f>T("   680990")</f>
        <v xml:space="preserve">   680990</v>
      </c>
      <c r="B4868" t="str">
        <f>T("   AUTRES OUVRAGES")</f>
        <v xml:space="preserve">   AUTRES OUVRAGES</v>
      </c>
      <c r="C4868" s="4">
        <v>137324</v>
      </c>
      <c r="D4868" s="4">
        <v>84827744</v>
      </c>
    </row>
    <row r="4869" spans="1:4" x14ac:dyDescent="0.25">
      <c r="A4869" t="str">
        <f>T("   681019")</f>
        <v xml:space="preserve">   681019</v>
      </c>
      <c r="B4869" t="str">
        <f>T("   AUTRES")</f>
        <v xml:space="preserve">   AUTRES</v>
      </c>
      <c r="C4869" s="4">
        <v>22000</v>
      </c>
      <c r="D4869" s="4">
        <v>2184599</v>
      </c>
    </row>
    <row r="4870" spans="1:4" x14ac:dyDescent="0.25">
      <c r="A4870" t="str">
        <f>T("   681183")</f>
        <v xml:space="preserve">   681183</v>
      </c>
      <c r="B4870" t="str">
        <f>T("   ---POUR CALISATION D'EAU")</f>
        <v xml:space="preserve">   ---POUR CALISATION D'EAU</v>
      </c>
      <c r="C4870" s="4">
        <v>84800</v>
      </c>
      <c r="D4870" s="4">
        <v>8738699</v>
      </c>
    </row>
    <row r="4871" spans="1:4" x14ac:dyDescent="0.25">
      <c r="A4871" t="str">
        <f>T("   681189")</f>
        <v xml:space="preserve">   681189</v>
      </c>
      <c r="B4871" t="str">
        <f>T("   AUTRES OUVRAGES")</f>
        <v xml:space="preserve">   AUTRES OUVRAGES</v>
      </c>
      <c r="C4871" s="4">
        <v>2550</v>
      </c>
      <c r="D4871" s="4">
        <v>10998114</v>
      </c>
    </row>
    <row r="4872" spans="1:4" x14ac:dyDescent="0.25">
      <c r="A4872" t="str">
        <f>T("   681291")</f>
        <v xml:space="preserve">   681291</v>
      </c>
      <c r="B4872" t="str">
        <f>T("   VETEMENTS, ACCESSOIRES DU VETEMENT, CHAUSSURES ET COIFFURES")</f>
        <v xml:space="preserve">   VETEMENTS, ACCESSOIRES DU VETEMENT, CHAUSSURES ET COIFFURES</v>
      </c>
      <c r="C4872" s="4">
        <v>100</v>
      </c>
      <c r="D4872" s="4">
        <v>167000</v>
      </c>
    </row>
    <row r="4873" spans="1:4" x14ac:dyDescent="0.25">
      <c r="A4873" t="str">
        <f>T("   681293")</f>
        <v xml:space="preserve">   681293</v>
      </c>
      <c r="B4873" t="str">
        <f>T("   FEUILLES EN AMIANTE ET ELASTOMERES COMPRIMES, POUR JOINTS, MEME PRESENTES EN ROULEAU")</f>
        <v xml:space="preserve">   FEUILLES EN AMIANTE ET ELASTOMERES COMPRIMES, POUR JOINTS, MEME PRESENTES EN ROULEAU</v>
      </c>
      <c r="C4873" s="4">
        <v>850</v>
      </c>
      <c r="D4873" s="4">
        <v>3870033</v>
      </c>
    </row>
    <row r="4874" spans="1:4" x14ac:dyDescent="0.25">
      <c r="A4874" t="str">
        <f>T("   681381")</f>
        <v xml:space="preserve">   681381</v>
      </c>
      <c r="B4874" t="str">
        <f>T("   GARNITURES DE FREINS")</f>
        <v xml:space="preserve">   GARNITURES DE FREINS</v>
      </c>
      <c r="C4874" s="4">
        <v>28</v>
      </c>
      <c r="D4874" s="4">
        <v>487726</v>
      </c>
    </row>
    <row r="4875" spans="1:4" x14ac:dyDescent="0.25">
      <c r="A4875" t="str">
        <f>T("   681389")</f>
        <v xml:space="preserve">   681389</v>
      </c>
      <c r="B4875" t="str">
        <f>T("   AUTRES")</f>
        <v xml:space="preserve">   AUTRES</v>
      </c>
      <c r="C4875" s="4">
        <v>200</v>
      </c>
      <c r="D4875" s="4">
        <v>1699782</v>
      </c>
    </row>
    <row r="4876" spans="1:4" x14ac:dyDescent="0.25">
      <c r="A4876" t="str">
        <f>T("   681490")</f>
        <v xml:space="preserve">   681490</v>
      </c>
      <c r="B4876" t="str">
        <f>T("   AUTRES")</f>
        <v xml:space="preserve">   AUTRES</v>
      </c>
      <c r="C4876" s="4">
        <v>213</v>
      </c>
      <c r="D4876" s="4">
        <v>2755058</v>
      </c>
    </row>
    <row r="4877" spans="1:4" x14ac:dyDescent="0.25">
      <c r="A4877" t="str">
        <f>T("   681510")</f>
        <v xml:space="preserve">   681510</v>
      </c>
      <c r="B4877" t="str">
        <f>T("   OUVRAGES EN GRAPHITE OU EN AUTRE CARBONE, POUR USAGES AUTRES QU'ELECTRIQUES")</f>
        <v xml:space="preserve">   OUVRAGES EN GRAPHITE OU EN AUTRE CARBONE, POUR USAGES AUTRES QU'ELECTRIQUES</v>
      </c>
      <c r="C4877" s="4">
        <v>4</v>
      </c>
      <c r="D4877" s="4">
        <v>98591</v>
      </c>
    </row>
    <row r="4878" spans="1:4" x14ac:dyDescent="0.25">
      <c r="A4878" t="str">
        <f>T("   681520")</f>
        <v xml:space="preserve">   681520</v>
      </c>
      <c r="B4878" t="str">
        <f>T("   Ouvrages en tourbe")</f>
        <v xml:space="preserve">   Ouvrages en tourbe</v>
      </c>
      <c r="C4878" s="4">
        <v>4</v>
      </c>
      <c r="D4878" s="4">
        <v>571814</v>
      </c>
    </row>
    <row r="4879" spans="1:4" x14ac:dyDescent="0.25">
      <c r="A4879" t="str">
        <f>T("   690290")</f>
        <v xml:space="preserve">   690290</v>
      </c>
      <c r="B4879" t="str">
        <f>T("   AUTRES")</f>
        <v xml:space="preserve">   AUTRES</v>
      </c>
      <c r="C4879" s="4">
        <v>19</v>
      </c>
      <c r="D4879" s="4">
        <v>32798</v>
      </c>
    </row>
    <row r="4880" spans="1:4" x14ac:dyDescent="0.25">
      <c r="A4880" t="str">
        <f>T("   690790")</f>
        <v xml:space="preserve">   690790</v>
      </c>
      <c r="B4880" t="str">
        <f>T("   AUTRES")</f>
        <v xml:space="preserve">   AUTRES</v>
      </c>
      <c r="C4880" s="4">
        <v>130422</v>
      </c>
      <c r="D4880" s="4">
        <v>29490077</v>
      </c>
    </row>
    <row r="4881" spans="1:4" x14ac:dyDescent="0.25">
      <c r="A4881" t="str">
        <f>T("   690890")</f>
        <v xml:space="preserve">   690890</v>
      </c>
      <c r="B4881" t="str">
        <f>T("   AUTRES")</f>
        <v xml:space="preserve">   AUTRES</v>
      </c>
      <c r="C4881" s="4">
        <v>1281306</v>
      </c>
      <c r="D4881" s="4">
        <v>206127155</v>
      </c>
    </row>
    <row r="4882" spans="1:4" x14ac:dyDescent="0.25">
      <c r="A4882" t="str">
        <f>T("   690919")</f>
        <v xml:space="preserve">   690919</v>
      </c>
      <c r="B4882" t="str">
        <f>T("   AUTRES")</f>
        <v xml:space="preserve">   AUTRES</v>
      </c>
      <c r="C4882" s="4">
        <v>26374</v>
      </c>
      <c r="D4882" s="4">
        <v>10953712</v>
      </c>
    </row>
    <row r="4883" spans="1:4" x14ac:dyDescent="0.25">
      <c r="A4883" t="str">
        <f>T("   690990")</f>
        <v xml:space="preserve">   690990</v>
      </c>
      <c r="B4883" t="str">
        <f>T("   AUTRES")</f>
        <v xml:space="preserve">   AUTRES</v>
      </c>
      <c r="C4883" s="4">
        <v>140</v>
      </c>
      <c r="D4883" s="4">
        <v>180389</v>
      </c>
    </row>
    <row r="4884" spans="1:4" x14ac:dyDescent="0.25">
      <c r="A4884" t="str">
        <f>T("   691010")</f>
        <v xml:space="preserve">   691010</v>
      </c>
      <c r="B4884" t="str">
        <f>T("   EN PORCELAINE")</f>
        <v xml:space="preserve">   EN PORCELAINE</v>
      </c>
      <c r="C4884" s="4">
        <v>1075</v>
      </c>
      <c r="D4884" s="4">
        <v>3010856</v>
      </c>
    </row>
    <row r="4885" spans="1:4" x14ac:dyDescent="0.25">
      <c r="A4885" t="str">
        <f>T("   691090")</f>
        <v xml:space="preserve">   691090</v>
      </c>
      <c r="B4885" t="str">
        <f>T("   AUTRES")</f>
        <v xml:space="preserve">   AUTRES</v>
      </c>
      <c r="C4885" s="4">
        <v>40942</v>
      </c>
      <c r="D4885" s="4">
        <v>73159121</v>
      </c>
    </row>
    <row r="4886" spans="1:4" x14ac:dyDescent="0.25">
      <c r="A4886" t="str">
        <f>T("   691110")</f>
        <v xml:space="preserve">   691110</v>
      </c>
      <c r="B4886" t="str">
        <f>T("   ARTICLES POUR LE SERVICE DE LA TABLE OU DE LA CUISINE")</f>
        <v xml:space="preserve">   ARTICLES POUR LE SERVICE DE LA TABLE OU DE LA CUISINE</v>
      </c>
      <c r="C4886" s="4">
        <v>12900</v>
      </c>
      <c r="D4886" s="4">
        <v>48524602</v>
      </c>
    </row>
    <row r="4887" spans="1:4" x14ac:dyDescent="0.25">
      <c r="A4887" t="str">
        <f>T("   691190")</f>
        <v xml:space="preserve">   691190</v>
      </c>
      <c r="B4887" t="str">
        <f>T("   AUTRES")</f>
        <v xml:space="preserve">   AUTRES</v>
      </c>
      <c r="C4887" s="4">
        <v>894</v>
      </c>
      <c r="D4887" s="4">
        <v>4655079</v>
      </c>
    </row>
    <row r="4888" spans="1:4" x14ac:dyDescent="0.25">
      <c r="A4888" t="str">
        <f>T("   691200")</f>
        <v xml:space="preserve">   691200</v>
      </c>
      <c r="B4888" t="str">
        <f>T("   VAISSELLE, AUTRES ARTICLES DE MENAGE OU D'ECONOMIE DOMESTIQUE ET ARTICLES D'HYGIENE OU")</f>
        <v xml:space="preserve">   VAISSELLE, AUTRES ARTICLES DE MENAGE OU D'ECONOMIE DOMESTIQUE ET ARTICLES D'HYGIENE OU</v>
      </c>
      <c r="C4888" s="4">
        <v>3092</v>
      </c>
      <c r="D4888" s="4">
        <v>8659314</v>
      </c>
    </row>
    <row r="4889" spans="1:4" x14ac:dyDescent="0.25">
      <c r="A4889" t="str">
        <f>T("   691310")</f>
        <v xml:space="preserve">   691310</v>
      </c>
      <c r="B4889" t="str">
        <f>T("   EN PORCELAINE")</f>
        <v xml:space="preserve">   EN PORCELAINE</v>
      </c>
      <c r="C4889" s="4">
        <v>8</v>
      </c>
      <c r="D4889" s="4">
        <v>58669</v>
      </c>
    </row>
    <row r="4890" spans="1:4" x14ac:dyDescent="0.25">
      <c r="A4890" t="str">
        <f>T("   691390")</f>
        <v xml:space="preserve">   691390</v>
      </c>
      <c r="B4890" t="str">
        <f>T("   AUTRES")</f>
        <v xml:space="preserve">   AUTRES</v>
      </c>
      <c r="C4890" s="4">
        <v>48</v>
      </c>
      <c r="D4890" s="4">
        <v>213187</v>
      </c>
    </row>
    <row r="4891" spans="1:4" x14ac:dyDescent="0.25">
      <c r="A4891" t="str">
        <f>T("   691410")</f>
        <v xml:space="preserve">   691410</v>
      </c>
      <c r="B4891" t="str">
        <f>T("   EN PORCELAINE")</f>
        <v xml:space="preserve">   EN PORCELAINE</v>
      </c>
      <c r="C4891" s="4">
        <v>21</v>
      </c>
      <c r="D4891" s="4">
        <v>90863</v>
      </c>
    </row>
    <row r="4892" spans="1:4" x14ac:dyDescent="0.25">
      <c r="A4892" t="str">
        <f>T("   700319")</f>
        <v xml:space="preserve">   700319</v>
      </c>
      <c r="B4892" t="str">
        <f>T("   AUTRES")</f>
        <v xml:space="preserve">   AUTRES</v>
      </c>
      <c r="C4892" s="4">
        <v>92076</v>
      </c>
      <c r="D4892" s="4">
        <v>13107592</v>
      </c>
    </row>
    <row r="4893" spans="1:4" x14ac:dyDescent="0.25">
      <c r="A4893" t="str">
        <f>T("   700490")</f>
        <v xml:space="preserve">   700490</v>
      </c>
      <c r="B4893" t="str">
        <f>T("   AUTRE VERRE")</f>
        <v xml:space="preserve">   AUTRE VERRE</v>
      </c>
      <c r="C4893" s="4">
        <v>21437</v>
      </c>
      <c r="D4893" s="4">
        <v>4540407</v>
      </c>
    </row>
    <row r="4894" spans="1:4" x14ac:dyDescent="0.25">
      <c r="A4894" t="str">
        <f>T("   700510")</f>
        <v xml:space="preserve">   700510</v>
      </c>
      <c r="B4894" t="str">
        <f>T("   GLACE NON ARMEE, A COUCHE ABSORBANTE, REFLECHISSANTE OU NON REFLECHISSANTE")</f>
        <v xml:space="preserve">   GLACE NON ARMEE, A COUCHE ABSORBANTE, REFLECHISSANTE OU NON REFLECHISSANTE</v>
      </c>
      <c r="C4894" s="4">
        <v>21000</v>
      </c>
      <c r="D4894" s="4">
        <v>6116827</v>
      </c>
    </row>
    <row r="4895" spans="1:4" x14ac:dyDescent="0.25">
      <c r="A4895" t="str">
        <f>T("   700529")</f>
        <v xml:space="preserve">   700529</v>
      </c>
      <c r="B4895" t="str">
        <f>T("   AUTRE")</f>
        <v xml:space="preserve">   AUTRE</v>
      </c>
      <c r="C4895" s="4">
        <v>26000</v>
      </c>
      <c r="D4895" s="4">
        <v>3900000</v>
      </c>
    </row>
    <row r="4896" spans="1:4" x14ac:dyDescent="0.25">
      <c r="A4896" t="str">
        <f>T("   700711")</f>
        <v xml:space="preserve">   700711</v>
      </c>
      <c r="B4896" t="str">
        <f>T("   DE DIMENSIONS ET FORMATS PERMETTANT LEUR EMPLOI DANS LES AUTOMOBILES, VEHICULES AERI")</f>
        <v xml:space="preserve">   DE DIMENSIONS ET FORMATS PERMETTANT LEUR EMPLOI DANS LES AUTOMOBILES, VEHICULES AERI</v>
      </c>
      <c r="C4896" s="4">
        <v>502</v>
      </c>
      <c r="D4896" s="4">
        <v>8175925</v>
      </c>
    </row>
    <row r="4897" spans="1:4" x14ac:dyDescent="0.25">
      <c r="A4897" t="str">
        <f>T("   700719")</f>
        <v xml:space="preserve">   700719</v>
      </c>
      <c r="B4897" t="str">
        <f>T("   AUTRES")</f>
        <v xml:space="preserve">   AUTRES</v>
      </c>
      <c r="C4897" s="4">
        <v>37</v>
      </c>
      <c r="D4897" s="4">
        <v>717476</v>
      </c>
    </row>
    <row r="4898" spans="1:4" x14ac:dyDescent="0.25">
      <c r="A4898" t="str">
        <f>T("   700721")</f>
        <v xml:space="preserve">   700721</v>
      </c>
      <c r="B4898" t="str">
        <f>T("   DE DIMENSIONS ET FORMATS PERMETTANT LEUR EMPLOI DANS LES AUTOMOBILES, VEHICULES AERI")</f>
        <v xml:space="preserve">   DE DIMENSIONS ET FORMATS PERMETTANT LEUR EMPLOI DANS LES AUTOMOBILES, VEHICULES AERI</v>
      </c>
      <c r="C4898" s="4">
        <v>514</v>
      </c>
      <c r="D4898" s="4">
        <v>3493814</v>
      </c>
    </row>
    <row r="4899" spans="1:4" x14ac:dyDescent="0.25">
      <c r="A4899" t="str">
        <f>T("   700729")</f>
        <v xml:space="preserve">   700729</v>
      </c>
      <c r="B4899" t="str">
        <f>T("   AUTRES")</f>
        <v xml:space="preserve">   AUTRES</v>
      </c>
      <c r="C4899" s="4">
        <v>52078</v>
      </c>
      <c r="D4899" s="4">
        <v>13581810</v>
      </c>
    </row>
    <row r="4900" spans="1:4" x14ac:dyDescent="0.25">
      <c r="A4900" t="str">
        <f>T("   700800")</f>
        <v xml:space="preserve">   700800</v>
      </c>
      <c r="B4900" t="str">
        <f>T("   VITRAGES ISOLANTS A PAROIS MULTIPLES.")</f>
        <v xml:space="preserve">   VITRAGES ISOLANTS A PAROIS MULTIPLES.</v>
      </c>
      <c r="C4900" s="4">
        <v>909</v>
      </c>
      <c r="D4900" s="4">
        <v>1662610</v>
      </c>
    </row>
    <row r="4901" spans="1:4" x14ac:dyDescent="0.25">
      <c r="A4901" t="str">
        <f>T("   700910")</f>
        <v xml:space="preserve">   700910</v>
      </c>
      <c r="B4901" t="str">
        <f>T("   Miroirs retroviseurs pour vehicules")</f>
        <v xml:space="preserve">   Miroirs retroviseurs pour vehicules</v>
      </c>
      <c r="C4901" s="4">
        <v>224</v>
      </c>
      <c r="D4901" s="4">
        <v>2238949</v>
      </c>
    </row>
    <row r="4902" spans="1:4" x14ac:dyDescent="0.25">
      <c r="A4902" t="str">
        <f>T("   700991")</f>
        <v xml:space="preserve">   700991</v>
      </c>
      <c r="B4902" t="str">
        <f>T("   NON ENCADRES")</f>
        <v xml:space="preserve">   NON ENCADRES</v>
      </c>
      <c r="C4902" s="4">
        <v>101</v>
      </c>
      <c r="D4902" s="4">
        <v>250577</v>
      </c>
    </row>
    <row r="4903" spans="1:4" x14ac:dyDescent="0.25">
      <c r="A4903" t="str">
        <f>T("   700992")</f>
        <v xml:space="preserve">   700992</v>
      </c>
      <c r="B4903" t="str">
        <f>T("   ENCADRES")</f>
        <v xml:space="preserve">   ENCADRES</v>
      </c>
      <c r="C4903" s="4">
        <v>1722.81</v>
      </c>
      <c r="D4903" s="4">
        <v>1189505</v>
      </c>
    </row>
    <row r="4904" spans="1:4" x14ac:dyDescent="0.25">
      <c r="A4904" t="str">
        <f>T("   701090")</f>
        <v xml:space="preserve">   701090</v>
      </c>
      <c r="B4904" t="str">
        <f>T("   AUTRES")</f>
        <v xml:space="preserve">   AUTRES</v>
      </c>
      <c r="C4904" s="4">
        <v>572275</v>
      </c>
      <c r="D4904" s="4">
        <v>217851095</v>
      </c>
    </row>
    <row r="4905" spans="1:4" x14ac:dyDescent="0.25">
      <c r="A4905" t="str">
        <f>T("   701110")</f>
        <v xml:space="preserve">   701110</v>
      </c>
      <c r="B4905" t="str">
        <f>T("   POUR L'ECLAIRAGE ELECTRIQUE")</f>
        <v xml:space="preserve">   POUR L'ECLAIRAGE ELECTRIQUE</v>
      </c>
      <c r="C4905" s="4">
        <v>43</v>
      </c>
      <c r="D4905" s="4">
        <v>757634</v>
      </c>
    </row>
    <row r="4906" spans="1:4" x14ac:dyDescent="0.25">
      <c r="A4906" t="str">
        <f>T("   701190")</f>
        <v xml:space="preserve">   701190</v>
      </c>
      <c r="B4906" t="str">
        <f>T("   AUTRES")</f>
        <v xml:space="preserve">   AUTRES</v>
      </c>
      <c r="C4906" s="4">
        <v>209</v>
      </c>
      <c r="D4906" s="4">
        <v>2872847</v>
      </c>
    </row>
    <row r="4907" spans="1:4" x14ac:dyDescent="0.25">
      <c r="A4907" t="str">
        <f>T("   701310")</f>
        <v xml:space="preserve">   701310</v>
      </c>
      <c r="B4907" t="str">
        <f>T("   OBJETS EN VITROCERAME")</f>
        <v xml:space="preserve">   OBJETS EN VITROCERAME</v>
      </c>
      <c r="C4907" s="4">
        <v>75</v>
      </c>
      <c r="D4907" s="4">
        <v>359861</v>
      </c>
    </row>
    <row r="4908" spans="1:4" x14ac:dyDescent="0.25">
      <c r="A4908" t="str">
        <f>T("   701328")</f>
        <v xml:space="preserve">   701328</v>
      </c>
      <c r="B4908" t="str">
        <f>T("   AUTRES")</f>
        <v xml:space="preserve">   AUTRES</v>
      </c>
      <c r="C4908" s="4">
        <v>683</v>
      </c>
      <c r="D4908" s="4">
        <v>3808334</v>
      </c>
    </row>
    <row r="4909" spans="1:4" x14ac:dyDescent="0.25">
      <c r="A4909" t="str">
        <f>T("   701337")</f>
        <v xml:space="preserve">   701337</v>
      </c>
      <c r="B4909" t="str">
        <f>T("   AUTRES")</f>
        <v xml:space="preserve">   AUTRES</v>
      </c>
      <c r="C4909" s="4">
        <v>10919</v>
      </c>
      <c r="D4909" s="4">
        <v>33793142</v>
      </c>
    </row>
    <row r="4910" spans="1:4" x14ac:dyDescent="0.25">
      <c r="A4910" t="str">
        <f>T("   701349")</f>
        <v xml:space="preserve">   701349</v>
      </c>
      <c r="B4910" t="str">
        <f>T("   AUTRES")</f>
        <v xml:space="preserve">   AUTRES</v>
      </c>
      <c r="C4910" s="4">
        <v>34921</v>
      </c>
      <c r="D4910" s="4">
        <v>20658081</v>
      </c>
    </row>
    <row r="4911" spans="1:4" x14ac:dyDescent="0.25">
      <c r="A4911" t="str">
        <f>T("   701399")</f>
        <v xml:space="preserve">   701399</v>
      </c>
      <c r="B4911" t="str">
        <f>T("   AUTRES")</f>
        <v xml:space="preserve">   AUTRES</v>
      </c>
      <c r="C4911" s="4">
        <v>51792</v>
      </c>
      <c r="D4911" s="4">
        <v>36496543</v>
      </c>
    </row>
    <row r="4912" spans="1:4" x14ac:dyDescent="0.25">
      <c r="A4912" t="str">
        <f>T("   701400")</f>
        <v xml:space="preserve">   701400</v>
      </c>
      <c r="B4912" t="str">
        <f>T("   VERRERIE DE SIGNALISATION ET ELEMENTS D'OPTIQUE EN VERRE (AUTRES QUE CEUX DU N° 70.15),")</f>
        <v xml:space="preserve">   VERRERIE DE SIGNALISATION ET ELEMENTS D'OPTIQUE EN VERRE (AUTRES QUE CEUX DU N° 70.15),</v>
      </c>
      <c r="C4912" s="4">
        <v>2</v>
      </c>
      <c r="D4912" s="4">
        <v>33264</v>
      </c>
    </row>
    <row r="4913" spans="1:4" x14ac:dyDescent="0.25">
      <c r="A4913" t="str">
        <f>T("   701690")</f>
        <v xml:space="preserve">   701690</v>
      </c>
      <c r="B4913" t="str">
        <f>T("   AUTRES")</f>
        <v xml:space="preserve">   AUTRES</v>
      </c>
      <c r="C4913" s="4">
        <v>21400</v>
      </c>
      <c r="D4913" s="4">
        <v>5409888</v>
      </c>
    </row>
    <row r="4914" spans="1:4" x14ac:dyDescent="0.25">
      <c r="A4914" t="str">
        <f>T("   701720")</f>
        <v xml:space="preserve">   701720</v>
      </c>
      <c r="B4914" t="str">
        <f>T("   EN AUTRE VERRE D'UN COEFFICIENT DE DILATATION LINEAIRE N'EXCEDANT PAS 5 X 106 PAR KE")</f>
        <v xml:space="preserve">   EN AUTRE VERRE D'UN COEFFICIENT DE DILATATION LINEAIRE N'EXCEDANT PAS 5 X 106 PAR KE</v>
      </c>
      <c r="C4914" s="4">
        <v>79</v>
      </c>
      <c r="D4914" s="4">
        <v>935692</v>
      </c>
    </row>
    <row r="4915" spans="1:4" x14ac:dyDescent="0.25">
      <c r="A4915" t="str">
        <f>T("   701790")</f>
        <v xml:space="preserve">   701790</v>
      </c>
      <c r="B4915" t="str">
        <f>T("   AUTRE")</f>
        <v xml:space="preserve">   AUTRE</v>
      </c>
      <c r="C4915" s="4">
        <v>591</v>
      </c>
      <c r="D4915" s="4">
        <v>6635545</v>
      </c>
    </row>
    <row r="4916" spans="1:4" x14ac:dyDescent="0.25">
      <c r="A4916" t="str">
        <f>T("   701820")</f>
        <v xml:space="preserve">   701820</v>
      </c>
      <c r="B4916" t="str">
        <f>T("   MICROSPHERES DE VERRE D'UN DIAMETRE N'EXCEDANT PAS 1 MM")</f>
        <v xml:space="preserve">   MICROSPHERES DE VERRE D'UN DIAMETRE N'EXCEDANT PAS 1 MM</v>
      </c>
      <c r="C4916" s="4">
        <v>10000</v>
      </c>
      <c r="D4916" s="4">
        <v>4817370</v>
      </c>
    </row>
    <row r="4917" spans="1:4" x14ac:dyDescent="0.25">
      <c r="A4917" t="str">
        <f>T("   701919")</f>
        <v xml:space="preserve">   701919</v>
      </c>
      <c r="B4917" t="str">
        <f>T("   AUTRES")</f>
        <v xml:space="preserve">   AUTRES</v>
      </c>
      <c r="C4917" s="4">
        <v>628</v>
      </c>
      <c r="D4917" s="4">
        <v>264424</v>
      </c>
    </row>
    <row r="4918" spans="1:4" x14ac:dyDescent="0.25">
      <c r="A4918" t="str">
        <f>T("   701990")</f>
        <v xml:space="preserve">   701990</v>
      </c>
      <c r="B4918" t="str">
        <f>T("   AUTRES")</f>
        <v xml:space="preserve">   AUTRES</v>
      </c>
      <c r="C4918" s="4">
        <v>1946.85</v>
      </c>
      <c r="D4918" s="4">
        <v>17019602</v>
      </c>
    </row>
    <row r="4919" spans="1:4" x14ac:dyDescent="0.25">
      <c r="A4919" t="str">
        <f>T("   702000")</f>
        <v xml:space="preserve">   702000</v>
      </c>
      <c r="B4919" t="str">
        <f>T("   AUTRES OUVRAGES EN VERRE.")</f>
        <v xml:space="preserve">   AUTRES OUVRAGES EN VERRE.</v>
      </c>
      <c r="C4919" s="4">
        <v>92</v>
      </c>
      <c r="D4919" s="4">
        <v>830446</v>
      </c>
    </row>
    <row r="4920" spans="1:4" x14ac:dyDescent="0.25">
      <c r="A4920" t="str">
        <f>T("   711419")</f>
        <v xml:space="preserve">   711419</v>
      </c>
      <c r="B4920" t="str">
        <f>T("   EN AUTRES METAUX PRECIEUX, MEME REVETUS, PLAQUES OU DOUBLES DE METAUX PRECIEUX")</f>
        <v xml:space="preserve">   EN AUTRES METAUX PRECIEUX, MEME REVETUS, PLAQUES OU DOUBLES DE METAUX PRECIEUX</v>
      </c>
      <c r="C4920" s="4">
        <v>60</v>
      </c>
      <c r="D4920" s="4">
        <v>1610303</v>
      </c>
    </row>
    <row r="4921" spans="1:4" x14ac:dyDescent="0.25">
      <c r="A4921" t="str">
        <f>T("   711719")</f>
        <v xml:space="preserve">   711719</v>
      </c>
      <c r="B4921" t="str">
        <f>T("   AUTRES")</f>
        <v xml:space="preserve">   AUTRES</v>
      </c>
      <c r="C4921" s="4">
        <v>26</v>
      </c>
      <c r="D4921" s="4">
        <v>37500</v>
      </c>
    </row>
    <row r="4922" spans="1:4" x14ac:dyDescent="0.25">
      <c r="A4922" t="str">
        <f>T("   711790")</f>
        <v xml:space="preserve">   711790</v>
      </c>
      <c r="B4922" t="str">
        <f>T("   AUTRES")</f>
        <v xml:space="preserve">   AUTRES</v>
      </c>
      <c r="C4922" s="4">
        <v>6586</v>
      </c>
      <c r="D4922" s="4">
        <v>21130548</v>
      </c>
    </row>
    <row r="4923" spans="1:4" x14ac:dyDescent="0.25">
      <c r="A4923" t="str">
        <f>T("   720410")</f>
        <v xml:space="preserve">   720410</v>
      </c>
      <c r="B4923" t="str">
        <f>T("   Dechets et debris de fonte")</f>
        <v xml:space="preserve">   Dechets et debris de fonte</v>
      </c>
      <c r="C4923" s="4">
        <v>170704</v>
      </c>
      <c r="D4923" s="4">
        <v>6896733</v>
      </c>
    </row>
    <row r="4924" spans="1:4" x14ac:dyDescent="0.25">
      <c r="A4924" t="str">
        <f>T("   720430")</f>
        <v xml:space="preserve">   720430</v>
      </c>
      <c r="B4924" t="str">
        <f>T("   Dechets et debris de fer ou d'acier etames")</f>
        <v xml:space="preserve">   Dechets et debris de fer ou d'acier etames</v>
      </c>
      <c r="C4924" s="4">
        <v>17540</v>
      </c>
      <c r="D4924" s="4">
        <v>757330</v>
      </c>
    </row>
    <row r="4925" spans="1:4" x14ac:dyDescent="0.25">
      <c r="A4925" t="str">
        <f>T("   720852")</f>
        <v xml:space="preserve">   720852</v>
      </c>
      <c r="B4925" t="str">
        <f>T("   D'UNE EPAISSEUR DE 4,75 MM OU PLUS MAIS N'EXCEDANT PAS 10 MM")</f>
        <v xml:space="preserve">   D'UNE EPAISSEUR DE 4,75 MM OU PLUS MAIS N'EXCEDANT PAS 10 MM</v>
      </c>
      <c r="C4925" s="4">
        <v>28800</v>
      </c>
      <c r="D4925" s="4">
        <v>23946476</v>
      </c>
    </row>
    <row r="4926" spans="1:4" x14ac:dyDescent="0.25">
      <c r="A4926" t="str">
        <f>T("   720890")</f>
        <v xml:space="preserve">   720890</v>
      </c>
      <c r="B4926" t="str">
        <f>T("   AUTRES")</f>
        <v xml:space="preserve">   AUTRES</v>
      </c>
      <c r="C4926" s="4">
        <v>48</v>
      </c>
      <c r="D4926" s="4">
        <v>698925</v>
      </c>
    </row>
    <row r="4927" spans="1:4" x14ac:dyDescent="0.25">
      <c r="A4927" t="str">
        <f>T("   720927")</f>
        <v xml:space="preserve">   720927</v>
      </c>
      <c r="B4927" t="str">
        <f>T("   D'UNE EPAISSEUR DE 0,5 MM OU PLUS MAIS N'EXCEDANT PAS 1 MM")</f>
        <v xml:space="preserve">   D'UNE EPAISSEUR DE 0,5 MM OU PLUS MAIS N'EXCEDANT PAS 1 MM</v>
      </c>
      <c r="C4927" s="4">
        <v>320</v>
      </c>
      <c r="D4927" s="4">
        <v>200000</v>
      </c>
    </row>
    <row r="4928" spans="1:4" x14ac:dyDescent="0.25">
      <c r="A4928" t="str">
        <f>T("   721030")</f>
        <v xml:space="preserve">   721030</v>
      </c>
      <c r="B4928" t="str">
        <f>T("   ZINGUES ELECTROLYTIQUEMENT")</f>
        <v xml:space="preserve">   ZINGUES ELECTROLYTIQUEMENT</v>
      </c>
      <c r="C4928" s="4">
        <v>9324</v>
      </c>
      <c r="D4928" s="4">
        <v>4321917</v>
      </c>
    </row>
    <row r="4929" spans="1:4" x14ac:dyDescent="0.25">
      <c r="A4929" t="str">
        <f>T("   721090")</f>
        <v xml:space="preserve">   721090</v>
      </c>
      <c r="B4929" t="str">
        <f>T("   AUTRES")</f>
        <v xml:space="preserve">   AUTRES</v>
      </c>
      <c r="C4929" s="4">
        <v>2000</v>
      </c>
      <c r="D4929" s="4">
        <v>643000</v>
      </c>
    </row>
    <row r="4930" spans="1:4" x14ac:dyDescent="0.25">
      <c r="A4930" t="str">
        <f>T("   721399")</f>
        <v xml:space="preserve">   721399</v>
      </c>
      <c r="B4930" t="str">
        <f>T("   AUTRES")</f>
        <v xml:space="preserve">   AUTRES</v>
      </c>
      <c r="C4930" s="4">
        <v>1076420</v>
      </c>
      <c r="D4930" s="4">
        <v>382731131</v>
      </c>
    </row>
    <row r="4931" spans="1:4" x14ac:dyDescent="0.25">
      <c r="A4931" t="str">
        <f>T("   721650")</f>
        <v xml:space="preserve">   721650</v>
      </c>
      <c r="B4931" t="str">
        <f>T("   AUTRES PROFILES, SIMPLEMENT LAMINES OU FILES A CHAUD")</f>
        <v xml:space="preserve">   AUTRES PROFILES, SIMPLEMENT LAMINES OU FILES A CHAUD</v>
      </c>
      <c r="C4931" s="4">
        <v>24243</v>
      </c>
      <c r="D4931" s="4">
        <v>9175314</v>
      </c>
    </row>
    <row r="4932" spans="1:4" x14ac:dyDescent="0.25">
      <c r="A4932" t="str">
        <f>T("   721730")</f>
        <v xml:space="preserve">   721730</v>
      </c>
      <c r="B4932" t="str">
        <f>T("   REVETUS D'AUTRES METAUX COMMUNS")</f>
        <v xml:space="preserve">   REVETUS D'AUTRES METAUX COMMUNS</v>
      </c>
      <c r="C4932" s="4">
        <v>39</v>
      </c>
      <c r="D4932" s="4">
        <v>362746</v>
      </c>
    </row>
    <row r="4933" spans="1:4" x14ac:dyDescent="0.25">
      <c r="A4933" t="str">
        <f>T("   721790")</f>
        <v xml:space="preserve">   721790</v>
      </c>
      <c r="B4933" t="str">
        <f>T("   AUTRES")</f>
        <v xml:space="preserve">   AUTRES</v>
      </c>
      <c r="C4933" s="4">
        <v>2584</v>
      </c>
      <c r="D4933" s="4">
        <v>1822914</v>
      </c>
    </row>
    <row r="4934" spans="1:4" x14ac:dyDescent="0.25">
      <c r="A4934" t="str">
        <f>T("   721921")</f>
        <v xml:space="preserve">   721921</v>
      </c>
      <c r="B4934" t="str">
        <f>T("   D'UNE EPAISSEUR EXCEDANT 10 MM")</f>
        <v xml:space="preserve">   D'UNE EPAISSEUR EXCEDANT 10 MM</v>
      </c>
      <c r="C4934" s="4">
        <v>6431</v>
      </c>
      <c r="D4934" s="4">
        <v>21573213</v>
      </c>
    </row>
    <row r="4935" spans="1:4" x14ac:dyDescent="0.25">
      <c r="A4935" t="str">
        <f>T("   721923")</f>
        <v xml:space="preserve">   721923</v>
      </c>
      <c r="B4935" t="str">
        <f>T("   D'UNE EPAISSEUR DE 3 MM OU PLUS MAIS INFERIEURE A 4,75 MM")</f>
        <v xml:space="preserve">   D'UNE EPAISSEUR DE 3 MM OU PLUS MAIS INFERIEURE A 4,75 MM</v>
      </c>
      <c r="C4935" s="4">
        <v>734</v>
      </c>
      <c r="D4935" s="4">
        <v>4396243</v>
      </c>
    </row>
    <row r="4936" spans="1:4" x14ac:dyDescent="0.25">
      <c r="A4936" t="str">
        <f>T("   722090")</f>
        <v xml:space="preserve">   722090</v>
      </c>
      <c r="B4936" t="str">
        <f>T("   AUTRES")</f>
        <v xml:space="preserve">   AUTRES</v>
      </c>
      <c r="C4936" s="4">
        <v>66</v>
      </c>
      <c r="D4936" s="4">
        <v>1396815</v>
      </c>
    </row>
    <row r="4937" spans="1:4" x14ac:dyDescent="0.25">
      <c r="A4937" t="str">
        <f>T("   722240")</f>
        <v xml:space="preserve">   722240</v>
      </c>
      <c r="B4937" t="str">
        <f>T("   PROFILES")</f>
        <v xml:space="preserve">   PROFILES</v>
      </c>
      <c r="C4937" s="4">
        <v>177</v>
      </c>
      <c r="D4937" s="4">
        <v>670391</v>
      </c>
    </row>
    <row r="4938" spans="1:4" x14ac:dyDescent="0.25">
      <c r="A4938" t="str">
        <f>T("   722692")</f>
        <v xml:space="preserve">   722692</v>
      </c>
      <c r="B4938" t="str">
        <f>T("   SIMPLEMENT LAMINES A FROID")</f>
        <v xml:space="preserve">   SIMPLEMENT LAMINES A FROID</v>
      </c>
      <c r="C4938" s="4">
        <v>261.52</v>
      </c>
      <c r="D4938" s="4">
        <v>266648</v>
      </c>
    </row>
    <row r="4939" spans="1:4" x14ac:dyDescent="0.25">
      <c r="A4939" t="str">
        <f>T("   722860")</f>
        <v xml:space="preserve">   722860</v>
      </c>
      <c r="B4939" t="str">
        <f>T("   AUTRES BARRES")</f>
        <v xml:space="preserve">   AUTRES BARRES</v>
      </c>
      <c r="C4939" s="4">
        <v>17</v>
      </c>
      <c r="D4939" s="4">
        <v>431237</v>
      </c>
    </row>
    <row r="4940" spans="1:4" x14ac:dyDescent="0.25">
      <c r="A4940" t="str">
        <f>T("   722870")</f>
        <v xml:space="preserve">   722870</v>
      </c>
      <c r="B4940" t="str">
        <f>T("   PROFILES")</f>
        <v xml:space="preserve">   PROFILES</v>
      </c>
      <c r="C4940" s="4">
        <v>1996</v>
      </c>
      <c r="D4940" s="4">
        <v>2202930</v>
      </c>
    </row>
    <row r="4941" spans="1:4" x14ac:dyDescent="0.25">
      <c r="A4941" t="str">
        <f>T("   730210")</f>
        <v xml:space="preserve">   730210</v>
      </c>
      <c r="B4941" t="str">
        <f>T("   RAILS")</f>
        <v xml:space="preserve">   RAILS</v>
      </c>
      <c r="C4941" s="4">
        <v>14421</v>
      </c>
      <c r="D4941" s="4">
        <v>20196812</v>
      </c>
    </row>
    <row r="4942" spans="1:4" x14ac:dyDescent="0.25">
      <c r="A4942" t="str">
        <f>T("   730419")</f>
        <v xml:space="preserve">   730419</v>
      </c>
      <c r="B4942" t="str">
        <f>T("   AUTRES")</f>
        <v xml:space="preserve">   AUTRES</v>
      </c>
      <c r="C4942" s="4">
        <v>47</v>
      </c>
      <c r="D4942" s="4">
        <v>222381</v>
      </c>
    </row>
    <row r="4943" spans="1:4" x14ac:dyDescent="0.25">
      <c r="A4943" t="str">
        <f>T("   730531")</f>
        <v xml:space="preserve">   730531</v>
      </c>
      <c r="B4943" t="str">
        <f>T("   SOUDES LONGITUDINALEMENT")</f>
        <v xml:space="preserve">   SOUDES LONGITUDINALEMENT</v>
      </c>
      <c r="C4943" s="4">
        <v>50288</v>
      </c>
      <c r="D4943" s="4">
        <v>10920000</v>
      </c>
    </row>
    <row r="4944" spans="1:4" x14ac:dyDescent="0.25">
      <c r="A4944" t="str">
        <f>T("   730630")</f>
        <v xml:space="preserve">   730630</v>
      </c>
      <c r="B4944" t="str">
        <f>T("   AUTRES, SOUDES, DE SECTION CIRCULAIRE, EN FER OU EN ACIERS NON ALLIES")</f>
        <v xml:space="preserve">   AUTRES, SOUDES, DE SECTION CIRCULAIRE, EN FER OU EN ACIERS NON ALLIES</v>
      </c>
      <c r="C4944" s="4">
        <v>24915</v>
      </c>
      <c r="D4944" s="4">
        <v>8912928</v>
      </c>
    </row>
    <row r="4945" spans="1:4" x14ac:dyDescent="0.25">
      <c r="A4945" t="str">
        <f>T("   730640")</f>
        <v xml:space="preserve">   730640</v>
      </c>
      <c r="B4945" t="str">
        <f>T("   AUTRES, SOUDES, DE SECTION CIRCULAIRE, EN ACIERS INOXYDABLES")</f>
        <v xml:space="preserve">   AUTRES, SOUDES, DE SECTION CIRCULAIRE, EN ACIERS INOXYDABLES</v>
      </c>
      <c r="C4945" s="4">
        <v>55010</v>
      </c>
      <c r="D4945" s="4">
        <v>24051351</v>
      </c>
    </row>
    <row r="4946" spans="1:4" x14ac:dyDescent="0.25">
      <c r="A4946" t="str">
        <f>T("   730650")</f>
        <v xml:space="preserve">   730650</v>
      </c>
      <c r="B4946" t="str">
        <f>T("   AUTRES, SOUDES, DE SECTION CIRCULAIRE, EN AUTRES ACIERS ALLIES")</f>
        <v xml:space="preserve">   AUTRES, SOUDES, DE SECTION CIRCULAIRE, EN AUTRES ACIERS ALLIES</v>
      </c>
      <c r="C4946" s="4">
        <v>1932</v>
      </c>
      <c r="D4946" s="4">
        <v>3088916</v>
      </c>
    </row>
    <row r="4947" spans="1:4" x14ac:dyDescent="0.25">
      <c r="A4947" t="str">
        <f>T("   730690")</f>
        <v xml:space="preserve">   730690</v>
      </c>
      <c r="B4947" t="str">
        <f>T("   AUTRES")</f>
        <v xml:space="preserve">   AUTRES</v>
      </c>
      <c r="C4947" s="4">
        <v>1057</v>
      </c>
      <c r="D4947" s="4">
        <v>2231793</v>
      </c>
    </row>
    <row r="4948" spans="1:4" x14ac:dyDescent="0.25">
      <c r="A4948" t="str">
        <f>T("   730711")</f>
        <v xml:space="preserve">   730711</v>
      </c>
      <c r="B4948" t="str">
        <f>T("   EN FONTE NON MALLEABLE")</f>
        <v xml:space="preserve">   EN FONTE NON MALLEABLE</v>
      </c>
      <c r="C4948" s="4">
        <v>1487</v>
      </c>
      <c r="D4948" s="4">
        <v>5553240</v>
      </c>
    </row>
    <row r="4949" spans="1:4" x14ac:dyDescent="0.25">
      <c r="A4949" t="str">
        <f>T("   730719")</f>
        <v xml:space="preserve">   730719</v>
      </c>
      <c r="B4949" t="str">
        <f>T("   AUTRES")</f>
        <v xml:space="preserve">   AUTRES</v>
      </c>
      <c r="C4949" s="4">
        <v>4530.25</v>
      </c>
      <c r="D4949" s="4">
        <v>51509053</v>
      </c>
    </row>
    <row r="4950" spans="1:4" x14ac:dyDescent="0.25">
      <c r="A4950" t="str">
        <f>T("   730721")</f>
        <v xml:space="preserve">   730721</v>
      </c>
      <c r="B4950" t="str">
        <f>T("   BRIDES")</f>
        <v xml:space="preserve">   BRIDES</v>
      </c>
      <c r="C4950" s="4">
        <v>250</v>
      </c>
      <c r="D4950" s="4">
        <v>1069418</v>
      </c>
    </row>
    <row r="4951" spans="1:4" x14ac:dyDescent="0.25">
      <c r="A4951" t="str">
        <f>T("   730722")</f>
        <v xml:space="preserve">   730722</v>
      </c>
      <c r="B4951" t="str">
        <f>T("   COUDES, COURBES ET MANCHONS, FILETES")</f>
        <v xml:space="preserve">   COUDES, COURBES ET MANCHONS, FILETES</v>
      </c>
      <c r="C4951" s="4">
        <v>1905</v>
      </c>
      <c r="D4951" s="4">
        <v>17489330</v>
      </c>
    </row>
    <row r="4952" spans="1:4" x14ac:dyDescent="0.25">
      <c r="A4952" t="str">
        <f>T("   730723")</f>
        <v xml:space="preserve">   730723</v>
      </c>
      <c r="B4952" t="str">
        <f>T("   ACCESSOIRES A SOUDER BOUT A BOUT")</f>
        <v xml:space="preserve">   ACCESSOIRES A SOUDER BOUT A BOUT</v>
      </c>
      <c r="C4952" s="4">
        <v>29</v>
      </c>
      <c r="D4952" s="4">
        <v>136426</v>
      </c>
    </row>
    <row r="4953" spans="1:4" x14ac:dyDescent="0.25">
      <c r="A4953" t="str">
        <f>T("   730729")</f>
        <v xml:space="preserve">   730729</v>
      </c>
      <c r="B4953" t="str">
        <f>T("   AUTRES")</f>
        <v xml:space="preserve">   AUTRES</v>
      </c>
      <c r="C4953" s="4">
        <v>903.3</v>
      </c>
      <c r="D4953" s="4">
        <v>6493816</v>
      </c>
    </row>
    <row r="4954" spans="1:4" x14ac:dyDescent="0.25">
      <c r="A4954" t="str">
        <f>T("   730791")</f>
        <v xml:space="preserve">   730791</v>
      </c>
      <c r="B4954" t="str">
        <f>T("   BRIDES")</f>
        <v xml:space="preserve">   BRIDES</v>
      </c>
      <c r="C4954" s="4">
        <v>221</v>
      </c>
      <c r="D4954" s="4">
        <v>4477309</v>
      </c>
    </row>
    <row r="4955" spans="1:4" x14ac:dyDescent="0.25">
      <c r="A4955" t="str">
        <f>T("   730792")</f>
        <v xml:space="preserve">   730792</v>
      </c>
      <c r="B4955" t="str">
        <f>T("   COUDES, COURBES ET MANCHONS, FILETES")</f>
        <v xml:space="preserve">   COUDES, COURBES ET MANCHONS, FILETES</v>
      </c>
      <c r="C4955" s="4">
        <v>110</v>
      </c>
      <c r="D4955" s="4">
        <v>1709938</v>
      </c>
    </row>
    <row r="4956" spans="1:4" x14ac:dyDescent="0.25">
      <c r="A4956" t="str">
        <f>T("   730799")</f>
        <v xml:space="preserve">   730799</v>
      </c>
      <c r="B4956" t="str">
        <f>T("   AUTRES")</f>
        <v xml:space="preserve">   AUTRES</v>
      </c>
      <c r="C4956" s="4">
        <v>2150</v>
      </c>
      <c r="D4956" s="4">
        <v>11548767</v>
      </c>
    </row>
    <row r="4957" spans="1:4" x14ac:dyDescent="0.25">
      <c r="A4957" t="str">
        <f>T("   730820")</f>
        <v xml:space="preserve">   730820</v>
      </c>
      <c r="B4957" t="str">
        <f>T("   TOURS ET PYLONES")</f>
        <v xml:space="preserve">   TOURS ET PYLONES</v>
      </c>
      <c r="C4957" s="4">
        <v>10634</v>
      </c>
      <c r="D4957" s="4">
        <v>51709982</v>
      </c>
    </row>
    <row r="4958" spans="1:4" x14ac:dyDescent="0.25">
      <c r="A4958" t="str">
        <f>T("   730830")</f>
        <v xml:space="preserve">   730830</v>
      </c>
      <c r="B4958" t="str">
        <f>T("   PORTES, FENETRES ET LEURS CADRES ET CHAMBRANLES ET SEUILS")</f>
        <v xml:space="preserve">   PORTES, FENETRES ET LEURS CADRES ET CHAMBRANLES ET SEUILS</v>
      </c>
      <c r="C4958" s="4">
        <v>3619</v>
      </c>
      <c r="D4958" s="4">
        <v>15734105</v>
      </c>
    </row>
    <row r="4959" spans="1:4" x14ac:dyDescent="0.25">
      <c r="A4959" t="str">
        <f>T("   730840")</f>
        <v xml:space="preserve">   730840</v>
      </c>
      <c r="B4959" t="str">
        <f>T("   MATERIEL D'ECHAFAUDAGE, DE COFFRAGE, D'ETANCONNEMENT OU D'ETAYAGE")</f>
        <v xml:space="preserve">   MATERIEL D'ECHAFAUDAGE, DE COFFRAGE, D'ETANCONNEMENT OU D'ETAYAGE</v>
      </c>
      <c r="C4959" s="4">
        <v>19218</v>
      </c>
      <c r="D4959" s="4">
        <v>61981661</v>
      </c>
    </row>
    <row r="4960" spans="1:4" x14ac:dyDescent="0.25">
      <c r="A4960" t="str">
        <f>T("   730890")</f>
        <v xml:space="preserve">   730890</v>
      </c>
      <c r="B4960" t="str">
        <f>T("   AUTRES")</f>
        <v xml:space="preserve">   AUTRES</v>
      </c>
      <c r="C4960" s="4">
        <v>71657</v>
      </c>
      <c r="D4960" s="4">
        <v>118977246</v>
      </c>
    </row>
    <row r="4961" spans="1:4" x14ac:dyDescent="0.25">
      <c r="A4961" t="str">
        <f>T("   730900")</f>
        <v xml:space="preserve">   730900</v>
      </c>
      <c r="B4961" t="str">
        <f>T("   RESERVOIRS, FOUDRES, CUVES ET RECIPIENTS SIMILAIRES POUR TOUTES MATIERES (A L'EXCEPTION")</f>
        <v xml:space="preserve">   RESERVOIRS, FOUDRES, CUVES ET RECIPIENTS SIMILAIRES POUR TOUTES MATIERES (A L'EXCEPTION</v>
      </c>
      <c r="C4961" s="4">
        <v>1826</v>
      </c>
      <c r="D4961" s="4">
        <v>20083607</v>
      </c>
    </row>
    <row r="4962" spans="1:4" x14ac:dyDescent="0.25">
      <c r="A4962" t="str">
        <f>T("   731010")</f>
        <v xml:space="preserve">   731010</v>
      </c>
      <c r="B4962" t="str">
        <f>T("   D'UNE CONTENANCE DE 50 L OU PLUS")</f>
        <v xml:space="preserve">   D'UNE CONTENANCE DE 50 L OU PLUS</v>
      </c>
      <c r="C4962" s="4">
        <v>33200</v>
      </c>
      <c r="D4962" s="4">
        <v>18163932</v>
      </c>
    </row>
    <row r="4963" spans="1:4" x14ac:dyDescent="0.25">
      <c r="A4963" t="str">
        <f>T("   731029")</f>
        <v xml:space="preserve">   731029</v>
      </c>
      <c r="B4963" t="str">
        <f>T("   AUTRES")</f>
        <v xml:space="preserve">   AUTRES</v>
      </c>
      <c r="C4963" s="4">
        <v>856</v>
      </c>
      <c r="D4963" s="4">
        <v>16378790</v>
      </c>
    </row>
    <row r="4964" spans="1:4" x14ac:dyDescent="0.25">
      <c r="A4964" t="str">
        <f>T("   731100")</f>
        <v xml:space="preserve">   731100</v>
      </c>
      <c r="B4964" t="str">
        <f>T("   RECIPIENTS POUR GAZ COMPRIMES OU LIQUEFIES, EN FONTE, FER OU ACIER.")</f>
        <v xml:space="preserve">   RECIPIENTS POUR GAZ COMPRIMES OU LIQUEFIES, EN FONTE, FER OU ACIER.</v>
      </c>
      <c r="C4964" s="4">
        <v>1948</v>
      </c>
      <c r="D4964" s="4">
        <v>100834139</v>
      </c>
    </row>
    <row r="4965" spans="1:4" x14ac:dyDescent="0.25">
      <c r="A4965" t="str">
        <f>T("   731210")</f>
        <v xml:space="preserve">   731210</v>
      </c>
      <c r="B4965" t="str">
        <f>T("   TORONS ET CABLES")</f>
        <v xml:space="preserve">   TORONS ET CABLES</v>
      </c>
      <c r="C4965" s="4">
        <v>6412</v>
      </c>
      <c r="D4965" s="4">
        <v>24136984</v>
      </c>
    </row>
    <row r="4966" spans="1:4" x14ac:dyDescent="0.25">
      <c r="A4966" t="str">
        <f>T("   731290")</f>
        <v xml:space="preserve">   731290</v>
      </c>
      <c r="B4966" t="str">
        <f>T("   AUTRES")</f>
        <v xml:space="preserve">   AUTRES</v>
      </c>
      <c r="C4966" s="4">
        <v>29630.46</v>
      </c>
      <c r="D4966" s="4">
        <v>36091532</v>
      </c>
    </row>
    <row r="4967" spans="1:4" x14ac:dyDescent="0.25">
      <c r="A4967" t="str">
        <f>T("   731300")</f>
        <v xml:space="preserve">   731300</v>
      </c>
      <c r="B4967" t="str">
        <f>T("   RONCES ARTIFICIELLES EN FER OU EN ACIER; TORSADES, BARBELEES OU NON, EN FILS OU EN FEUI")</f>
        <v xml:space="preserve">   RONCES ARTIFICIELLES EN FER OU EN ACIER; TORSADES, BARBELEES OU NON, EN FILS OU EN FEUI</v>
      </c>
      <c r="C4967" s="4">
        <v>29681</v>
      </c>
      <c r="D4967" s="4">
        <v>943223</v>
      </c>
    </row>
    <row r="4968" spans="1:4" x14ac:dyDescent="0.25">
      <c r="A4968" t="str">
        <f>T("   731419")</f>
        <v xml:space="preserve">   731419</v>
      </c>
      <c r="B4968" t="str">
        <f>T("   AUTRES")</f>
        <v xml:space="preserve">   AUTRES</v>
      </c>
      <c r="C4968" s="4">
        <v>25319</v>
      </c>
      <c r="D4968" s="4">
        <v>71360518</v>
      </c>
    </row>
    <row r="4969" spans="1:4" x14ac:dyDescent="0.25">
      <c r="A4969" t="str">
        <f>T("   731420")</f>
        <v xml:space="preserve">   731420</v>
      </c>
      <c r="B4969" t="str">
        <f>T("   GRILLAGES ET TREILLIS, SOUDES AUX POINTS DE RENCONTRE, EN FILS DONT LA PLUS GRANDE DI")</f>
        <v xml:space="preserve">   GRILLAGES ET TREILLIS, SOUDES AUX POINTS DE RENCONTRE, EN FILS DONT LA PLUS GRANDE DI</v>
      </c>
      <c r="C4969" s="4">
        <v>614</v>
      </c>
      <c r="D4969" s="4">
        <v>2505768</v>
      </c>
    </row>
    <row r="4970" spans="1:4" x14ac:dyDescent="0.25">
      <c r="A4970" t="str">
        <f>T("   731442")</f>
        <v xml:space="preserve">   731442</v>
      </c>
      <c r="B4970" t="str">
        <f>T("   RECOUVERTS DE MATIERES PLASTIQUES")</f>
        <v xml:space="preserve">   RECOUVERTS DE MATIERES PLASTIQUES</v>
      </c>
      <c r="C4970" s="4">
        <v>1866</v>
      </c>
      <c r="D4970" s="4">
        <v>1316512</v>
      </c>
    </row>
    <row r="4971" spans="1:4" x14ac:dyDescent="0.25">
      <c r="A4971" t="str">
        <f>T("   731449")</f>
        <v xml:space="preserve">   731449</v>
      </c>
      <c r="B4971" t="str">
        <f>T("   AUTRES")</f>
        <v xml:space="preserve">   AUTRES</v>
      </c>
      <c r="C4971" s="4">
        <v>488</v>
      </c>
      <c r="D4971" s="4">
        <v>4046138</v>
      </c>
    </row>
    <row r="4972" spans="1:4" x14ac:dyDescent="0.25">
      <c r="A4972" t="str">
        <f>T("   731450")</f>
        <v xml:space="preserve">   731450</v>
      </c>
      <c r="B4972" t="str">
        <f>T("   TOLES ET BANDES DEPLOYEES")</f>
        <v xml:space="preserve">   TOLES ET BANDES DEPLOYEES</v>
      </c>
      <c r="C4972" s="4">
        <v>506</v>
      </c>
      <c r="D4972" s="4">
        <v>2883601</v>
      </c>
    </row>
    <row r="4973" spans="1:4" x14ac:dyDescent="0.25">
      <c r="A4973" t="str">
        <f>T("   731511")</f>
        <v xml:space="preserve">   731511</v>
      </c>
      <c r="B4973" t="str">
        <f>T("   CHAINES A ROULEAUX")</f>
        <v xml:space="preserve">   CHAINES A ROULEAUX</v>
      </c>
      <c r="C4973" s="4">
        <v>126</v>
      </c>
      <c r="D4973" s="4">
        <v>942615</v>
      </c>
    </row>
    <row r="4974" spans="1:4" x14ac:dyDescent="0.25">
      <c r="A4974" t="str">
        <f>T("   731512")</f>
        <v xml:space="preserve">   731512</v>
      </c>
      <c r="B4974" t="str">
        <f>T("   AUTRES CHAINES")</f>
        <v xml:space="preserve">   AUTRES CHAINES</v>
      </c>
      <c r="C4974" s="4">
        <v>4701</v>
      </c>
      <c r="D4974" s="4">
        <v>20582989</v>
      </c>
    </row>
    <row r="4975" spans="1:4" x14ac:dyDescent="0.25">
      <c r="A4975" t="str">
        <f>T("   731581")</f>
        <v xml:space="preserve">   731581</v>
      </c>
      <c r="B4975" t="str">
        <f>T("   CHAINES A MAILLONS A ETAIS")</f>
        <v xml:space="preserve">   CHAINES A MAILLONS A ETAIS</v>
      </c>
      <c r="C4975" s="4">
        <v>252</v>
      </c>
      <c r="D4975" s="4">
        <v>2469690</v>
      </c>
    </row>
    <row r="4976" spans="1:4" x14ac:dyDescent="0.25">
      <c r="A4976" t="str">
        <f>T("   731589")</f>
        <v xml:space="preserve">   731589</v>
      </c>
      <c r="B4976" t="str">
        <f>T("   AUTRES")</f>
        <v xml:space="preserve">   AUTRES</v>
      </c>
      <c r="C4976" s="4">
        <v>4153</v>
      </c>
      <c r="D4976" s="4">
        <v>12773446</v>
      </c>
    </row>
    <row r="4977" spans="1:4" x14ac:dyDescent="0.25">
      <c r="A4977" t="str">
        <f>T("   731590")</f>
        <v xml:space="preserve">   731590</v>
      </c>
      <c r="B4977" t="str">
        <f>T("   AUTRES PARTIES")</f>
        <v xml:space="preserve">   AUTRES PARTIES</v>
      </c>
      <c r="C4977" s="4">
        <v>360</v>
      </c>
      <c r="D4977" s="4">
        <v>2693511</v>
      </c>
    </row>
    <row r="4978" spans="1:4" x14ac:dyDescent="0.25">
      <c r="A4978" t="str">
        <f>T("   731700")</f>
        <v xml:space="preserve">   731700</v>
      </c>
      <c r="B4978" t="str">
        <f>T("   POINTES, CLOUS, PUNAISES, CRAMPONS APPOINTES, AGRAFES ONDULEES OU BISEAUTEES ET ARTICLE")</f>
        <v xml:space="preserve">   POINTES, CLOUS, PUNAISES, CRAMPONS APPOINTES, AGRAFES ONDULEES OU BISEAUTEES ET ARTICLE</v>
      </c>
      <c r="C4978" s="4">
        <v>54218</v>
      </c>
      <c r="D4978" s="4">
        <v>21080933</v>
      </c>
    </row>
    <row r="4979" spans="1:4" x14ac:dyDescent="0.25">
      <c r="A4979" t="str">
        <f>T("   731812")</f>
        <v xml:space="preserve">   731812</v>
      </c>
      <c r="B4979" t="str">
        <f>T("   AUTRES VIS A BOIS")</f>
        <v xml:space="preserve">   AUTRES VIS A BOIS</v>
      </c>
      <c r="C4979" s="4">
        <v>2327</v>
      </c>
      <c r="D4979" s="4">
        <v>873844</v>
      </c>
    </row>
    <row r="4980" spans="1:4" x14ac:dyDescent="0.25">
      <c r="A4980" t="str">
        <f>T("   731813")</f>
        <v xml:space="preserve">   731813</v>
      </c>
      <c r="B4980" t="str">
        <f>T("   CROCHETS ET PITONS A PAS DE VIS")</f>
        <v xml:space="preserve">   CROCHETS ET PITONS A PAS DE VIS</v>
      </c>
      <c r="C4980" s="4">
        <v>342.8</v>
      </c>
      <c r="D4980" s="4">
        <v>1598496</v>
      </c>
    </row>
    <row r="4981" spans="1:4" x14ac:dyDescent="0.25">
      <c r="A4981" t="str">
        <f>T("   731814")</f>
        <v xml:space="preserve">   731814</v>
      </c>
      <c r="B4981" t="str">
        <f>T("   VIS AUTOTARAUDEUSES")</f>
        <v xml:space="preserve">   VIS AUTOTARAUDEUSES</v>
      </c>
      <c r="C4981" s="4">
        <v>6</v>
      </c>
      <c r="D4981" s="4">
        <v>393446</v>
      </c>
    </row>
    <row r="4982" spans="1:4" x14ac:dyDescent="0.25">
      <c r="A4982" t="str">
        <f>T("   731815")</f>
        <v xml:space="preserve">   731815</v>
      </c>
      <c r="B4982" t="str">
        <f>T("   AUTRES VIS ET BOULONS, MEME AVEC LEURS ECROUS OU RONDELLES")</f>
        <v xml:space="preserve">   AUTRES VIS ET BOULONS, MEME AVEC LEURS ECROUS OU RONDELLES</v>
      </c>
      <c r="C4982" s="4">
        <v>27746.27</v>
      </c>
      <c r="D4982" s="4">
        <v>83091804</v>
      </c>
    </row>
    <row r="4983" spans="1:4" x14ac:dyDescent="0.25">
      <c r="A4983" t="str">
        <f>T("   731816")</f>
        <v xml:space="preserve">   731816</v>
      </c>
      <c r="B4983" t="str">
        <f>T("   ECROUS")</f>
        <v xml:space="preserve">   ECROUS</v>
      </c>
      <c r="C4983" s="4">
        <v>1469.25</v>
      </c>
      <c r="D4983" s="4">
        <v>3298312</v>
      </c>
    </row>
    <row r="4984" spans="1:4" x14ac:dyDescent="0.25">
      <c r="A4984" t="str">
        <f>T("   731819")</f>
        <v xml:space="preserve">   731819</v>
      </c>
      <c r="B4984" t="str">
        <f>T("   AUTRES")</f>
        <v xml:space="preserve">   AUTRES</v>
      </c>
      <c r="C4984" s="4">
        <v>3416.75</v>
      </c>
      <c r="D4984" s="4">
        <v>11648174</v>
      </c>
    </row>
    <row r="4985" spans="1:4" x14ac:dyDescent="0.25">
      <c r="A4985" t="str">
        <f>T("   731821")</f>
        <v xml:space="preserve">   731821</v>
      </c>
      <c r="B4985" t="str">
        <f>T("   RONDELLES DESTINEES A FAIRE RESSORT ET AUTRES RONDELLES DE BLOCAGE")</f>
        <v xml:space="preserve">   RONDELLES DESTINEES A FAIRE RESSORT ET AUTRES RONDELLES DE BLOCAGE</v>
      </c>
      <c r="C4985" s="4">
        <v>12</v>
      </c>
      <c r="D4985" s="4">
        <v>250471</v>
      </c>
    </row>
    <row r="4986" spans="1:4" x14ac:dyDescent="0.25">
      <c r="A4986" t="str">
        <f>T("   731822")</f>
        <v xml:space="preserve">   731822</v>
      </c>
      <c r="B4986" t="str">
        <f>T("   AUTRES RONDELLES")</f>
        <v xml:space="preserve">   AUTRES RONDELLES</v>
      </c>
      <c r="C4986" s="4">
        <v>572</v>
      </c>
      <c r="D4986" s="4">
        <v>4303562</v>
      </c>
    </row>
    <row r="4987" spans="1:4" x14ac:dyDescent="0.25">
      <c r="A4987" t="str">
        <f>T("   731823")</f>
        <v xml:space="preserve">   731823</v>
      </c>
      <c r="B4987" t="str">
        <f>T("   RIVETS")</f>
        <v xml:space="preserve">   RIVETS</v>
      </c>
      <c r="C4987" s="4">
        <v>30</v>
      </c>
      <c r="D4987" s="4">
        <v>1446392</v>
      </c>
    </row>
    <row r="4988" spans="1:4" x14ac:dyDescent="0.25">
      <c r="A4988" t="str">
        <f>T("   731824")</f>
        <v xml:space="preserve">   731824</v>
      </c>
      <c r="B4988" t="str">
        <f>T("   GOUPILLES, CHEVILLES ET CLAVETTES")</f>
        <v xml:space="preserve">   GOUPILLES, CHEVILLES ET CLAVETTES</v>
      </c>
      <c r="C4988" s="4">
        <v>355</v>
      </c>
      <c r="D4988" s="4">
        <v>5399581</v>
      </c>
    </row>
    <row r="4989" spans="1:4" x14ac:dyDescent="0.25">
      <c r="A4989" t="str">
        <f>T("   731829")</f>
        <v xml:space="preserve">   731829</v>
      </c>
      <c r="B4989" t="str">
        <f>T("   AUTRES")</f>
        <v xml:space="preserve">   AUTRES</v>
      </c>
      <c r="C4989" s="4">
        <v>100</v>
      </c>
      <c r="D4989" s="4">
        <v>1964042</v>
      </c>
    </row>
    <row r="4990" spans="1:4" x14ac:dyDescent="0.25">
      <c r="A4990" t="str">
        <f>T("   731990")</f>
        <v xml:space="preserve">   731990</v>
      </c>
      <c r="B4990" t="str">
        <f>T("   AUTRES")</f>
        <v xml:space="preserve">   AUTRES</v>
      </c>
      <c r="C4990" s="4">
        <v>2144</v>
      </c>
      <c r="D4990" s="4">
        <v>155463</v>
      </c>
    </row>
    <row r="4991" spans="1:4" x14ac:dyDescent="0.25">
      <c r="A4991" t="str">
        <f>T("   732010")</f>
        <v xml:space="preserve">   732010</v>
      </c>
      <c r="B4991" t="str">
        <f>T("   RESSORTS A LAMES ET LEURS LAMES")</f>
        <v xml:space="preserve">   RESSORTS A LAMES ET LEURS LAMES</v>
      </c>
      <c r="C4991" s="4">
        <v>155</v>
      </c>
      <c r="D4991" s="4">
        <v>9791141</v>
      </c>
    </row>
    <row r="4992" spans="1:4" x14ac:dyDescent="0.25">
      <c r="A4992" t="str">
        <f>T("   732020")</f>
        <v xml:space="preserve">   732020</v>
      </c>
      <c r="B4992" t="str">
        <f>T("   RESSORTS EN HELICE")</f>
        <v xml:space="preserve">   RESSORTS EN HELICE</v>
      </c>
      <c r="C4992" s="4">
        <v>0.3</v>
      </c>
      <c r="D4992" s="4">
        <v>644856</v>
      </c>
    </row>
    <row r="4993" spans="1:4" x14ac:dyDescent="0.25">
      <c r="A4993" t="str">
        <f>T("   732090")</f>
        <v xml:space="preserve">   732090</v>
      </c>
      <c r="B4993" t="str">
        <f>T("   AUTRES")</f>
        <v xml:space="preserve">   AUTRES</v>
      </c>
      <c r="C4993" s="4">
        <v>797.94</v>
      </c>
      <c r="D4993" s="4">
        <v>16439950</v>
      </c>
    </row>
    <row r="4994" spans="1:4" x14ac:dyDescent="0.25">
      <c r="A4994" t="str">
        <f>T("   732112")</f>
        <v xml:space="preserve">   732112</v>
      </c>
      <c r="B4994" t="str">
        <f>T("   A COMBUSTIBLES LIQUIDES")</f>
        <v xml:space="preserve">   A COMBUSTIBLES LIQUIDES</v>
      </c>
      <c r="C4994" s="4">
        <v>1000</v>
      </c>
      <c r="D4994" s="4">
        <v>350000</v>
      </c>
    </row>
    <row r="4995" spans="1:4" x14ac:dyDescent="0.25">
      <c r="A4995" t="str">
        <f>T("   732190")</f>
        <v xml:space="preserve">   732190</v>
      </c>
      <c r="B4995" t="str">
        <f>T("   PARTIES")</f>
        <v xml:space="preserve">   PARTIES</v>
      </c>
      <c r="C4995" s="4">
        <v>165</v>
      </c>
      <c r="D4995" s="4">
        <v>2219034</v>
      </c>
    </row>
    <row r="4996" spans="1:4" x14ac:dyDescent="0.25">
      <c r="A4996" t="str">
        <f>T("   732290")</f>
        <v xml:space="preserve">   732290</v>
      </c>
      <c r="B4996" t="str">
        <f>T("   AUTRES")</f>
        <v xml:space="preserve">   AUTRES</v>
      </c>
      <c r="C4996" s="4">
        <v>37</v>
      </c>
      <c r="D4996" s="4">
        <v>134590</v>
      </c>
    </row>
    <row r="4997" spans="1:4" x14ac:dyDescent="0.25">
      <c r="A4997" t="str">
        <f>T("   732310")</f>
        <v xml:space="preserve">   732310</v>
      </c>
      <c r="B4997" t="str">
        <f>T("   PAILLE DE FER OU D'ACIER; EPONGES, TORCHONS, GANTS ET ARTICLES SIMILAIRES POUR LE REC")</f>
        <v xml:space="preserve">   PAILLE DE FER OU D'ACIER; EPONGES, TORCHONS, GANTS ET ARTICLES SIMILAIRES POUR LE REC</v>
      </c>
      <c r="C4997" s="4">
        <v>335</v>
      </c>
      <c r="D4997" s="4">
        <v>283374</v>
      </c>
    </row>
    <row r="4998" spans="1:4" x14ac:dyDescent="0.25">
      <c r="A4998" t="str">
        <f>T("   732393")</f>
        <v xml:space="preserve">   732393</v>
      </c>
      <c r="B4998" t="str">
        <f>T("   EN ACIERS INOXYDABLES")</f>
        <v xml:space="preserve">   EN ACIERS INOXYDABLES</v>
      </c>
      <c r="C4998" s="4">
        <v>47185</v>
      </c>
      <c r="D4998" s="4">
        <v>74113462</v>
      </c>
    </row>
    <row r="4999" spans="1:4" x14ac:dyDescent="0.25">
      <c r="A4999" t="str">
        <f>T("   732394")</f>
        <v xml:space="preserve">   732394</v>
      </c>
      <c r="B4999" t="str">
        <f>T("   EN FER OU EN ACIER, EMAILLES")</f>
        <v xml:space="preserve">   EN FER OU EN ACIER, EMAILLES</v>
      </c>
      <c r="C4999" s="4">
        <v>68109</v>
      </c>
      <c r="D4999" s="4">
        <v>56015614</v>
      </c>
    </row>
    <row r="5000" spans="1:4" x14ac:dyDescent="0.25">
      <c r="A5000" t="str">
        <f>T("   732399")</f>
        <v xml:space="preserve">   732399</v>
      </c>
      <c r="B5000" t="str">
        <f>T("   AUTRES")</f>
        <v xml:space="preserve">   AUTRES</v>
      </c>
      <c r="C5000" s="4">
        <v>99141.1</v>
      </c>
      <c r="D5000" s="4">
        <v>67687924</v>
      </c>
    </row>
    <row r="5001" spans="1:4" x14ac:dyDescent="0.25">
      <c r="A5001" t="str">
        <f>T("   732410")</f>
        <v xml:space="preserve">   732410</v>
      </c>
      <c r="B5001" t="str">
        <f>T("   EVIERS ET LAVABOS EN ACIERS INOXYDABLES")</f>
        <v xml:space="preserve">   EVIERS ET LAVABOS EN ACIERS INOXYDABLES</v>
      </c>
      <c r="C5001" s="4">
        <v>477</v>
      </c>
      <c r="D5001" s="4">
        <v>3022251</v>
      </c>
    </row>
    <row r="5002" spans="1:4" x14ac:dyDescent="0.25">
      <c r="A5002" t="str">
        <f>T("   732490")</f>
        <v xml:space="preserve">   732490</v>
      </c>
      <c r="B5002" t="str">
        <f>T("   AUTRES, Y COMPRIS LES PARTIES")</f>
        <v xml:space="preserve">   AUTRES, Y COMPRIS LES PARTIES</v>
      </c>
      <c r="C5002" s="4">
        <v>395.2</v>
      </c>
      <c r="D5002" s="4">
        <v>1221646</v>
      </c>
    </row>
    <row r="5003" spans="1:4" x14ac:dyDescent="0.25">
      <c r="A5003" t="str">
        <f>T("   732599")</f>
        <v xml:space="preserve">   732599</v>
      </c>
      <c r="B5003" t="str">
        <f>T("   AUTRES")</f>
        <v xml:space="preserve">   AUTRES</v>
      </c>
      <c r="C5003" s="4">
        <v>8730</v>
      </c>
      <c r="D5003" s="4">
        <v>45833197</v>
      </c>
    </row>
    <row r="5004" spans="1:4" x14ac:dyDescent="0.25">
      <c r="A5004" t="str">
        <f>T("   732619")</f>
        <v xml:space="preserve">   732619</v>
      </c>
      <c r="B5004" t="str">
        <f>T("   AUTRES")</f>
        <v xml:space="preserve">   AUTRES</v>
      </c>
      <c r="C5004" s="4">
        <v>28732</v>
      </c>
      <c r="D5004" s="4">
        <v>25971605</v>
      </c>
    </row>
    <row r="5005" spans="1:4" x14ac:dyDescent="0.25">
      <c r="A5005" t="str">
        <f>T("   732620")</f>
        <v xml:space="preserve">   732620</v>
      </c>
      <c r="B5005" t="str">
        <f>T("   OUVRAGES EN FILS DE FER OU D'ACIER")</f>
        <v xml:space="preserve">   OUVRAGES EN FILS DE FER OU D'ACIER</v>
      </c>
      <c r="C5005" s="4">
        <v>25310</v>
      </c>
      <c r="D5005" s="4">
        <v>21107340</v>
      </c>
    </row>
    <row r="5006" spans="1:4" x14ac:dyDescent="0.25">
      <c r="A5006" t="str">
        <f>T("   732690")</f>
        <v xml:space="preserve">   732690</v>
      </c>
      <c r="B5006" t="str">
        <f>T("   AUTRES")</f>
        <v xml:space="preserve">   AUTRES</v>
      </c>
      <c r="C5006" s="4">
        <v>1182273.83</v>
      </c>
      <c r="D5006" s="4">
        <v>834146932</v>
      </c>
    </row>
    <row r="5007" spans="1:4" x14ac:dyDescent="0.25">
      <c r="A5007" t="str">
        <f>T("   740100")</f>
        <v xml:space="preserve">   740100</v>
      </c>
      <c r="B5007" t="str">
        <f>T("   MATTES DE CUIVRE; CUIVRE DE CEMENT (PRECIPITE DE CUIVRE).")</f>
        <v xml:space="preserve">   MATTES DE CUIVRE; CUIVRE DE CEMENT (PRECIPITE DE CUIVRE).</v>
      </c>
      <c r="C5007" s="4">
        <v>4406</v>
      </c>
      <c r="D5007" s="4">
        <v>11357665</v>
      </c>
    </row>
    <row r="5008" spans="1:4" x14ac:dyDescent="0.25">
      <c r="A5008" t="str">
        <f>T("   740729")</f>
        <v xml:space="preserve">   740729</v>
      </c>
      <c r="B5008" t="str">
        <f>T("   AUTRES")</f>
        <v xml:space="preserve">   AUTRES</v>
      </c>
      <c r="C5008" s="4">
        <v>8</v>
      </c>
      <c r="D5008" s="4">
        <v>193674</v>
      </c>
    </row>
    <row r="5009" spans="1:4" x14ac:dyDescent="0.25">
      <c r="A5009" t="str">
        <f>T("   741110")</f>
        <v xml:space="preserve">   741110</v>
      </c>
      <c r="B5009" t="str">
        <f>T("   EN CUIVRE AFFINE")</f>
        <v xml:space="preserve">   EN CUIVRE AFFINE</v>
      </c>
      <c r="C5009" s="4">
        <v>127</v>
      </c>
      <c r="D5009" s="4">
        <v>4724545</v>
      </c>
    </row>
    <row r="5010" spans="1:4" x14ac:dyDescent="0.25">
      <c r="A5010" t="str">
        <f>T("   741129")</f>
        <v xml:space="preserve">   741129</v>
      </c>
      <c r="B5010" t="str">
        <f>T("   AUTRES")</f>
        <v xml:space="preserve">   AUTRES</v>
      </c>
      <c r="C5010" s="4">
        <v>1138</v>
      </c>
      <c r="D5010" s="4">
        <v>1600542</v>
      </c>
    </row>
    <row r="5011" spans="1:4" x14ac:dyDescent="0.25">
      <c r="A5011" t="str">
        <f>T("   741220")</f>
        <v xml:space="preserve">   741220</v>
      </c>
      <c r="B5011" t="str">
        <f>T("   EN ALLIAGES DE CUIVRE")</f>
        <v xml:space="preserve">   EN ALLIAGES DE CUIVRE</v>
      </c>
      <c r="C5011" s="4">
        <v>148</v>
      </c>
      <c r="D5011" s="4">
        <v>1579001</v>
      </c>
    </row>
    <row r="5012" spans="1:4" x14ac:dyDescent="0.25">
      <c r="A5012" t="str">
        <f>T("   741533")</f>
        <v xml:space="preserve">   741533</v>
      </c>
      <c r="B5012" t="str">
        <f>T("   VIS; BOULONS ET ECROUS")</f>
        <v xml:space="preserve">   VIS; BOULONS ET ECROUS</v>
      </c>
      <c r="C5012" s="4">
        <v>50</v>
      </c>
      <c r="D5012" s="4">
        <v>308870</v>
      </c>
    </row>
    <row r="5013" spans="1:4" x14ac:dyDescent="0.25">
      <c r="A5013" t="str">
        <f>T("   741999")</f>
        <v xml:space="preserve">   741999</v>
      </c>
      <c r="B5013" t="str">
        <f>T("   AUTRES")</f>
        <v xml:space="preserve">   AUTRES</v>
      </c>
      <c r="C5013" s="4">
        <v>219</v>
      </c>
      <c r="D5013" s="4">
        <v>3705113</v>
      </c>
    </row>
    <row r="5014" spans="1:4" x14ac:dyDescent="0.25">
      <c r="A5014" t="str">
        <f>T("   750890")</f>
        <v xml:space="preserve">   750890</v>
      </c>
      <c r="B5014" t="str">
        <f>T("   AUTRES")</f>
        <v xml:space="preserve">   AUTRES</v>
      </c>
      <c r="C5014" s="4">
        <v>6</v>
      </c>
      <c r="D5014" s="4">
        <v>881754</v>
      </c>
    </row>
    <row r="5015" spans="1:4" x14ac:dyDescent="0.25">
      <c r="A5015" t="str">
        <f>T("   760421")</f>
        <v xml:space="preserve">   760421</v>
      </c>
      <c r="B5015" t="str">
        <f>T("   PROFILES CREUX")</f>
        <v xml:space="preserve">   PROFILES CREUX</v>
      </c>
      <c r="C5015" s="4">
        <v>1690</v>
      </c>
      <c r="D5015" s="4">
        <v>19759704</v>
      </c>
    </row>
    <row r="5016" spans="1:4" x14ac:dyDescent="0.25">
      <c r="A5016" t="str">
        <f>T("   760429")</f>
        <v xml:space="preserve">   760429</v>
      </c>
      <c r="B5016" t="str">
        <f>T("   AUTRES")</f>
        <v xml:space="preserve">   AUTRES</v>
      </c>
      <c r="C5016" s="4">
        <v>134278</v>
      </c>
      <c r="D5016" s="4">
        <v>74150366</v>
      </c>
    </row>
    <row r="5017" spans="1:4" x14ac:dyDescent="0.25">
      <c r="A5017" t="str">
        <f>T("   760711")</f>
        <v xml:space="preserve">   760711</v>
      </c>
      <c r="B5017" t="str">
        <f>T("   SIMPLEMENT LAMINEES")</f>
        <v xml:space="preserve">   SIMPLEMENT LAMINEES</v>
      </c>
      <c r="C5017" s="4">
        <v>240</v>
      </c>
      <c r="D5017" s="4">
        <v>716781</v>
      </c>
    </row>
    <row r="5018" spans="1:4" x14ac:dyDescent="0.25">
      <c r="A5018" t="str">
        <f>T("   760719")</f>
        <v xml:space="preserve">   760719</v>
      </c>
      <c r="B5018" t="str">
        <f>T("   AUTRES")</f>
        <v xml:space="preserve">   AUTRES</v>
      </c>
      <c r="C5018" s="4">
        <v>16048</v>
      </c>
      <c r="D5018" s="4">
        <v>63904371</v>
      </c>
    </row>
    <row r="5019" spans="1:4" x14ac:dyDescent="0.25">
      <c r="A5019" t="str">
        <f>T("   760820")</f>
        <v xml:space="preserve">   760820</v>
      </c>
      <c r="B5019" t="str">
        <f>T("   EN ALLIAGES D'ALUMINIUM")</f>
        <v xml:space="preserve">   EN ALLIAGES D'ALUMINIUM</v>
      </c>
      <c r="C5019" s="4">
        <v>160</v>
      </c>
      <c r="D5019" s="4">
        <v>2399501</v>
      </c>
    </row>
    <row r="5020" spans="1:4" x14ac:dyDescent="0.25">
      <c r="A5020" t="str">
        <f>T("   760900")</f>
        <v xml:space="preserve">   760900</v>
      </c>
      <c r="B5020" t="str">
        <f>T("   ACCESSOIRES DE TUYAUTERIE (RACCORDS, COUDES, MANCHONS, PAR EXEMPLE), EN ALUMINIUM.")</f>
        <v xml:space="preserve">   ACCESSOIRES DE TUYAUTERIE (RACCORDS, COUDES, MANCHONS, PAR EXEMPLE), EN ALUMINIUM.</v>
      </c>
      <c r="C5020" s="4">
        <v>1444</v>
      </c>
      <c r="D5020" s="4">
        <v>2508803</v>
      </c>
    </row>
    <row r="5021" spans="1:4" x14ac:dyDescent="0.25">
      <c r="A5021" t="str">
        <f>T("   761010")</f>
        <v xml:space="preserve">   761010</v>
      </c>
      <c r="B5021" t="str">
        <f>T("   PORTES, FENETRES ET LEURS CADRES, CHAMBRANLES ET SEUILS")</f>
        <v xml:space="preserve">   PORTES, FENETRES ET LEURS CADRES, CHAMBRANLES ET SEUILS</v>
      </c>
      <c r="C5021" s="4">
        <v>5672.67</v>
      </c>
      <c r="D5021" s="4">
        <v>22030778</v>
      </c>
    </row>
    <row r="5022" spans="1:4" x14ac:dyDescent="0.25">
      <c r="A5022" t="str">
        <f>T("   761090")</f>
        <v xml:space="preserve">   761090</v>
      </c>
      <c r="B5022" t="str">
        <f>T("   AUTRES")</f>
        <v xml:space="preserve">   AUTRES</v>
      </c>
      <c r="C5022" s="4">
        <v>12975</v>
      </c>
      <c r="D5022" s="4">
        <v>18743011</v>
      </c>
    </row>
    <row r="5023" spans="1:4" x14ac:dyDescent="0.25">
      <c r="A5023" t="str">
        <f>T("   761100")</f>
        <v xml:space="preserve">   761100</v>
      </c>
      <c r="B5023" t="str">
        <f>T("   RESERVOIRS, FOUDRES, CUVES ET RECIPIENTS SIMILAIRES POUR TOUTES MATIERES (A L'EXCEPTION")</f>
        <v xml:space="preserve">   RESERVOIRS, FOUDRES, CUVES ET RECIPIENTS SIMILAIRES POUR TOUTES MATIERES (A L'EXCEPTION</v>
      </c>
      <c r="C5023" s="4">
        <v>58</v>
      </c>
      <c r="D5023" s="4">
        <v>873581</v>
      </c>
    </row>
    <row r="5024" spans="1:4" x14ac:dyDescent="0.25">
      <c r="A5024" t="str">
        <f>T("   761290")</f>
        <v xml:space="preserve">   761290</v>
      </c>
      <c r="B5024" t="str">
        <f>T("   AUTRES")</f>
        <v xml:space="preserve">   AUTRES</v>
      </c>
      <c r="C5024" s="4">
        <v>4723</v>
      </c>
      <c r="D5024" s="4">
        <v>6159345</v>
      </c>
    </row>
    <row r="5025" spans="1:4" x14ac:dyDescent="0.25">
      <c r="A5025" t="str">
        <f>T("   761511")</f>
        <v xml:space="preserve">   761511</v>
      </c>
      <c r="B5025" t="str">
        <f>T("   EPONGES,TORCHONS,GANTS,SIMILAIRES POUR RECURAGE POLISSAGE ETC.EN ALUMINIUM")</f>
        <v xml:space="preserve">   EPONGES,TORCHONS,GANTS,SIMILAIRES POUR RECURAGE POLISSAGE ETC.EN ALUMINIUM</v>
      </c>
      <c r="C5025" s="4">
        <v>51</v>
      </c>
      <c r="D5025" s="4">
        <v>60686</v>
      </c>
    </row>
    <row r="5026" spans="1:4" x14ac:dyDescent="0.25">
      <c r="A5026" t="str">
        <f>T("   761519")</f>
        <v xml:space="preserve">   761519</v>
      </c>
      <c r="B5026" t="str">
        <f>T("   AUTRES ARTICLES DE MENAGES OU D'ECONOMIE DOMESTIQUE EN ALUMINIUM")</f>
        <v xml:space="preserve">   AUTRES ARTICLES DE MENAGES OU D'ECONOMIE DOMESTIQUE EN ALUMINIUM</v>
      </c>
      <c r="C5026" s="4">
        <v>8870</v>
      </c>
      <c r="D5026" s="4">
        <v>35663880</v>
      </c>
    </row>
    <row r="5027" spans="1:4" x14ac:dyDescent="0.25">
      <c r="A5027" t="str">
        <f>T("   761520")</f>
        <v xml:space="preserve">   761520</v>
      </c>
      <c r="B5027" t="str">
        <f>T("   ARTICLES D'HYGIENE OU DE TOILETTE ET LEURS PARTIES")</f>
        <v xml:space="preserve">   ARTICLES D'HYGIENE OU DE TOILETTE ET LEURS PARTIES</v>
      </c>
      <c r="C5027" s="4">
        <v>3341</v>
      </c>
      <c r="D5027" s="4">
        <v>5529845</v>
      </c>
    </row>
    <row r="5028" spans="1:4" x14ac:dyDescent="0.25">
      <c r="A5028" t="str">
        <f>T("   761610")</f>
        <v xml:space="preserve">   761610</v>
      </c>
      <c r="B5028" t="str">
        <f>T("   POINTES, CLOUS, CRAMPONS APPOINTES, VIS, BOULONS, ECROUS, CROCHETS A PAS DE VIS, RIVE")</f>
        <v xml:space="preserve">   POINTES, CLOUS, CRAMPONS APPOINTES, VIS, BOULONS, ECROUS, CROCHETS A PAS DE VIS, RIVE</v>
      </c>
      <c r="C5028" s="4">
        <v>4369</v>
      </c>
      <c r="D5028" s="4">
        <v>32597932</v>
      </c>
    </row>
    <row r="5029" spans="1:4" x14ac:dyDescent="0.25">
      <c r="A5029" t="str">
        <f>T("   761699")</f>
        <v xml:space="preserve">   761699</v>
      </c>
      <c r="B5029" t="str">
        <f>T("   AUTRES")</f>
        <v xml:space="preserve">   AUTRES</v>
      </c>
      <c r="C5029" s="4">
        <v>16230.55</v>
      </c>
      <c r="D5029" s="4">
        <v>57379281</v>
      </c>
    </row>
    <row r="5030" spans="1:4" x14ac:dyDescent="0.25">
      <c r="A5030" t="str">
        <f>T("   780200")</f>
        <v xml:space="preserve">   780200</v>
      </c>
      <c r="B5030" t="str">
        <f>T("   DECHETS ET DEBRIS DE PLOMB.")</f>
        <v xml:space="preserve">   DECHETS ET DEBRIS DE PLOMB.</v>
      </c>
      <c r="C5030" s="4">
        <v>10</v>
      </c>
      <c r="D5030" s="4">
        <v>10000</v>
      </c>
    </row>
    <row r="5031" spans="1:4" x14ac:dyDescent="0.25">
      <c r="A5031" t="str">
        <f>T("   780600")</f>
        <v xml:space="preserve">   780600</v>
      </c>
      <c r="B5031" t="str">
        <f>T("   AUTRES OUVRAGES EN PLOMB.")</f>
        <v xml:space="preserve">   AUTRES OUVRAGES EN PLOMB.</v>
      </c>
      <c r="C5031" s="4">
        <v>1</v>
      </c>
      <c r="D5031" s="4">
        <v>20735</v>
      </c>
    </row>
    <row r="5032" spans="1:4" x14ac:dyDescent="0.25">
      <c r="A5032" t="str">
        <f>T("   790500")</f>
        <v xml:space="preserve">   790500</v>
      </c>
      <c r="B5032" t="str">
        <f>T("   TOLES, FEUILLES ET BANDES, EN ZINC.")</f>
        <v xml:space="preserve">   TOLES, FEUILLES ET BANDES, EN ZINC.</v>
      </c>
      <c r="C5032" s="4">
        <v>2</v>
      </c>
      <c r="D5032" s="4">
        <v>68876</v>
      </c>
    </row>
    <row r="5033" spans="1:4" x14ac:dyDescent="0.25">
      <c r="A5033" t="str">
        <f>T("   810199")</f>
        <v xml:space="preserve">   810199</v>
      </c>
      <c r="B5033" t="str">
        <f>T("   AUTRES")</f>
        <v xml:space="preserve">   AUTRES</v>
      </c>
      <c r="C5033" s="4">
        <v>3562</v>
      </c>
      <c r="D5033" s="4">
        <v>13767385</v>
      </c>
    </row>
    <row r="5034" spans="1:4" x14ac:dyDescent="0.25">
      <c r="A5034" t="str">
        <f>T("   810890")</f>
        <v xml:space="preserve">   810890</v>
      </c>
      <c r="B5034" t="str">
        <f>T("   AUTRES")</f>
        <v xml:space="preserve">   AUTRES</v>
      </c>
      <c r="C5034" s="4">
        <v>14</v>
      </c>
      <c r="D5034" s="4">
        <v>368131</v>
      </c>
    </row>
    <row r="5035" spans="1:4" x14ac:dyDescent="0.25">
      <c r="A5035" t="str">
        <f>T("   810990")</f>
        <v xml:space="preserve">   810990</v>
      </c>
      <c r="B5035" t="str">
        <f>T("   AUTRES")</f>
        <v xml:space="preserve">   AUTRES</v>
      </c>
      <c r="C5035" s="4">
        <v>5</v>
      </c>
      <c r="D5035" s="4">
        <v>1166842</v>
      </c>
    </row>
    <row r="5036" spans="1:4" x14ac:dyDescent="0.25">
      <c r="A5036" t="str">
        <f>T("   811100")</f>
        <v xml:space="preserve">   811100</v>
      </c>
      <c r="B5036" t="str">
        <f>T("   MANGANESE ET OUVRAGES EN MANGANESE, Y COMPRIS LES DECHETS ET DEBRIS.")</f>
        <v xml:space="preserve">   MANGANESE ET OUVRAGES EN MANGANESE, Y COMPRIS LES DECHETS ET DEBRIS.</v>
      </c>
      <c r="C5036" s="4">
        <v>1</v>
      </c>
      <c r="D5036" s="4">
        <v>22361</v>
      </c>
    </row>
    <row r="5037" spans="1:4" x14ac:dyDescent="0.25">
      <c r="A5037" t="str">
        <f>T("   820110")</f>
        <v xml:space="preserve">   820110</v>
      </c>
      <c r="B5037" t="str">
        <f>T("   Beches et pelles")</f>
        <v xml:space="preserve">   Beches et pelles</v>
      </c>
      <c r="C5037" s="4">
        <v>6</v>
      </c>
      <c r="D5037" s="4">
        <v>213108</v>
      </c>
    </row>
    <row r="5038" spans="1:4" x14ac:dyDescent="0.25">
      <c r="A5038" t="str">
        <f>T("   820190")</f>
        <v xml:space="preserve">   820190</v>
      </c>
      <c r="B5038" t="str">
        <f>T("   AUTRES OUTILS AGRICOLES, HORTICOLES OU FORESTIERS, A MAIN")</f>
        <v xml:space="preserve">   AUTRES OUTILS AGRICOLES, HORTICOLES OU FORESTIERS, A MAIN</v>
      </c>
      <c r="C5038" s="4">
        <v>1339</v>
      </c>
      <c r="D5038" s="4">
        <v>567832</v>
      </c>
    </row>
    <row r="5039" spans="1:4" x14ac:dyDescent="0.25">
      <c r="A5039" t="str">
        <f>T("   820210")</f>
        <v xml:space="preserve">   820210</v>
      </c>
      <c r="B5039" t="str">
        <f>T("   Scies a main")</f>
        <v xml:space="preserve">   Scies a main</v>
      </c>
      <c r="C5039" s="4">
        <v>64</v>
      </c>
      <c r="D5039" s="4">
        <v>513407</v>
      </c>
    </row>
    <row r="5040" spans="1:4" x14ac:dyDescent="0.25">
      <c r="A5040" t="str">
        <f>T("   820220")</f>
        <v xml:space="preserve">   820220</v>
      </c>
      <c r="B5040" t="str">
        <f>T("   LAMES DE SCIES A RUBAN")</f>
        <v xml:space="preserve">   LAMES DE SCIES A RUBAN</v>
      </c>
      <c r="C5040" s="4">
        <v>12</v>
      </c>
      <c r="D5040" s="4">
        <v>236306</v>
      </c>
    </row>
    <row r="5041" spans="1:4" x14ac:dyDescent="0.25">
      <c r="A5041" t="str">
        <f>T("   820291")</f>
        <v xml:space="preserve">   820291</v>
      </c>
      <c r="B5041" t="str">
        <f>T("   LAMES DE SCIES DROITES, POUR LE TRAVAIL DES METAUX")</f>
        <v xml:space="preserve">   LAMES DE SCIES DROITES, POUR LE TRAVAIL DES METAUX</v>
      </c>
      <c r="C5041" s="4">
        <v>171</v>
      </c>
      <c r="D5041" s="4">
        <v>584047</v>
      </c>
    </row>
    <row r="5042" spans="1:4" x14ac:dyDescent="0.25">
      <c r="A5042" t="str">
        <f>T("   820299")</f>
        <v xml:space="preserve">   820299</v>
      </c>
      <c r="B5042" t="str">
        <f>T("   AUTRES")</f>
        <v xml:space="preserve">   AUTRES</v>
      </c>
      <c r="C5042" s="4">
        <v>25</v>
      </c>
      <c r="D5042" s="4">
        <v>888170</v>
      </c>
    </row>
    <row r="5043" spans="1:4" x14ac:dyDescent="0.25">
      <c r="A5043" t="str">
        <f>T("   820310")</f>
        <v xml:space="preserve">   820310</v>
      </c>
      <c r="B5043" t="str">
        <f>T("   LIMES, RAPES ET OUTILS SIMILAIRES")</f>
        <v xml:space="preserve">   LIMES, RAPES ET OUTILS SIMILAIRES</v>
      </c>
      <c r="C5043" s="4">
        <v>3</v>
      </c>
      <c r="D5043" s="4">
        <v>76459</v>
      </c>
    </row>
    <row r="5044" spans="1:4" x14ac:dyDescent="0.25">
      <c r="A5044" t="str">
        <f>T("   820320")</f>
        <v xml:space="preserve">   820320</v>
      </c>
      <c r="B5044" t="str">
        <f>T("   PINCES (MEME COUPANTES), TENAILLES, BRUCELLES ET OUTILS SIMILAIRES")</f>
        <v xml:space="preserve">   PINCES (MEME COUPANTES), TENAILLES, BRUCELLES ET OUTILS SIMILAIRES</v>
      </c>
      <c r="C5044" s="4">
        <v>1710</v>
      </c>
      <c r="D5044" s="4">
        <v>6940771</v>
      </c>
    </row>
    <row r="5045" spans="1:4" x14ac:dyDescent="0.25">
      <c r="A5045" t="str">
        <f>T("   820330")</f>
        <v xml:space="preserve">   820330</v>
      </c>
      <c r="B5045" t="str">
        <f>T("   CISAILLES A METAUX ET OUTILS SIMILAIRES")</f>
        <v xml:space="preserve">   CISAILLES A METAUX ET OUTILS SIMILAIRES</v>
      </c>
      <c r="C5045" s="4">
        <v>250</v>
      </c>
      <c r="D5045" s="4">
        <v>6894907</v>
      </c>
    </row>
    <row r="5046" spans="1:4" x14ac:dyDescent="0.25">
      <c r="A5046" t="str">
        <f>T("   820340")</f>
        <v xml:space="preserve">   820340</v>
      </c>
      <c r="B5046" t="str">
        <f>T("   COUPETUBES, COUPEBOULONS, EMPORTEPIECE ET OUTILS SIMILAIRES")</f>
        <v xml:space="preserve">   COUPETUBES, COUPEBOULONS, EMPORTEPIECE ET OUTILS SIMILAIRES</v>
      </c>
      <c r="C5046" s="4">
        <v>1705</v>
      </c>
      <c r="D5046" s="4">
        <v>1583586</v>
      </c>
    </row>
    <row r="5047" spans="1:4" x14ac:dyDescent="0.25">
      <c r="A5047" t="str">
        <f>T("   820411")</f>
        <v xml:space="preserve">   820411</v>
      </c>
      <c r="B5047" t="str">
        <f>T("   A OUVERTURE FIXE")</f>
        <v xml:space="preserve">   A OUVERTURE FIXE</v>
      </c>
      <c r="C5047" s="4">
        <v>860</v>
      </c>
      <c r="D5047" s="4">
        <v>26813321</v>
      </c>
    </row>
    <row r="5048" spans="1:4" x14ac:dyDescent="0.25">
      <c r="A5048" t="str">
        <f>T("   820412")</f>
        <v xml:space="preserve">   820412</v>
      </c>
      <c r="B5048" t="str">
        <f>T("   A OUVERTURE VARIABLE")</f>
        <v xml:space="preserve">   A OUVERTURE VARIABLE</v>
      </c>
      <c r="C5048" s="4">
        <v>603</v>
      </c>
      <c r="D5048" s="4">
        <v>12940055</v>
      </c>
    </row>
    <row r="5049" spans="1:4" x14ac:dyDescent="0.25">
      <c r="A5049" t="str">
        <f>T("   820420")</f>
        <v xml:space="preserve">   820420</v>
      </c>
      <c r="B5049" t="str">
        <f>T("   DOUILLES DE SERRAGE INTERCHANGEABLES, MEME AVEC MANCHES")</f>
        <v xml:space="preserve">   DOUILLES DE SERRAGE INTERCHANGEABLES, MEME AVEC MANCHES</v>
      </c>
      <c r="C5049" s="4">
        <v>465</v>
      </c>
      <c r="D5049" s="4">
        <v>2902888</v>
      </c>
    </row>
    <row r="5050" spans="1:4" x14ac:dyDescent="0.25">
      <c r="A5050" t="str">
        <f>T("   820510")</f>
        <v xml:space="preserve">   820510</v>
      </c>
      <c r="B5050" t="str">
        <f>T("   OUTILS DE PERCAGE, DE FILETAGE OU DE TARAUDAGE")</f>
        <v xml:space="preserve">   OUTILS DE PERCAGE, DE FILETAGE OU DE TARAUDAGE</v>
      </c>
      <c r="C5050" s="4">
        <v>71</v>
      </c>
      <c r="D5050" s="4">
        <v>775958</v>
      </c>
    </row>
    <row r="5051" spans="1:4" x14ac:dyDescent="0.25">
      <c r="A5051" t="str">
        <f>T("   820520")</f>
        <v xml:space="preserve">   820520</v>
      </c>
      <c r="B5051" t="str">
        <f>T("   MARTEAUX ET MASSES")</f>
        <v xml:space="preserve">   MARTEAUX ET MASSES</v>
      </c>
      <c r="C5051" s="4">
        <v>876</v>
      </c>
      <c r="D5051" s="4">
        <v>10505626</v>
      </c>
    </row>
    <row r="5052" spans="1:4" x14ac:dyDescent="0.25">
      <c r="A5052" t="str">
        <f>T("   820540")</f>
        <v xml:space="preserve">   820540</v>
      </c>
      <c r="B5052" t="str">
        <f>T("   TOURNEVIS")</f>
        <v xml:space="preserve">   TOURNEVIS</v>
      </c>
      <c r="C5052" s="4">
        <v>767.18</v>
      </c>
      <c r="D5052" s="4">
        <v>8363921</v>
      </c>
    </row>
    <row r="5053" spans="1:4" x14ac:dyDescent="0.25">
      <c r="A5053" t="str">
        <f>T("   820551")</f>
        <v xml:space="preserve">   820551</v>
      </c>
      <c r="B5053" t="str">
        <f>T("   D'ECONOMIE DOMESTIQUE")</f>
        <v xml:space="preserve">   D'ECONOMIE DOMESTIQUE</v>
      </c>
      <c r="C5053" s="4">
        <v>914</v>
      </c>
      <c r="D5053" s="4">
        <v>7331666</v>
      </c>
    </row>
    <row r="5054" spans="1:4" x14ac:dyDescent="0.25">
      <c r="A5054" t="str">
        <f>T("   820559")</f>
        <v xml:space="preserve">   820559</v>
      </c>
      <c r="B5054" t="str">
        <f>T("   AUTRES")</f>
        <v xml:space="preserve">   AUTRES</v>
      </c>
      <c r="C5054" s="4">
        <v>36888.29</v>
      </c>
      <c r="D5054" s="4">
        <v>84434412</v>
      </c>
    </row>
    <row r="5055" spans="1:4" x14ac:dyDescent="0.25">
      <c r="A5055" t="str">
        <f>T("   820560")</f>
        <v xml:space="preserve">   820560</v>
      </c>
      <c r="B5055" t="str">
        <f>T("   LAMPES A SOUDER ET SIMILAIRES")</f>
        <v xml:space="preserve">   LAMPES A SOUDER ET SIMILAIRES</v>
      </c>
      <c r="C5055" s="4">
        <v>1579</v>
      </c>
      <c r="D5055" s="4">
        <v>280095</v>
      </c>
    </row>
    <row r="5056" spans="1:4" x14ac:dyDescent="0.25">
      <c r="A5056" t="str">
        <f>T("   820570")</f>
        <v xml:space="preserve">   820570</v>
      </c>
      <c r="B5056" t="str">
        <f>T("   ETAUX, SERREJOINTS ET SIMILAIRES")</f>
        <v xml:space="preserve">   ETAUX, SERREJOINTS ET SIMILAIRES</v>
      </c>
      <c r="C5056" s="4">
        <v>35.549999999999997</v>
      </c>
      <c r="D5056" s="4">
        <v>78099</v>
      </c>
    </row>
    <row r="5057" spans="1:4" x14ac:dyDescent="0.25">
      <c r="A5057" t="str">
        <f>T("   820580")</f>
        <v xml:space="preserve">   820580</v>
      </c>
      <c r="B5057" t="str">
        <f>T("   ENCLUMES, FORGES PORTATIVES, MEULES AVEC BATIS, A MAIN OU A PEDALE")</f>
        <v xml:space="preserve">   ENCLUMES, FORGES PORTATIVES, MEULES AVEC BATIS, A MAIN OU A PEDALE</v>
      </c>
      <c r="C5057" s="4">
        <v>184</v>
      </c>
      <c r="D5057" s="4">
        <v>921283</v>
      </c>
    </row>
    <row r="5058" spans="1:4" x14ac:dyDescent="0.25">
      <c r="A5058" t="str">
        <f>T("   820590")</f>
        <v xml:space="preserve">   820590</v>
      </c>
      <c r="B5058" t="str">
        <f>T("   AUTRES, Y COMPRIS LES ASSORTIMENTS D'ARTICLES D'AU MOINS DEUX DES SOUSPOSITIONS DE L")</f>
        <v xml:space="preserve">   AUTRES, Y COMPRIS LES ASSORTIMENTS D'ARTICLES D'AU MOINS DEUX DES SOUSPOSITIONS DE L</v>
      </c>
      <c r="C5058" s="4">
        <v>3123.05</v>
      </c>
      <c r="D5058" s="4">
        <v>813744</v>
      </c>
    </row>
    <row r="5059" spans="1:4" x14ac:dyDescent="0.25">
      <c r="A5059" t="str">
        <f>T("   820600")</f>
        <v xml:space="preserve">   820600</v>
      </c>
      <c r="B5059" t="str">
        <f>T("   OUTILS D'AU MOINS DEUX DES N°S 82.02 A 82.05, CONDITIONNES EN ASSORTIMENTS POUR LA VENT")</f>
        <v xml:space="preserve">   OUTILS D'AU MOINS DEUX DES N°S 82.02 A 82.05, CONDITIONNES EN ASSORTIMENTS POUR LA VENT</v>
      </c>
      <c r="C5059" s="4">
        <v>2397.52</v>
      </c>
      <c r="D5059" s="4">
        <v>36825817</v>
      </c>
    </row>
    <row r="5060" spans="1:4" x14ac:dyDescent="0.25">
      <c r="A5060" t="str">
        <f>T("   820719")</f>
        <v xml:space="preserve">   820719</v>
      </c>
      <c r="B5060" t="str">
        <f>T("   AUTRES, Y COMPRIS LES PARTIES")</f>
        <v xml:space="preserve">   AUTRES, Y COMPRIS LES PARTIES</v>
      </c>
      <c r="C5060" s="4">
        <v>2167</v>
      </c>
      <c r="D5060" s="4">
        <v>18210257</v>
      </c>
    </row>
    <row r="5061" spans="1:4" x14ac:dyDescent="0.25">
      <c r="A5061" t="str">
        <f>T("   820720")</f>
        <v xml:space="preserve">   820720</v>
      </c>
      <c r="B5061" t="str">
        <f>T("   FILIERES POUR L'ETIRAGE OU LE FILAGE (EXTRUSION) DES METAUX")</f>
        <v xml:space="preserve">   FILIERES POUR L'ETIRAGE OU LE FILAGE (EXTRUSION) DES METAUX</v>
      </c>
      <c r="C5061" s="4">
        <v>15</v>
      </c>
      <c r="D5061" s="4">
        <v>567163</v>
      </c>
    </row>
    <row r="5062" spans="1:4" x14ac:dyDescent="0.25">
      <c r="A5062" t="str">
        <f>T("   820730")</f>
        <v xml:space="preserve">   820730</v>
      </c>
      <c r="B5062" t="str">
        <f>T("   OUTILS A EMBOUTIR, A ESTAMPER OU A POINCONNER")</f>
        <v xml:space="preserve">   OUTILS A EMBOUTIR, A ESTAMPER OU A POINCONNER</v>
      </c>
      <c r="C5062" s="4">
        <v>1</v>
      </c>
      <c r="D5062" s="4">
        <v>545496</v>
      </c>
    </row>
    <row r="5063" spans="1:4" x14ac:dyDescent="0.25">
      <c r="A5063" t="str">
        <f>T("   820740")</f>
        <v xml:space="preserve">   820740</v>
      </c>
      <c r="B5063" t="str">
        <f>T("   OUTILS A TARAUDER OU A FILETER")</f>
        <v xml:space="preserve">   OUTILS A TARAUDER OU A FILETER</v>
      </c>
      <c r="C5063" s="4">
        <v>22</v>
      </c>
      <c r="D5063" s="4">
        <v>1046489</v>
      </c>
    </row>
    <row r="5064" spans="1:4" x14ac:dyDescent="0.25">
      <c r="A5064" t="str">
        <f>T("   820750")</f>
        <v xml:space="preserve">   820750</v>
      </c>
      <c r="B5064" t="str">
        <f>T("   OUTILS A PERCER")</f>
        <v xml:space="preserve">   OUTILS A PERCER</v>
      </c>
      <c r="C5064" s="4">
        <v>2282</v>
      </c>
      <c r="D5064" s="4">
        <v>10421918</v>
      </c>
    </row>
    <row r="5065" spans="1:4" x14ac:dyDescent="0.25">
      <c r="A5065" t="str">
        <f>T("   820770")</f>
        <v xml:space="preserve">   820770</v>
      </c>
      <c r="B5065" t="str">
        <f>T("   OUTILS A FRAISER")</f>
        <v xml:space="preserve">   OUTILS A FRAISER</v>
      </c>
      <c r="C5065" s="4">
        <v>41</v>
      </c>
      <c r="D5065" s="4">
        <v>1021950</v>
      </c>
    </row>
    <row r="5066" spans="1:4" x14ac:dyDescent="0.25">
      <c r="A5066" t="str">
        <f>T("   820790")</f>
        <v xml:space="preserve">   820790</v>
      </c>
      <c r="B5066" t="str">
        <f>T("   AUTRES OUTILS INTERCHANGEABLES")</f>
        <v xml:space="preserve">   AUTRES OUTILS INTERCHANGEABLES</v>
      </c>
      <c r="C5066" s="4">
        <v>2095.04</v>
      </c>
      <c r="D5066" s="4">
        <v>38007379</v>
      </c>
    </row>
    <row r="5067" spans="1:4" x14ac:dyDescent="0.25">
      <c r="A5067" t="str">
        <f>T("   820830")</f>
        <v xml:space="preserve">   820830</v>
      </c>
      <c r="B5067" t="str">
        <f>T("   POUR APPAREILS DE CUISINE OU POUR MACHINES POUR L'INDUSTRIE ALIMENTAIRE")</f>
        <v xml:space="preserve">   POUR APPAREILS DE CUISINE OU POUR MACHINES POUR L'INDUSTRIE ALIMENTAIRE</v>
      </c>
      <c r="C5067" s="4">
        <v>4</v>
      </c>
      <c r="D5067" s="4">
        <v>86009</v>
      </c>
    </row>
    <row r="5068" spans="1:4" x14ac:dyDescent="0.25">
      <c r="A5068" t="str">
        <f>T("   820890")</f>
        <v xml:space="preserve">   820890</v>
      </c>
      <c r="B5068" t="str">
        <f>T("   AUTRES")</f>
        <v xml:space="preserve">   AUTRES</v>
      </c>
      <c r="C5068" s="4">
        <v>89.6</v>
      </c>
      <c r="D5068" s="4">
        <v>483791</v>
      </c>
    </row>
    <row r="5069" spans="1:4" x14ac:dyDescent="0.25">
      <c r="A5069" t="str">
        <f>T("   821000")</f>
        <v xml:space="preserve">   821000</v>
      </c>
      <c r="B5069" t="str">
        <f>T("   APPAREILS MECANIQUES ACTIONNES A LA MAIN, D'UN POIDS DE 10 KG OU MOINS, UTILISES POUR P")</f>
        <v xml:space="preserve">   APPAREILS MECANIQUES ACTIONNES A LA MAIN, D'UN POIDS DE 10 KG OU MOINS, UTILISES POUR P</v>
      </c>
      <c r="C5069" s="4">
        <v>393</v>
      </c>
      <c r="D5069" s="4">
        <v>1887854</v>
      </c>
    </row>
    <row r="5070" spans="1:4" x14ac:dyDescent="0.25">
      <c r="A5070" t="str">
        <f>T("   821192")</f>
        <v xml:space="preserve">   821192</v>
      </c>
      <c r="B5070" t="str">
        <f>T("   AUTRES COUTEAUX A LAME FIXE")</f>
        <v xml:space="preserve">   AUTRES COUTEAUX A LAME FIXE</v>
      </c>
      <c r="C5070" s="4">
        <v>11</v>
      </c>
      <c r="D5070" s="4">
        <v>135128</v>
      </c>
    </row>
    <row r="5071" spans="1:4" x14ac:dyDescent="0.25">
      <c r="A5071" t="str">
        <f>T("   821194")</f>
        <v xml:space="preserve">   821194</v>
      </c>
      <c r="B5071" t="str">
        <f>T("   LAMES")</f>
        <v xml:space="preserve">   LAMES</v>
      </c>
      <c r="C5071" s="4">
        <v>34</v>
      </c>
      <c r="D5071" s="4">
        <v>32437</v>
      </c>
    </row>
    <row r="5072" spans="1:4" x14ac:dyDescent="0.25">
      <c r="A5072" t="str">
        <f>T("   821210")</f>
        <v xml:space="preserve">   821210</v>
      </c>
      <c r="B5072" t="str">
        <f>T("   RASOIRS")</f>
        <v xml:space="preserve">   RASOIRS</v>
      </c>
      <c r="C5072" s="4">
        <v>354</v>
      </c>
      <c r="D5072" s="4">
        <v>3077108</v>
      </c>
    </row>
    <row r="5073" spans="1:4" x14ac:dyDescent="0.25">
      <c r="A5073" t="str">
        <f>T("   821300")</f>
        <v xml:space="preserve">   821300</v>
      </c>
      <c r="B5073" t="str">
        <f>T("   CISEAUX A DOUBLES BRANCHES ET LEURS LAMES.")</f>
        <v xml:space="preserve">   CISEAUX A DOUBLES BRANCHES ET LEURS LAMES.</v>
      </c>
      <c r="C5073" s="4">
        <v>173</v>
      </c>
      <c r="D5073" s="4">
        <v>211574</v>
      </c>
    </row>
    <row r="5074" spans="1:4" x14ac:dyDescent="0.25">
      <c r="A5074" t="str">
        <f>T("   821410")</f>
        <v xml:space="preserve">   821410</v>
      </c>
      <c r="B5074" t="str">
        <f>T("   COUPEPAPIER, OUVRELETTRES, GRATTOIRS, TAILLECRAYONS ET LEURS LAMES")</f>
        <v xml:space="preserve">   COUPEPAPIER, OUVRELETTRES, GRATTOIRS, TAILLECRAYONS ET LEURS LAMES</v>
      </c>
      <c r="C5074" s="4">
        <v>42</v>
      </c>
      <c r="D5074" s="4">
        <v>515840</v>
      </c>
    </row>
    <row r="5075" spans="1:4" x14ac:dyDescent="0.25">
      <c r="A5075" t="str">
        <f>T("   821420")</f>
        <v xml:space="preserve">   821420</v>
      </c>
      <c r="B5075" t="str">
        <f>T("   OUTILS ET ASSORTIMENTS D'OUTILS DE MANUCURES OU DE PEDICURES (Y COMPRIS LES LIMES A O")</f>
        <v xml:space="preserve">   OUTILS ET ASSORTIMENTS D'OUTILS DE MANUCURES OU DE PEDICURES (Y COMPRIS LES LIMES A O</v>
      </c>
      <c r="C5075" s="4">
        <v>194.2</v>
      </c>
      <c r="D5075" s="4">
        <v>5201988</v>
      </c>
    </row>
    <row r="5076" spans="1:4" x14ac:dyDescent="0.25">
      <c r="A5076" t="str">
        <f>T("   821490")</f>
        <v xml:space="preserve">   821490</v>
      </c>
      <c r="B5076" t="str">
        <f>T("   AUTRES")</f>
        <v xml:space="preserve">   AUTRES</v>
      </c>
      <c r="C5076" s="4">
        <v>1205</v>
      </c>
      <c r="D5076" s="4">
        <v>162180</v>
      </c>
    </row>
    <row r="5077" spans="1:4" x14ac:dyDescent="0.25">
      <c r="A5077" t="str">
        <f>T("   821510")</f>
        <v xml:space="preserve">   821510</v>
      </c>
      <c r="B5077" t="str">
        <f>T("   ASSORTIMENTS CONTENANT AU MOINS UN OBJET ARGENTE, DORE OU PLATINE")</f>
        <v xml:space="preserve">   ASSORTIMENTS CONTENANT AU MOINS UN OBJET ARGENTE, DORE OU PLATINE</v>
      </c>
      <c r="C5077" s="4">
        <v>1384</v>
      </c>
      <c r="D5077" s="4">
        <v>22468775</v>
      </c>
    </row>
    <row r="5078" spans="1:4" x14ac:dyDescent="0.25">
      <c r="A5078" t="str">
        <f>T("   821520")</f>
        <v xml:space="preserve">   821520</v>
      </c>
      <c r="B5078" t="str">
        <f>T("   AUTRES ASSORTIMENTS")</f>
        <v xml:space="preserve">   AUTRES ASSORTIMENTS</v>
      </c>
      <c r="C5078" s="4">
        <v>1828</v>
      </c>
      <c r="D5078" s="4">
        <v>5012191</v>
      </c>
    </row>
    <row r="5079" spans="1:4" x14ac:dyDescent="0.25">
      <c r="A5079" t="str">
        <f>T("   821599")</f>
        <v xml:space="preserve">   821599</v>
      </c>
      <c r="B5079" t="str">
        <f>T("   AUTRES")</f>
        <v xml:space="preserve">   AUTRES</v>
      </c>
      <c r="C5079" s="4">
        <v>1359</v>
      </c>
      <c r="D5079" s="4">
        <v>5642567</v>
      </c>
    </row>
    <row r="5080" spans="1:4" x14ac:dyDescent="0.25">
      <c r="A5080" t="str">
        <f>T("   830110")</f>
        <v xml:space="preserve">   830110</v>
      </c>
      <c r="B5080" t="str">
        <f>T("   CADENAS")</f>
        <v xml:space="preserve">   CADENAS</v>
      </c>
      <c r="C5080" s="4">
        <v>1292.18</v>
      </c>
      <c r="D5080" s="4">
        <v>7254054</v>
      </c>
    </row>
    <row r="5081" spans="1:4" x14ac:dyDescent="0.25">
      <c r="A5081" t="str">
        <f>T("   830120")</f>
        <v xml:space="preserve">   830120</v>
      </c>
      <c r="B5081" t="str">
        <f>T("   SERRURES DES TYPES UTILISES POUR VEHICULES AUTOMOBILES")</f>
        <v xml:space="preserve">   SERRURES DES TYPES UTILISES POUR VEHICULES AUTOMOBILES</v>
      </c>
      <c r="C5081" s="4">
        <v>43</v>
      </c>
      <c r="D5081" s="4">
        <v>528879</v>
      </c>
    </row>
    <row r="5082" spans="1:4" x14ac:dyDescent="0.25">
      <c r="A5082" t="str">
        <f>T("   830140")</f>
        <v xml:space="preserve">   830140</v>
      </c>
      <c r="B5082" t="str">
        <f>T("   AUTRES SERRURES; VERROUS")</f>
        <v xml:space="preserve">   AUTRES SERRURES; VERROUS</v>
      </c>
      <c r="C5082" s="4">
        <v>18849.96</v>
      </c>
      <c r="D5082" s="4">
        <v>85369397</v>
      </c>
    </row>
    <row r="5083" spans="1:4" x14ac:dyDescent="0.25">
      <c r="A5083" t="str">
        <f>T("   830150")</f>
        <v xml:space="preserve">   830150</v>
      </c>
      <c r="B5083" t="str">
        <f>T("   FERMOIRS ET MONTURESFERMOIRS COMPORTANT UNE SERRURE")</f>
        <v xml:space="preserve">   FERMOIRS ET MONTURESFERMOIRS COMPORTANT UNE SERRURE</v>
      </c>
      <c r="C5083" s="4">
        <v>264</v>
      </c>
      <c r="D5083" s="4">
        <v>1036642</v>
      </c>
    </row>
    <row r="5084" spans="1:4" x14ac:dyDescent="0.25">
      <c r="A5084" t="str">
        <f>T("   830160")</f>
        <v xml:space="preserve">   830160</v>
      </c>
      <c r="B5084" t="str">
        <f>T("   PARTIES")</f>
        <v xml:space="preserve">   PARTIES</v>
      </c>
      <c r="C5084" s="4">
        <v>1502.86</v>
      </c>
      <c r="D5084" s="4">
        <v>10638595</v>
      </c>
    </row>
    <row r="5085" spans="1:4" x14ac:dyDescent="0.25">
      <c r="A5085" t="str">
        <f>T("   830170")</f>
        <v xml:space="preserve">   830170</v>
      </c>
      <c r="B5085" t="str">
        <f>T("   CLEFS PRESENTEES ISOLEMENT")</f>
        <v xml:space="preserve">   CLEFS PRESENTEES ISOLEMENT</v>
      </c>
      <c r="C5085" s="4">
        <v>387</v>
      </c>
      <c r="D5085" s="4">
        <v>13558693</v>
      </c>
    </row>
    <row r="5086" spans="1:4" x14ac:dyDescent="0.25">
      <c r="A5086" t="str">
        <f>T("   830210")</f>
        <v xml:space="preserve">   830210</v>
      </c>
      <c r="B5086" t="str">
        <f>T("   CHARNIERES DE TOUS GENRES (Y COMPRIS LES PAUMELLES ET PENTURES)")</f>
        <v xml:space="preserve">   CHARNIERES DE TOUS GENRES (Y COMPRIS LES PAUMELLES ET PENTURES)</v>
      </c>
      <c r="C5086" s="4">
        <v>3402</v>
      </c>
      <c r="D5086" s="4">
        <v>24258386</v>
      </c>
    </row>
    <row r="5087" spans="1:4" x14ac:dyDescent="0.25">
      <c r="A5087" t="str">
        <f>T("   830220")</f>
        <v xml:space="preserve">   830220</v>
      </c>
      <c r="B5087" t="str">
        <f>T("   ROULETTES")</f>
        <v xml:space="preserve">   ROULETTES</v>
      </c>
      <c r="C5087" s="4">
        <v>1131</v>
      </c>
      <c r="D5087" s="4">
        <v>12748648</v>
      </c>
    </row>
    <row r="5088" spans="1:4" x14ac:dyDescent="0.25">
      <c r="A5088" t="str">
        <f>T("   830230")</f>
        <v xml:space="preserve">   830230</v>
      </c>
      <c r="B5088" t="str">
        <f>T("   AUTRES GARNITURES, FERRURES ET ARTICLES SIMILAIRES POUR VEHICULES AUTOMOBILES")</f>
        <v xml:space="preserve">   AUTRES GARNITURES, FERRURES ET ARTICLES SIMILAIRES POUR VEHICULES AUTOMOBILES</v>
      </c>
      <c r="C5088" s="4">
        <v>992.5</v>
      </c>
      <c r="D5088" s="4">
        <v>15032529</v>
      </c>
    </row>
    <row r="5089" spans="1:4" x14ac:dyDescent="0.25">
      <c r="A5089" t="str">
        <f>T("   830241")</f>
        <v xml:space="preserve">   830241</v>
      </c>
      <c r="B5089" t="str">
        <f>T("   POUR BATIMENTS")</f>
        <v xml:space="preserve">   POUR BATIMENTS</v>
      </c>
      <c r="C5089" s="4">
        <v>3149</v>
      </c>
      <c r="D5089" s="4">
        <v>23234326</v>
      </c>
    </row>
    <row r="5090" spans="1:4" x14ac:dyDescent="0.25">
      <c r="A5090" t="str">
        <f>T("   830242")</f>
        <v xml:space="preserve">   830242</v>
      </c>
      <c r="B5090" t="str">
        <f>T("   AUTRES, POUR MEUBLES")</f>
        <v xml:space="preserve">   AUTRES, POUR MEUBLES</v>
      </c>
      <c r="C5090" s="4">
        <v>98</v>
      </c>
      <c r="D5090" s="4">
        <v>116105</v>
      </c>
    </row>
    <row r="5091" spans="1:4" x14ac:dyDescent="0.25">
      <c r="A5091" t="str">
        <f>T("   830249")</f>
        <v xml:space="preserve">   830249</v>
      </c>
      <c r="B5091" t="str">
        <f>T("   AUTRES")</f>
        <v xml:space="preserve">   AUTRES</v>
      </c>
      <c r="C5091" s="4">
        <v>1384</v>
      </c>
      <c r="D5091" s="4">
        <v>11350417</v>
      </c>
    </row>
    <row r="5092" spans="1:4" x14ac:dyDescent="0.25">
      <c r="A5092" t="str">
        <f>T("   830250")</f>
        <v xml:space="preserve">   830250</v>
      </c>
      <c r="B5092" t="str">
        <f>T("   PATERES, PORTECHAPEAUX, SUPPORTS ET ARTICLES SIMILAIRES")</f>
        <v xml:space="preserve">   PATERES, PORTECHAPEAUX, SUPPORTS ET ARTICLES SIMILAIRES</v>
      </c>
      <c r="C5092" s="4">
        <v>1342</v>
      </c>
      <c r="D5092" s="4">
        <v>5405134</v>
      </c>
    </row>
    <row r="5093" spans="1:4" x14ac:dyDescent="0.25">
      <c r="A5093" t="str">
        <f>T("   830260")</f>
        <v xml:space="preserve">   830260</v>
      </c>
      <c r="B5093" t="str">
        <f>T("   FERMEPORTES AUTOMATIQUES")</f>
        <v xml:space="preserve">   FERMEPORTES AUTOMATIQUES</v>
      </c>
      <c r="C5093" s="4">
        <v>7</v>
      </c>
      <c r="D5093" s="4">
        <v>37364</v>
      </c>
    </row>
    <row r="5094" spans="1:4" x14ac:dyDescent="0.25">
      <c r="A5094" t="str">
        <f>T("   830300")</f>
        <v xml:space="preserve">   830300</v>
      </c>
      <c r="B5094" t="str">
        <f>T("   COFFRESFORTS, PORTES BLINDEES ET COMPARTIMENTS POUR CHAMBRES FORTES, COFFRES ET CASSET")</f>
        <v xml:space="preserve">   COFFRESFORTS, PORTES BLINDEES ET COMPARTIMENTS POUR CHAMBRES FORTES, COFFRES ET CASSET</v>
      </c>
      <c r="C5094" s="4">
        <v>18211</v>
      </c>
      <c r="D5094" s="4">
        <v>35813011</v>
      </c>
    </row>
    <row r="5095" spans="1:4" x14ac:dyDescent="0.25">
      <c r="A5095" t="str">
        <f>T("   830400")</f>
        <v xml:space="preserve">   830400</v>
      </c>
      <c r="B5095" t="str">
        <f>T("   CLASSEURS, FICHIERS, BOITES DE CLASSEMENT, PORTECOPIES, PLUMIERS, PORTECACHETS ET MAT")</f>
        <v xml:space="preserve">   CLASSEURS, FICHIERS, BOITES DE CLASSEMENT, PORTECOPIES, PLUMIERS, PORTECACHETS ET MAT</v>
      </c>
      <c r="C5095" s="4">
        <v>7310</v>
      </c>
      <c r="D5095" s="4">
        <v>22659313</v>
      </c>
    </row>
    <row r="5096" spans="1:4" x14ac:dyDescent="0.25">
      <c r="A5096" t="str">
        <f>T("   830520")</f>
        <v xml:space="preserve">   830520</v>
      </c>
      <c r="B5096" t="str">
        <f>T("   AGRAFES PRESENTEES EN BARRETTES")</f>
        <v xml:space="preserve">   AGRAFES PRESENTEES EN BARRETTES</v>
      </c>
      <c r="C5096" s="4">
        <v>1010</v>
      </c>
      <c r="D5096" s="4">
        <v>3998846</v>
      </c>
    </row>
    <row r="5097" spans="1:4" x14ac:dyDescent="0.25">
      <c r="A5097" t="str">
        <f>T("   830590")</f>
        <v xml:space="preserve">   830590</v>
      </c>
      <c r="B5097" t="str">
        <f>T("   AUTRES, Y COMPRIS LES PARTIES")</f>
        <v xml:space="preserve">   AUTRES, Y COMPRIS LES PARTIES</v>
      </c>
      <c r="C5097" s="4">
        <v>12.7</v>
      </c>
      <c r="D5097" s="4">
        <v>219129</v>
      </c>
    </row>
    <row r="5098" spans="1:4" x14ac:dyDescent="0.25">
      <c r="A5098" t="str">
        <f>T("   830610")</f>
        <v xml:space="preserve">   830610</v>
      </c>
      <c r="B5098" t="str">
        <f>T("   CLOCHES, SONNETTES, GONGS ET ARTICLES SIMILAIRES")</f>
        <v xml:space="preserve">   CLOCHES, SONNETTES, GONGS ET ARTICLES SIMILAIRES</v>
      </c>
      <c r="C5098" s="4">
        <v>2.73</v>
      </c>
      <c r="D5098" s="4">
        <v>120336</v>
      </c>
    </row>
    <row r="5099" spans="1:4" x14ac:dyDescent="0.25">
      <c r="A5099" t="str">
        <f>T("   830629")</f>
        <v xml:space="preserve">   830629</v>
      </c>
      <c r="B5099" t="str">
        <f>T("   AUTRES")</f>
        <v xml:space="preserve">   AUTRES</v>
      </c>
      <c r="C5099" s="4">
        <v>120</v>
      </c>
      <c r="D5099" s="4">
        <v>495178</v>
      </c>
    </row>
    <row r="5100" spans="1:4" x14ac:dyDescent="0.25">
      <c r="A5100" t="str">
        <f>T("   830710")</f>
        <v xml:space="preserve">   830710</v>
      </c>
      <c r="B5100" t="str">
        <f>T("   EN FER OU EN ACIER")</f>
        <v xml:space="preserve">   EN FER OU EN ACIER</v>
      </c>
      <c r="C5100" s="4">
        <v>2884</v>
      </c>
      <c r="D5100" s="4">
        <v>41152880</v>
      </c>
    </row>
    <row r="5101" spans="1:4" x14ac:dyDescent="0.25">
      <c r="A5101" t="str">
        <f>T("   830790")</f>
        <v xml:space="preserve">   830790</v>
      </c>
      <c r="B5101" t="str">
        <f>T("   EN AUTRES METAUX COMMUNS")</f>
        <v xml:space="preserve">   EN AUTRES METAUX COMMUNS</v>
      </c>
      <c r="C5101" s="4">
        <v>1557</v>
      </c>
      <c r="D5101" s="4">
        <v>2666523</v>
      </c>
    </row>
    <row r="5102" spans="1:4" x14ac:dyDescent="0.25">
      <c r="A5102" t="str">
        <f>T("   830810")</f>
        <v xml:space="preserve">   830810</v>
      </c>
      <c r="B5102" t="str">
        <f>T("   AGRAFES, CROCHETS ET œILLETS")</f>
        <v xml:space="preserve">   AGRAFES, CROCHETS ET œILLETS</v>
      </c>
      <c r="C5102" s="4">
        <v>624</v>
      </c>
      <c r="D5102" s="4">
        <v>217779</v>
      </c>
    </row>
    <row r="5103" spans="1:4" x14ac:dyDescent="0.25">
      <c r="A5103" t="str">
        <f>T("   830910")</f>
        <v xml:space="preserve">   830910</v>
      </c>
      <c r="B5103" t="str">
        <f>T("   BOUCHONSCOURONNES")</f>
        <v xml:space="preserve">   BOUCHONSCOURONNES</v>
      </c>
      <c r="C5103" s="4">
        <v>566540</v>
      </c>
      <c r="D5103" s="4">
        <v>1037255427</v>
      </c>
    </row>
    <row r="5104" spans="1:4" x14ac:dyDescent="0.25">
      <c r="A5104" t="str">
        <f>T("   830990")</f>
        <v xml:space="preserve">   830990</v>
      </c>
      <c r="B5104" t="str">
        <f>T("   AUTRES")</f>
        <v xml:space="preserve">   AUTRES</v>
      </c>
      <c r="C5104" s="4">
        <v>1153.5</v>
      </c>
      <c r="D5104" s="4">
        <v>17748920</v>
      </c>
    </row>
    <row r="5105" spans="1:4" x14ac:dyDescent="0.25">
      <c r="A5105" t="str">
        <f>T("   831000")</f>
        <v xml:space="preserve">   831000</v>
      </c>
      <c r="B5105" t="str">
        <f>T("   PLAQUES INDICATRICES, PLAQUESENSEIGNES, PLAQUESADRESSES ET PLAQUES SIMILAIRES, CHIFFR")</f>
        <v xml:space="preserve">   PLAQUES INDICATRICES, PLAQUESENSEIGNES, PLAQUESADRESSES ET PLAQUES SIMILAIRES, CHIFFR</v>
      </c>
      <c r="C5105" s="4">
        <v>269</v>
      </c>
      <c r="D5105" s="4">
        <v>28981</v>
      </c>
    </row>
    <row r="5106" spans="1:4" x14ac:dyDescent="0.25">
      <c r="A5106" t="str">
        <f>T("   831110")</f>
        <v xml:space="preserve">   831110</v>
      </c>
      <c r="B5106" t="str">
        <f>T("   ELECTRODES ENROBEES POUR LE SOUDAGE A L'ARC, EN METAUX COMMUNS")</f>
        <v xml:space="preserve">   ELECTRODES ENROBEES POUR LE SOUDAGE A L'ARC, EN METAUX COMMUNS</v>
      </c>
      <c r="C5106" s="4">
        <v>1012</v>
      </c>
      <c r="D5106" s="4">
        <v>8194573</v>
      </c>
    </row>
    <row r="5107" spans="1:4" x14ac:dyDescent="0.25">
      <c r="A5107" t="str">
        <f>T("   831130")</f>
        <v xml:space="preserve">   831130</v>
      </c>
      <c r="B5107" t="str">
        <f>T("   BAGUETTES ENROBEES ET FILS FOURRES POUR LE BRASAGE OU LE SOUDAGE A LA FLAMME, EN META")</f>
        <v xml:space="preserve">   BAGUETTES ENROBEES ET FILS FOURRES POUR LE BRASAGE OU LE SOUDAGE A LA FLAMME, EN META</v>
      </c>
      <c r="C5107" s="4">
        <v>310</v>
      </c>
      <c r="D5107" s="4">
        <v>2706490</v>
      </c>
    </row>
    <row r="5108" spans="1:4" x14ac:dyDescent="0.25">
      <c r="A5108" t="str">
        <f>T("   831190")</f>
        <v xml:space="preserve">   831190</v>
      </c>
      <c r="B5108" t="str">
        <f>T("   AUTRES")</f>
        <v xml:space="preserve">   AUTRES</v>
      </c>
      <c r="C5108" s="4">
        <v>1789</v>
      </c>
      <c r="D5108" s="4">
        <v>18432356</v>
      </c>
    </row>
    <row r="5109" spans="1:4" x14ac:dyDescent="0.25">
      <c r="A5109" t="str">
        <f>T("   840290")</f>
        <v xml:space="preserve">   840290</v>
      </c>
      <c r="B5109" t="str">
        <f>T("   PARTIES")</f>
        <v xml:space="preserve">   PARTIES</v>
      </c>
      <c r="C5109" s="4">
        <v>774</v>
      </c>
      <c r="D5109" s="4">
        <v>14159280</v>
      </c>
    </row>
    <row r="5110" spans="1:4" x14ac:dyDescent="0.25">
      <c r="A5110" t="str">
        <f>T("   840490")</f>
        <v xml:space="preserve">   840490</v>
      </c>
      <c r="B5110" t="str">
        <f>T("   PARTIES")</f>
        <v xml:space="preserve">   PARTIES</v>
      </c>
      <c r="C5110" s="4">
        <v>494</v>
      </c>
      <c r="D5110" s="4">
        <v>353930</v>
      </c>
    </row>
    <row r="5111" spans="1:4" x14ac:dyDescent="0.25">
      <c r="A5111" t="str">
        <f>T("   840721")</f>
        <v xml:space="preserve">   840721</v>
      </c>
      <c r="B5111" t="str">
        <f>T("   DU TYPE HORSBORD")</f>
        <v xml:space="preserve">   DU TYPE HORSBORD</v>
      </c>
      <c r="C5111" s="4">
        <v>9360.99</v>
      </c>
      <c r="D5111" s="4">
        <v>141316907</v>
      </c>
    </row>
    <row r="5112" spans="1:4" x14ac:dyDescent="0.25">
      <c r="A5112" t="str">
        <f>T("   840729")</f>
        <v xml:space="preserve">   840729</v>
      </c>
      <c r="B5112" t="str">
        <f>T("   AUTRES")</f>
        <v xml:space="preserve">   AUTRES</v>
      </c>
      <c r="C5112" s="4">
        <v>19336</v>
      </c>
      <c r="D5112" s="4">
        <v>4596154</v>
      </c>
    </row>
    <row r="5113" spans="1:4" x14ac:dyDescent="0.25">
      <c r="A5113" t="str">
        <f>T("   840732")</f>
        <v xml:space="preserve">   840732</v>
      </c>
      <c r="B5113" t="str">
        <f>T("   D'UNE CYLINDREE EXCEDANT 50 CM³ MAIS N'EXCEDANT PAS 250 CM³")</f>
        <v xml:space="preserve">   D'UNE CYLINDREE EXCEDANT 50 CM³ MAIS N'EXCEDANT PAS 250 CM³</v>
      </c>
      <c r="C5113" s="4">
        <v>5750</v>
      </c>
      <c r="D5113" s="4">
        <v>2265000</v>
      </c>
    </row>
    <row r="5114" spans="1:4" x14ac:dyDescent="0.25">
      <c r="A5114" t="str">
        <f>T("   840733")</f>
        <v xml:space="preserve">   840733</v>
      </c>
      <c r="B5114" t="str">
        <f>T("   D'UNE CYLINDREE EXCEDANT 250 CM³ MAIS N'EXCEDANT PAS 1.000 CM³")</f>
        <v xml:space="preserve">   D'UNE CYLINDREE EXCEDANT 250 CM³ MAIS N'EXCEDANT PAS 1.000 CM³</v>
      </c>
      <c r="C5114" s="4">
        <v>1213</v>
      </c>
      <c r="D5114" s="4">
        <v>6696701</v>
      </c>
    </row>
    <row r="5115" spans="1:4" x14ac:dyDescent="0.25">
      <c r="A5115" t="str">
        <f>T("   840790")</f>
        <v xml:space="preserve">   840790</v>
      </c>
      <c r="B5115" t="str">
        <f>T("   AUTRES MOTEURS")</f>
        <v xml:space="preserve">   AUTRES MOTEURS</v>
      </c>
      <c r="C5115" s="4">
        <v>9300</v>
      </c>
      <c r="D5115" s="4">
        <v>2293801</v>
      </c>
    </row>
    <row r="5116" spans="1:4" x14ac:dyDescent="0.25">
      <c r="A5116" t="str">
        <f>T("   840820")</f>
        <v xml:space="preserve">   840820</v>
      </c>
      <c r="B5116" t="str">
        <f>T("   MOTEURS DES TYPES UTILISES POUR LA PROPULSION DE VEHICULES DU CHAPITRE 87")</f>
        <v xml:space="preserve">   MOTEURS DES TYPES UTILISES POUR LA PROPULSION DE VEHICULES DU CHAPITRE 87</v>
      </c>
      <c r="C5116" s="4">
        <v>2947</v>
      </c>
      <c r="D5116" s="4">
        <v>5225957</v>
      </c>
    </row>
    <row r="5117" spans="1:4" x14ac:dyDescent="0.25">
      <c r="A5117" t="str">
        <f>T("   840890")</f>
        <v xml:space="preserve">   840890</v>
      </c>
      <c r="B5117" t="str">
        <f>T("   AUTRES MOTEURS")</f>
        <v xml:space="preserve">   AUTRES MOTEURS</v>
      </c>
      <c r="C5117" s="4">
        <v>7476</v>
      </c>
      <c r="D5117" s="4">
        <v>109874058</v>
      </c>
    </row>
    <row r="5118" spans="1:4" x14ac:dyDescent="0.25">
      <c r="A5118" t="str">
        <f>T("   840991")</f>
        <v xml:space="preserve">   840991</v>
      </c>
      <c r="B5118" t="str">
        <f>T("   RECONNAISSABLES COMME ETANT EXCLUSIVEMENT OU PRINCIPALEMENT DESTINEES AUX MOTEURS A")</f>
        <v xml:space="preserve">   RECONNAISSABLES COMME ETANT EXCLUSIVEMENT OU PRINCIPALEMENT DESTINEES AUX MOTEURS A</v>
      </c>
      <c r="C5118" s="4">
        <v>22</v>
      </c>
      <c r="D5118" s="4">
        <v>714340</v>
      </c>
    </row>
    <row r="5119" spans="1:4" x14ac:dyDescent="0.25">
      <c r="A5119" t="str">
        <f>T("   840999")</f>
        <v xml:space="preserve">   840999</v>
      </c>
      <c r="B5119" t="str">
        <f>T("   AUTRES")</f>
        <v xml:space="preserve">   AUTRES</v>
      </c>
      <c r="C5119" s="4">
        <v>17042.2</v>
      </c>
      <c r="D5119" s="4">
        <v>179420047</v>
      </c>
    </row>
    <row r="5120" spans="1:4" x14ac:dyDescent="0.25">
      <c r="A5120" t="str">
        <f>T("   841090")</f>
        <v xml:space="preserve">   841090</v>
      </c>
      <c r="B5120" t="str">
        <f>T("   PARTIES, Y COMPRIS LES REGULATEURS")</f>
        <v xml:space="preserve">   PARTIES, Y COMPRIS LES REGULATEURS</v>
      </c>
      <c r="C5120" s="4">
        <v>10</v>
      </c>
      <c r="D5120" s="4">
        <v>65596</v>
      </c>
    </row>
    <row r="5121" spans="1:4" x14ac:dyDescent="0.25">
      <c r="A5121" t="str">
        <f>T("   841221")</f>
        <v xml:space="preserve">   841221</v>
      </c>
      <c r="B5121" t="str">
        <f>T("   A MOUVEMENT RECTILIGNE (CYLINDRES)")</f>
        <v xml:space="preserve">   A MOUVEMENT RECTILIGNE (CYLINDRES)</v>
      </c>
      <c r="C5121" s="4">
        <v>81</v>
      </c>
      <c r="D5121" s="4">
        <v>2941521</v>
      </c>
    </row>
    <row r="5122" spans="1:4" x14ac:dyDescent="0.25">
      <c r="A5122" t="str">
        <f>T("   841229")</f>
        <v xml:space="preserve">   841229</v>
      </c>
      <c r="B5122" t="str">
        <f>T("   AUTRES")</f>
        <v xml:space="preserve">   AUTRES</v>
      </c>
      <c r="C5122" s="4">
        <v>906</v>
      </c>
      <c r="D5122" s="4">
        <v>3392910</v>
      </c>
    </row>
    <row r="5123" spans="1:4" x14ac:dyDescent="0.25">
      <c r="A5123" t="str">
        <f>T("   841231")</f>
        <v xml:space="preserve">   841231</v>
      </c>
      <c r="B5123" t="str">
        <f>T("   A MOUVEMENT RECTILIGNE (CYLINDRES)")</f>
        <v xml:space="preserve">   A MOUVEMENT RECTILIGNE (CYLINDRES)</v>
      </c>
      <c r="C5123" s="4">
        <v>18</v>
      </c>
      <c r="D5123" s="4">
        <v>3656117</v>
      </c>
    </row>
    <row r="5124" spans="1:4" x14ac:dyDescent="0.25">
      <c r="A5124" t="str">
        <f>T("   841280")</f>
        <v xml:space="preserve">   841280</v>
      </c>
      <c r="B5124" t="str">
        <f>T("   AUTRES")</f>
        <v xml:space="preserve">   AUTRES</v>
      </c>
      <c r="C5124" s="4">
        <v>1413</v>
      </c>
      <c r="D5124" s="4">
        <v>20160465</v>
      </c>
    </row>
    <row r="5125" spans="1:4" x14ac:dyDescent="0.25">
      <c r="A5125" t="str">
        <f>T("   841290")</f>
        <v xml:space="preserve">   841290</v>
      </c>
      <c r="B5125" t="str">
        <f>T("   PARTIES")</f>
        <v xml:space="preserve">   PARTIES</v>
      </c>
      <c r="C5125" s="4">
        <v>780.3</v>
      </c>
      <c r="D5125" s="4">
        <v>1556420</v>
      </c>
    </row>
    <row r="5126" spans="1:4" x14ac:dyDescent="0.25">
      <c r="A5126" t="str">
        <f>T("   841311")</f>
        <v xml:space="preserve">   841311</v>
      </c>
      <c r="B5126" t="str">
        <f>T("   POMPES POUR LA DISTRIBUTION DE CARBURANTS OU DE LUBRIFIANTS, DES TYPES UTILISES DANS")</f>
        <v xml:space="preserve">   POMPES POUR LA DISTRIBUTION DE CARBURANTS OU DE LUBRIFIANTS, DES TYPES UTILISES DANS</v>
      </c>
      <c r="C5126" s="4">
        <v>1962</v>
      </c>
      <c r="D5126" s="4">
        <v>24336790</v>
      </c>
    </row>
    <row r="5127" spans="1:4" x14ac:dyDescent="0.25">
      <c r="A5127" t="str">
        <f>T("   841319")</f>
        <v xml:space="preserve">   841319</v>
      </c>
      <c r="B5127" t="str">
        <f>T("   AUTRES")</f>
        <v xml:space="preserve">   AUTRES</v>
      </c>
      <c r="C5127" s="4">
        <v>152</v>
      </c>
      <c r="D5127" s="4">
        <v>7827026</v>
      </c>
    </row>
    <row r="5128" spans="1:4" x14ac:dyDescent="0.25">
      <c r="A5128" t="str">
        <f>T("   841320")</f>
        <v xml:space="preserve">   841320</v>
      </c>
      <c r="B5128" t="str">
        <f>T("   POMPES ACTIONNEES A LA MAIN, AUTRES QUE CELLES DES N°S 8413.11 OU 8413.19")</f>
        <v xml:space="preserve">   POMPES ACTIONNEES A LA MAIN, AUTRES QUE CELLES DES N°S 8413.11 OU 8413.19</v>
      </c>
      <c r="C5128" s="4">
        <v>3151</v>
      </c>
      <c r="D5128" s="4">
        <v>6163762</v>
      </c>
    </row>
    <row r="5129" spans="1:4" x14ac:dyDescent="0.25">
      <c r="A5129" t="str">
        <f>T("   841330")</f>
        <v xml:space="preserve">   841330</v>
      </c>
      <c r="B5129" t="str">
        <f>T("   POMPES A CARBURANT, A HUILE OU A LIQUIDE DE REFROIDISSEMENT POUR MOTEURS A ALLUMAGE P")</f>
        <v xml:space="preserve">   POMPES A CARBURANT, A HUILE OU A LIQUIDE DE REFROIDISSEMENT POUR MOTEURS A ALLUMAGE P</v>
      </c>
      <c r="C5129" s="4">
        <v>1024.3</v>
      </c>
      <c r="D5129" s="4">
        <v>45744138</v>
      </c>
    </row>
    <row r="5130" spans="1:4" x14ac:dyDescent="0.25">
      <c r="A5130" t="str">
        <f>T("   841350")</f>
        <v xml:space="preserve">   841350</v>
      </c>
      <c r="B5130" t="str">
        <f>T("   Autres pompes volumetriques alternatives")</f>
        <v xml:space="preserve">   Autres pompes volumetriques alternatives</v>
      </c>
      <c r="C5130" s="4">
        <v>877</v>
      </c>
      <c r="D5130" s="4">
        <v>32763080</v>
      </c>
    </row>
    <row r="5131" spans="1:4" x14ac:dyDescent="0.25">
      <c r="A5131" t="str">
        <f>T("   841360")</f>
        <v xml:space="preserve">   841360</v>
      </c>
      <c r="B5131" t="str">
        <f>T("   Autres pompes volumetriques rotatives")</f>
        <v xml:space="preserve">   Autres pompes volumetriques rotatives</v>
      </c>
      <c r="C5131" s="4">
        <v>477</v>
      </c>
      <c r="D5131" s="4">
        <v>15215649</v>
      </c>
    </row>
    <row r="5132" spans="1:4" x14ac:dyDescent="0.25">
      <c r="A5132" t="str">
        <f>T("   841370")</f>
        <v xml:space="preserve">   841370</v>
      </c>
      <c r="B5132" t="str">
        <f>T("   Autres pompes centrifuges")</f>
        <v xml:space="preserve">   Autres pompes centrifuges</v>
      </c>
      <c r="C5132" s="4">
        <v>7447</v>
      </c>
      <c r="D5132" s="4">
        <v>131680433</v>
      </c>
    </row>
    <row r="5133" spans="1:4" x14ac:dyDescent="0.25">
      <c r="A5133" t="str">
        <f>T("   841381")</f>
        <v xml:space="preserve">   841381</v>
      </c>
      <c r="B5133" t="str">
        <f>T("   POMPES")</f>
        <v xml:space="preserve">   POMPES</v>
      </c>
      <c r="C5133" s="4">
        <v>19993.16</v>
      </c>
      <c r="D5133" s="4">
        <v>147440942</v>
      </c>
    </row>
    <row r="5134" spans="1:4" x14ac:dyDescent="0.25">
      <c r="A5134" t="str">
        <f>T("   841382")</f>
        <v xml:space="preserve">   841382</v>
      </c>
      <c r="B5134" t="str">
        <f>T("   ELEVATEURS A LIQUIDES")</f>
        <v xml:space="preserve">   ELEVATEURS A LIQUIDES</v>
      </c>
      <c r="C5134" s="4">
        <v>975</v>
      </c>
      <c r="D5134" s="4">
        <v>14314718</v>
      </c>
    </row>
    <row r="5135" spans="1:4" x14ac:dyDescent="0.25">
      <c r="A5135" t="str">
        <f>T("   841391")</f>
        <v xml:space="preserve">   841391</v>
      </c>
      <c r="B5135" t="str">
        <f>T("   DE POMPES")</f>
        <v xml:space="preserve">   DE POMPES</v>
      </c>
      <c r="C5135" s="4">
        <v>1358</v>
      </c>
      <c r="D5135" s="4">
        <v>71600282</v>
      </c>
    </row>
    <row r="5136" spans="1:4" x14ac:dyDescent="0.25">
      <c r="A5136" t="str">
        <f>T("   841392")</f>
        <v xml:space="preserve">   841392</v>
      </c>
      <c r="B5136" t="str">
        <f>T("   D'ELEVATEURS A LIQUIDES")</f>
        <v xml:space="preserve">   D'ELEVATEURS A LIQUIDES</v>
      </c>
      <c r="C5136" s="4">
        <v>22</v>
      </c>
      <c r="D5136" s="4">
        <v>560846</v>
      </c>
    </row>
    <row r="5137" spans="1:4" x14ac:dyDescent="0.25">
      <c r="A5137" t="str">
        <f>T("   841410")</f>
        <v xml:space="preserve">   841410</v>
      </c>
      <c r="B5137" t="str">
        <f>T("   Pompes a vide")</f>
        <v xml:space="preserve">   Pompes a vide</v>
      </c>
      <c r="C5137" s="4">
        <v>5478</v>
      </c>
      <c r="D5137" s="4">
        <v>40755865</v>
      </c>
    </row>
    <row r="5138" spans="1:4" x14ac:dyDescent="0.25">
      <c r="A5138" t="str">
        <f>T("   841420")</f>
        <v xml:space="preserve">   841420</v>
      </c>
      <c r="B5138" t="str">
        <f>T("   POMPES A AIR, A MAIN OU A PIED")</f>
        <v xml:space="preserve">   POMPES A AIR, A MAIN OU A PIED</v>
      </c>
      <c r="C5138" s="4">
        <v>22.68</v>
      </c>
      <c r="D5138" s="4">
        <v>3471965</v>
      </c>
    </row>
    <row r="5139" spans="1:4" x14ac:dyDescent="0.25">
      <c r="A5139" t="str">
        <f>T("   841430")</f>
        <v xml:space="preserve">   841430</v>
      </c>
      <c r="B5139" t="str">
        <f>T("   COMPRESSEURS DES TYPES UTILISES DANS LES EQUIPEMENTS FRIGORIFIQUES")</f>
        <v xml:space="preserve">   COMPRESSEURS DES TYPES UTILISES DANS LES EQUIPEMENTS FRIGORIFIQUES</v>
      </c>
      <c r="C5139" s="4">
        <v>3417.12</v>
      </c>
      <c r="D5139" s="4">
        <v>34233563</v>
      </c>
    </row>
    <row r="5140" spans="1:4" x14ac:dyDescent="0.25">
      <c r="A5140" t="str">
        <f>T("   841440")</f>
        <v xml:space="preserve">   841440</v>
      </c>
      <c r="B5140" t="str">
        <f>T("   COMPRESSEURS D'AIR MONTES SUR CHASSIS A ROUES ET REMORQUABLES")</f>
        <v xml:space="preserve">   COMPRESSEURS D'AIR MONTES SUR CHASSIS A ROUES ET REMORQUABLES</v>
      </c>
      <c r="C5140" s="4">
        <v>8449</v>
      </c>
      <c r="D5140" s="4">
        <v>109276804</v>
      </c>
    </row>
    <row r="5141" spans="1:4" x14ac:dyDescent="0.25">
      <c r="A5141" t="str">
        <f>T("   841451")</f>
        <v xml:space="preserve">   841451</v>
      </c>
      <c r="B5141" t="str">
        <f>T("   VENTILATEURS DE TABLE, DE SOL, MURAUX, PLAFONNIERS, DE TOITURES OU DE FENETRES, A MO")</f>
        <v xml:space="preserve">   VENTILATEURS DE TABLE, DE SOL, MURAUX, PLAFONNIERS, DE TOITURES OU DE FENETRES, A MO</v>
      </c>
      <c r="C5141" s="4">
        <v>388</v>
      </c>
      <c r="D5141" s="4">
        <v>1701303</v>
      </c>
    </row>
    <row r="5142" spans="1:4" x14ac:dyDescent="0.25">
      <c r="A5142" t="str">
        <f>T("   841459")</f>
        <v xml:space="preserve">   841459</v>
      </c>
      <c r="B5142" t="str">
        <f>T("   AUTRES")</f>
        <v xml:space="preserve">   AUTRES</v>
      </c>
      <c r="C5142" s="4">
        <v>4278</v>
      </c>
      <c r="D5142" s="4">
        <v>71818528</v>
      </c>
    </row>
    <row r="5143" spans="1:4" x14ac:dyDescent="0.25">
      <c r="A5143" t="str">
        <f>T("   841480")</f>
        <v xml:space="preserve">   841480</v>
      </c>
      <c r="B5143" t="str">
        <f>T("   AUTRES")</f>
        <v xml:space="preserve">   AUTRES</v>
      </c>
      <c r="C5143" s="4">
        <v>7090.22</v>
      </c>
      <c r="D5143" s="4">
        <v>43209737</v>
      </c>
    </row>
    <row r="5144" spans="1:4" x14ac:dyDescent="0.25">
      <c r="A5144" t="str">
        <f>T("   841490")</f>
        <v xml:space="preserve">   841490</v>
      </c>
      <c r="B5144" t="str">
        <f>T("   PARTIES")</f>
        <v xml:space="preserve">   PARTIES</v>
      </c>
      <c r="C5144" s="4">
        <v>3195.95</v>
      </c>
      <c r="D5144" s="4">
        <v>112588656</v>
      </c>
    </row>
    <row r="5145" spans="1:4" x14ac:dyDescent="0.25">
      <c r="A5145" t="str">
        <f>T("   841510")</f>
        <v xml:space="preserve">   841510</v>
      </c>
      <c r="B5145" t="str">
        <f>T("   DU TYPE MURAL OU POUR FENETRES, FORMANT UN SEUL CORPS OU DU TYPE «SPLITSYSTEM» (SYST")</f>
        <v xml:space="preserve">   DU TYPE MURAL OU POUR FENETRES, FORMANT UN SEUL CORPS OU DU TYPE «SPLITSYSTEM» (SYST</v>
      </c>
      <c r="C5145" s="4">
        <v>11849</v>
      </c>
      <c r="D5145" s="4">
        <v>15739405</v>
      </c>
    </row>
    <row r="5146" spans="1:4" x14ac:dyDescent="0.25">
      <c r="A5146" t="str">
        <f>T("   841582")</f>
        <v xml:space="preserve">   841582</v>
      </c>
      <c r="B5146" t="str">
        <f>T("   AUTRES, AVEC DISPOSITIF DE REFRIGERATION")</f>
        <v xml:space="preserve">   AUTRES, AVEC DISPOSITIF DE REFRIGERATION</v>
      </c>
      <c r="C5146" s="4">
        <v>15</v>
      </c>
      <c r="D5146" s="4">
        <v>732976</v>
      </c>
    </row>
    <row r="5147" spans="1:4" x14ac:dyDescent="0.25">
      <c r="A5147" t="str">
        <f>T("   841583")</f>
        <v xml:space="preserve">   841583</v>
      </c>
      <c r="B5147" t="str">
        <f>T("   SANS DISPOSITIF DE REFRIGERATION")</f>
        <v xml:space="preserve">   SANS DISPOSITIF DE REFRIGERATION</v>
      </c>
      <c r="C5147" s="4">
        <v>986</v>
      </c>
      <c r="D5147" s="4">
        <v>24708702</v>
      </c>
    </row>
    <row r="5148" spans="1:4" x14ac:dyDescent="0.25">
      <c r="A5148" t="str">
        <f>T("   841590")</f>
        <v xml:space="preserve">   841590</v>
      </c>
      <c r="B5148" t="str">
        <f>T("   PARTIES")</f>
        <v xml:space="preserve">   PARTIES</v>
      </c>
      <c r="C5148" s="4">
        <v>2100.2800000000002</v>
      </c>
      <c r="D5148" s="4">
        <v>32422541</v>
      </c>
    </row>
    <row r="5149" spans="1:4" x14ac:dyDescent="0.25">
      <c r="A5149" t="str">
        <f>T("   841630")</f>
        <v xml:space="preserve">   841630</v>
      </c>
      <c r="B5149" t="str">
        <f>T("   FOYERS AUTOMATIQUES, Y COMPRIS LEURS AVANTFOYERS, LEURS GRILLES MECANIQUES, LEURS DI")</f>
        <v xml:space="preserve">   FOYERS AUTOMATIQUES, Y COMPRIS LEURS AVANTFOYERS, LEURS GRILLES MECANIQUES, LEURS DI</v>
      </c>
      <c r="C5149" s="4">
        <v>404.64</v>
      </c>
      <c r="D5149" s="4">
        <v>132437</v>
      </c>
    </row>
    <row r="5150" spans="1:4" x14ac:dyDescent="0.25">
      <c r="A5150" t="str">
        <f>T("   841690")</f>
        <v xml:space="preserve">   841690</v>
      </c>
      <c r="B5150" t="str">
        <f>T("   PARTIES")</f>
        <v xml:space="preserve">   PARTIES</v>
      </c>
      <c r="C5150" s="4">
        <v>7638</v>
      </c>
      <c r="D5150" s="4">
        <v>50763513</v>
      </c>
    </row>
    <row r="5151" spans="1:4" x14ac:dyDescent="0.25">
      <c r="A5151" t="str">
        <f>T("   841720")</f>
        <v xml:space="preserve">   841720</v>
      </c>
      <c r="B5151" t="str">
        <f>T("   FOURS DE BOULANGERIE, DE PATISSERIE OU DE BISCUITERIE")</f>
        <v xml:space="preserve">   FOURS DE BOULANGERIE, DE PATISSERIE OU DE BISCUITERIE</v>
      </c>
      <c r="C5151" s="4">
        <v>1700</v>
      </c>
      <c r="D5151" s="4">
        <v>4655348</v>
      </c>
    </row>
    <row r="5152" spans="1:4" x14ac:dyDescent="0.25">
      <c r="A5152" t="str">
        <f>T("   841780")</f>
        <v xml:space="preserve">   841780</v>
      </c>
      <c r="B5152" t="str">
        <f>T("   AUTRES")</f>
        <v xml:space="preserve">   AUTRES</v>
      </c>
      <c r="C5152" s="4">
        <v>3865</v>
      </c>
      <c r="D5152" s="4">
        <v>11051983</v>
      </c>
    </row>
    <row r="5153" spans="1:4" x14ac:dyDescent="0.25">
      <c r="A5153" t="str">
        <f>T("   841790")</f>
        <v xml:space="preserve">   841790</v>
      </c>
      <c r="B5153" t="str">
        <f>T("   PARTIES")</f>
        <v xml:space="preserve">   PARTIES</v>
      </c>
      <c r="C5153" s="4">
        <v>4607</v>
      </c>
      <c r="D5153" s="4">
        <v>29276459</v>
      </c>
    </row>
    <row r="5154" spans="1:4" x14ac:dyDescent="0.25">
      <c r="A5154" t="str">
        <f>T("   841810")</f>
        <v xml:space="preserve">   841810</v>
      </c>
      <c r="B5154" t="str">
        <f>T("   COMBINAISONS DE REFRIGERATEURS ET DE CONGELATEURSCONSERVATEURS MUNIS DE PORTES EXTER")</f>
        <v xml:space="preserve">   COMBINAISONS DE REFRIGERATEURS ET DE CONGELATEURSCONSERVATEURS MUNIS DE PORTES EXTER</v>
      </c>
      <c r="C5154" s="4">
        <v>204550</v>
      </c>
      <c r="D5154" s="4">
        <v>147281313</v>
      </c>
    </row>
    <row r="5155" spans="1:4" x14ac:dyDescent="0.25">
      <c r="A5155" t="str">
        <f>T("   841821")</f>
        <v xml:space="preserve">   841821</v>
      </c>
      <c r="B5155" t="str">
        <f>T("   A COMPRESSION")</f>
        <v xml:space="preserve">   A COMPRESSION</v>
      </c>
      <c r="C5155" s="4">
        <v>9440</v>
      </c>
      <c r="D5155" s="4">
        <v>2091731</v>
      </c>
    </row>
    <row r="5156" spans="1:4" x14ac:dyDescent="0.25">
      <c r="A5156" t="str">
        <f>T("   841822")</f>
        <v xml:space="preserve">   841822</v>
      </c>
      <c r="B5156" t="str">
        <f>T("   REFRIGERATEURS MENAGERS ELECTRIQUES A ABSORPTION")</f>
        <v xml:space="preserve">   REFRIGERATEURS MENAGERS ELECTRIQUES A ABSORPTION</v>
      </c>
      <c r="C5156" s="4">
        <v>3350</v>
      </c>
      <c r="D5156" s="4">
        <v>2869496</v>
      </c>
    </row>
    <row r="5157" spans="1:4" x14ac:dyDescent="0.25">
      <c r="A5157" t="str">
        <f>T("   841829")</f>
        <v xml:space="preserve">   841829</v>
      </c>
      <c r="B5157" t="str">
        <f>T("   AUTRES")</f>
        <v xml:space="preserve">   AUTRES</v>
      </c>
      <c r="C5157" s="4">
        <v>153794.65</v>
      </c>
      <c r="D5157" s="4">
        <v>61632097</v>
      </c>
    </row>
    <row r="5158" spans="1:4" x14ac:dyDescent="0.25">
      <c r="A5158" t="str">
        <f>T("   841840")</f>
        <v xml:space="preserve">   841840</v>
      </c>
      <c r="B5158" t="str">
        <f>T("   MEUBLES CONGELATEURSCONSERVATEURS DU TYPE ARMOIRE, D'UNE CAPACITE N'EXCEDANT PAS 900")</f>
        <v xml:space="preserve">   MEUBLES CONGELATEURSCONSERVATEURS DU TYPE ARMOIRE, D'UNE CAPACITE N'EXCEDANT PAS 900</v>
      </c>
      <c r="C5158" s="4">
        <v>313</v>
      </c>
      <c r="D5158" s="4">
        <v>2741912</v>
      </c>
    </row>
    <row r="5159" spans="1:4" x14ac:dyDescent="0.25">
      <c r="A5159" t="str">
        <f>T("   841850")</f>
        <v xml:space="preserve">   841850</v>
      </c>
      <c r="B5159" t="str">
        <f>T("   AUTRES MEUBLES (COFFRES, ARMOIRES, VITRINES, COMPTOIRS ET SIMILAIRES), POUR LA CONSER")</f>
        <v xml:space="preserve">   AUTRES MEUBLES (COFFRES, ARMOIRES, VITRINES, COMPTOIRS ET SIMILAIRES), POUR LA CONSER</v>
      </c>
      <c r="C5159" s="4">
        <v>1621</v>
      </c>
      <c r="D5159" s="4">
        <v>4914148</v>
      </c>
    </row>
    <row r="5160" spans="1:4" x14ac:dyDescent="0.25">
      <c r="A5160" t="str">
        <f>T("   841869")</f>
        <v xml:space="preserve">   841869</v>
      </c>
      <c r="B5160" t="str">
        <f>T("   AUTRES")</f>
        <v xml:space="preserve">   AUTRES</v>
      </c>
      <c r="C5160" s="4">
        <v>5710</v>
      </c>
      <c r="D5160" s="4">
        <v>50246141</v>
      </c>
    </row>
    <row r="5161" spans="1:4" x14ac:dyDescent="0.25">
      <c r="A5161" t="str">
        <f>T("   841891")</f>
        <v xml:space="preserve">   841891</v>
      </c>
      <c r="B5161" t="str">
        <f>T("   Meubles concus pour recevoir un equipement pour la production du froid")</f>
        <v xml:space="preserve">   Meubles concus pour recevoir un equipement pour la production du froid</v>
      </c>
      <c r="C5161" s="4">
        <v>10500</v>
      </c>
      <c r="D5161" s="4">
        <v>10550814</v>
      </c>
    </row>
    <row r="5162" spans="1:4" x14ac:dyDescent="0.25">
      <c r="A5162" t="str">
        <f>T("   841899")</f>
        <v xml:space="preserve">   841899</v>
      </c>
      <c r="B5162" t="str">
        <f>T("   AUTRES")</f>
        <v xml:space="preserve">   AUTRES</v>
      </c>
      <c r="C5162" s="4">
        <v>140865.60000000001</v>
      </c>
      <c r="D5162" s="4">
        <v>289480733</v>
      </c>
    </row>
    <row r="5163" spans="1:4" x14ac:dyDescent="0.25">
      <c r="A5163" t="str">
        <f>T("   841911")</f>
        <v xml:space="preserve">   841911</v>
      </c>
      <c r="B5163" t="str">
        <f>T("   A CHAUFFAGE INSTANTANE, A GAZ")</f>
        <v xml:space="preserve">   A CHAUFFAGE INSTANTANE, A GAZ</v>
      </c>
      <c r="C5163" s="4">
        <v>2350</v>
      </c>
      <c r="D5163" s="4">
        <v>3568272</v>
      </c>
    </row>
    <row r="5164" spans="1:4" x14ac:dyDescent="0.25">
      <c r="A5164" t="str">
        <f>T("   841919")</f>
        <v xml:space="preserve">   841919</v>
      </c>
      <c r="B5164" t="str">
        <f>T("   AUTRES")</f>
        <v xml:space="preserve">   AUTRES</v>
      </c>
      <c r="C5164" s="4">
        <v>2500</v>
      </c>
      <c r="D5164" s="4">
        <v>1670000</v>
      </c>
    </row>
    <row r="5165" spans="1:4" x14ac:dyDescent="0.25">
      <c r="A5165" t="str">
        <f>T("   841920")</f>
        <v xml:space="preserve">   841920</v>
      </c>
      <c r="B5165" t="str">
        <f>T("   STERILISATEURS MEDICOCHIRURGICAUX OU DE LABORATOIRES")</f>
        <v xml:space="preserve">   STERILISATEURS MEDICOCHIRURGICAUX OU DE LABORATOIRES</v>
      </c>
      <c r="C5165" s="4">
        <v>643</v>
      </c>
      <c r="D5165" s="4">
        <v>5943313</v>
      </c>
    </row>
    <row r="5166" spans="1:4" x14ac:dyDescent="0.25">
      <c r="A5166" t="str">
        <f>T("   841939")</f>
        <v xml:space="preserve">   841939</v>
      </c>
      <c r="B5166" t="str">
        <f>T("   AUTRES")</f>
        <v xml:space="preserve">   AUTRES</v>
      </c>
      <c r="C5166" s="4">
        <v>32</v>
      </c>
      <c r="D5166" s="4">
        <v>431398</v>
      </c>
    </row>
    <row r="5167" spans="1:4" x14ac:dyDescent="0.25">
      <c r="A5167" t="str">
        <f>T("   841940")</f>
        <v xml:space="preserve">   841940</v>
      </c>
      <c r="B5167" t="str">
        <f>T("   APPAREILS DE DISTILLATION OU DE RECTIFICATION")</f>
        <v xml:space="preserve">   APPAREILS DE DISTILLATION OU DE RECTIFICATION</v>
      </c>
      <c r="C5167" s="4">
        <v>100</v>
      </c>
      <c r="D5167" s="4">
        <v>2828598</v>
      </c>
    </row>
    <row r="5168" spans="1:4" x14ac:dyDescent="0.25">
      <c r="A5168" t="str">
        <f>T("   841950")</f>
        <v xml:space="preserve">   841950</v>
      </c>
      <c r="B5168" t="str">
        <f>T("   Echangeurs de chaleur")</f>
        <v xml:space="preserve">   Echangeurs de chaleur</v>
      </c>
      <c r="C5168" s="4">
        <v>68</v>
      </c>
      <c r="D5168" s="4">
        <v>1662122</v>
      </c>
    </row>
    <row r="5169" spans="1:4" x14ac:dyDescent="0.25">
      <c r="A5169" t="str">
        <f>T("   841989")</f>
        <v xml:space="preserve">   841989</v>
      </c>
      <c r="B5169" t="str">
        <f>T("   AUTRES")</f>
        <v xml:space="preserve">   AUTRES</v>
      </c>
      <c r="C5169" s="4">
        <v>9503</v>
      </c>
      <c r="D5169" s="4">
        <v>16626749</v>
      </c>
    </row>
    <row r="5170" spans="1:4" x14ac:dyDescent="0.25">
      <c r="A5170" t="str">
        <f>T("   841990")</f>
        <v xml:space="preserve">   841990</v>
      </c>
      <c r="B5170" t="str">
        <f>T("   PARTIES")</f>
        <v xml:space="preserve">   PARTIES</v>
      </c>
      <c r="C5170" s="4">
        <v>70</v>
      </c>
      <c r="D5170" s="4">
        <v>382976</v>
      </c>
    </row>
    <row r="5171" spans="1:4" x14ac:dyDescent="0.25">
      <c r="A5171" t="str">
        <f>T("   842099")</f>
        <v xml:space="preserve">   842099</v>
      </c>
      <c r="B5171" t="str">
        <f>T("   AUTRES")</f>
        <v xml:space="preserve">   AUTRES</v>
      </c>
      <c r="C5171" s="4">
        <v>34</v>
      </c>
      <c r="D5171" s="4">
        <v>40500</v>
      </c>
    </row>
    <row r="5172" spans="1:4" x14ac:dyDescent="0.25">
      <c r="A5172" t="str">
        <f>T("   842119")</f>
        <v xml:space="preserve">   842119</v>
      </c>
      <c r="B5172" t="str">
        <f>T("   AUTRES")</f>
        <v xml:space="preserve">   AUTRES</v>
      </c>
      <c r="C5172" s="4">
        <v>296</v>
      </c>
      <c r="D5172" s="4">
        <v>8923647</v>
      </c>
    </row>
    <row r="5173" spans="1:4" x14ac:dyDescent="0.25">
      <c r="A5173" t="str">
        <f>T("   842121")</f>
        <v xml:space="preserve">   842121</v>
      </c>
      <c r="B5173" t="str">
        <f>T("   POUR LA FILTRATION OU L'EPURATION DES EAUX")</f>
        <v xml:space="preserve">   POUR LA FILTRATION OU L'EPURATION DES EAUX</v>
      </c>
      <c r="C5173" s="4">
        <v>17868</v>
      </c>
      <c r="D5173" s="4">
        <v>187994294</v>
      </c>
    </row>
    <row r="5174" spans="1:4" x14ac:dyDescent="0.25">
      <c r="A5174" t="str">
        <f>T("   842123")</f>
        <v xml:space="preserve">   842123</v>
      </c>
      <c r="B5174" t="str">
        <f>T("   POUR LA FILTRATION DES HUILES MINERALES DANS LES MOTEURS A ALLUMAGE PAR ETINCELLES O")</f>
        <v xml:space="preserve">   POUR LA FILTRATION DES HUILES MINERALES DANS LES MOTEURS A ALLUMAGE PAR ETINCELLES O</v>
      </c>
      <c r="C5174" s="4">
        <v>16961.099999999999</v>
      </c>
      <c r="D5174" s="4">
        <v>115295854</v>
      </c>
    </row>
    <row r="5175" spans="1:4" x14ac:dyDescent="0.25">
      <c r="A5175" t="str">
        <f>T("   842129")</f>
        <v xml:space="preserve">   842129</v>
      </c>
      <c r="B5175" t="str">
        <f>T("   AUTRES")</f>
        <v xml:space="preserve">   AUTRES</v>
      </c>
      <c r="C5175" s="4">
        <v>7402.6</v>
      </c>
      <c r="D5175" s="4">
        <v>73349053</v>
      </c>
    </row>
    <row r="5176" spans="1:4" x14ac:dyDescent="0.25">
      <c r="A5176" t="str">
        <f>T("   842131")</f>
        <v xml:space="preserve">   842131</v>
      </c>
      <c r="B5176" t="str">
        <f>T("   FILTRES D'ENTREE D'AIR POUR MOTEURS A ALLUMAGE PAR ETINCELLES OU PAR COMPRESSION")</f>
        <v xml:space="preserve">   FILTRES D'ENTREE D'AIR POUR MOTEURS A ALLUMAGE PAR ETINCELLES OU PAR COMPRESSION</v>
      </c>
      <c r="C5176" s="4">
        <v>6132</v>
      </c>
      <c r="D5176" s="4">
        <v>38893214</v>
      </c>
    </row>
    <row r="5177" spans="1:4" x14ac:dyDescent="0.25">
      <c r="A5177" t="str">
        <f>T("   842139")</f>
        <v xml:space="preserve">   842139</v>
      </c>
      <c r="B5177" t="str">
        <f>T("   AUTRES")</f>
        <v xml:space="preserve">   AUTRES</v>
      </c>
      <c r="C5177" s="4">
        <v>8555.86</v>
      </c>
      <c r="D5177" s="4">
        <v>129738307</v>
      </c>
    </row>
    <row r="5178" spans="1:4" x14ac:dyDescent="0.25">
      <c r="A5178" t="str">
        <f>T("   842191")</f>
        <v xml:space="preserve">   842191</v>
      </c>
      <c r="B5178" t="str">
        <f>T("   DE CENTRIFUGEUSES, Y COMPRIS D'ESSOREUSES CENTRIFUGES")</f>
        <v xml:space="preserve">   DE CENTRIFUGEUSES, Y COMPRIS D'ESSOREUSES CENTRIFUGES</v>
      </c>
      <c r="C5178" s="4">
        <v>162</v>
      </c>
      <c r="D5178" s="4">
        <v>4483853</v>
      </c>
    </row>
    <row r="5179" spans="1:4" x14ac:dyDescent="0.25">
      <c r="A5179" t="str">
        <f>T("   842199")</f>
        <v xml:space="preserve">   842199</v>
      </c>
      <c r="B5179" t="str">
        <f>T("   AUTRES")</f>
        <v xml:space="preserve">   AUTRES</v>
      </c>
      <c r="C5179" s="4">
        <v>10740.36</v>
      </c>
      <c r="D5179" s="4">
        <v>101464118</v>
      </c>
    </row>
    <row r="5180" spans="1:4" x14ac:dyDescent="0.25">
      <c r="A5180" t="str">
        <f>T("   842211")</f>
        <v xml:space="preserve">   842211</v>
      </c>
      <c r="B5180" t="str">
        <f>T("   DE TYPE MENAGER")</f>
        <v xml:space="preserve">   DE TYPE MENAGER</v>
      </c>
      <c r="C5180" s="4">
        <v>1240</v>
      </c>
      <c r="D5180" s="4">
        <v>1414500</v>
      </c>
    </row>
    <row r="5181" spans="1:4" x14ac:dyDescent="0.25">
      <c r="A5181" t="str">
        <f>T("   842219")</f>
        <v xml:space="preserve">   842219</v>
      </c>
      <c r="B5181" t="str">
        <f>T("   AUTRES")</f>
        <v xml:space="preserve">   AUTRES</v>
      </c>
      <c r="C5181" s="4">
        <v>400</v>
      </c>
      <c r="D5181" s="4">
        <v>13198</v>
      </c>
    </row>
    <row r="5182" spans="1:4" x14ac:dyDescent="0.25">
      <c r="A5182" t="str">
        <f>T("   842220")</f>
        <v xml:space="preserve">   842220</v>
      </c>
      <c r="B5182" t="str">
        <f>T("   MACHINES ET APPAREILS SERVANT A NETTOYER OU A SECHER LES BOUTEILLES OU AUTRES RECIPIE")</f>
        <v xml:space="preserve">   MACHINES ET APPAREILS SERVANT A NETTOYER OU A SECHER LES BOUTEILLES OU AUTRES RECIPIE</v>
      </c>
      <c r="C5182" s="4">
        <v>119189</v>
      </c>
      <c r="D5182" s="4">
        <v>908719756</v>
      </c>
    </row>
    <row r="5183" spans="1:4" x14ac:dyDescent="0.25">
      <c r="A5183" t="str">
        <f>T("   842230")</f>
        <v xml:space="preserve">   842230</v>
      </c>
      <c r="B5183" t="str">
        <f>T("   MACHINES ET APPAREILS A REMPLIR, FERMER, BOUCHER OU ETIQUETER LES BOUTEILLES, BOITES,")</f>
        <v xml:space="preserve">   MACHINES ET APPAREILS A REMPLIR, FERMER, BOUCHER OU ETIQUETER LES BOUTEILLES, BOITES,</v>
      </c>
      <c r="C5183" s="4">
        <v>6827</v>
      </c>
      <c r="D5183" s="4">
        <v>76237882</v>
      </c>
    </row>
    <row r="5184" spans="1:4" x14ac:dyDescent="0.25">
      <c r="A5184" t="str">
        <f>T("   842240")</f>
        <v xml:space="preserve">   842240</v>
      </c>
      <c r="B5184" t="str">
        <f>T("   AUTRES MACHINES ET APPAREILS A EMPAQUETER OU A EMBALLER LES MARCHANDISES (Y COMPRIS L")</f>
        <v xml:space="preserve">   AUTRES MACHINES ET APPAREILS A EMPAQUETER OU A EMBALLER LES MARCHANDISES (Y COMPRIS L</v>
      </c>
      <c r="C5184" s="4">
        <v>325</v>
      </c>
      <c r="D5184" s="4">
        <v>1694004</v>
      </c>
    </row>
    <row r="5185" spans="1:4" x14ac:dyDescent="0.25">
      <c r="A5185" t="str">
        <f>T("   842290")</f>
        <v xml:space="preserve">   842290</v>
      </c>
      <c r="B5185" t="str">
        <f>T("   PARTIES")</f>
        <v xml:space="preserve">   PARTIES</v>
      </c>
      <c r="C5185" s="4">
        <v>66915.399999999994</v>
      </c>
      <c r="D5185" s="4">
        <v>1829658851</v>
      </c>
    </row>
    <row r="5186" spans="1:4" x14ac:dyDescent="0.25">
      <c r="A5186" t="str">
        <f>T("   842310")</f>
        <v xml:space="preserve">   842310</v>
      </c>
      <c r="B5186" t="str">
        <f>T("   PESEPERSONNES, Y COMPRIS LES PESEBEBES; BALANCES DE MENAGE")</f>
        <v xml:space="preserve">   PESEPERSONNES, Y COMPRIS LES PESEBEBES; BALANCES DE MENAGE</v>
      </c>
      <c r="C5186" s="4">
        <v>570</v>
      </c>
      <c r="D5186" s="4">
        <v>2896372</v>
      </c>
    </row>
    <row r="5187" spans="1:4" x14ac:dyDescent="0.25">
      <c r="A5187" t="str">
        <f>T("   842330")</f>
        <v xml:space="preserve">   842330</v>
      </c>
      <c r="B5187" t="str">
        <f>T("   BASCULES A PESEES CONSTANTES ET BALANCES ET BASCULES ENSACHEUSES OU DOSEUSES")</f>
        <v xml:space="preserve">   BASCULES A PESEES CONSTANTES ET BALANCES ET BASCULES ENSACHEUSES OU DOSEUSES</v>
      </c>
      <c r="C5187" s="4">
        <v>359</v>
      </c>
      <c r="D5187" s="4">
        <v>4320233</v>
      </c>
    </row>
    <row r="5188" spans="1:4" x14ac:dyDescent="0.25">
      <c r="A5188" t="str">
        <f>T("   842381")</f>
        <v xml:space="preserve">   842381</v>
      </c>
      <c r="B5188" t="str">
        <f>T("   D'UNE PORTEE N'EXCEDANT PAS 30 KG")</f>
        <v xml:space="preserve">   D'UNE PORTEE N'EXCEDANT PAS 30 KG</v>
      </c>
      <c r="C5188" s="4">
        <v>139</v>
      </c>
      <c r="D5188" s="4">
        <v>3848368</v>
      </c>
    </row>
    <row r="5189" spans="1:4" x14ac:dyDescent="0.25">
      <c r="A5189" t="str">
        <f>T("   842389")</f>
        <v xml:space="preserve">   842389</v>
      </c>
      <c r="B5189" t="str">
        <f>T("   AUTRES")</f>
        <v xml:space="preserve">   AUTRES</v>
      </c>
      <c r="C5189" s="4">
        <v>1725.7</v>
      </c>
      <c r="D5189" s="4">
        <v>18068575</v>
      </c>
    </row>
    <row r="5190" spans="1:4" x14ac:dyDescent="0.25">
      <c r="A5190" t="str">
        <f>T("   842390")</f>
        <v xml:space="preserve">   842390</v>
      </c>
      <c r="B5190" t="str">
        <f>T("   POIDS POUR TOUTES BALANCES; PARTIES D'APPAREILS OU INSTRUMENTS DE PESAGE")</f>
        <v xml:space="preserve">   POIDS POUR TOUTES BALANCES; PARTIES D'APPAREILS OU INSTRUMENTS DE PESAGE</v>
      </c>
      <c r="C5190" s="4">
        <v>12414</v>
      </c>
      <c r="D5190" s="4">
        <v>124865147</v>
      </c>
    </row>
    <row r="5191" spans="1:4" x14ac:dyDescent="0.25">
      <c r="A5191" t="str">
        <f>T("   842410")</f>
        <v xml:space="preserve">   842410</v>
      </c>
      <c r="B5191" t="str">
        <f>T("   EXTINCTEURS, MEME CHARGES")</f>
        <v xml:space="preserve">   EXTINCTEURS, MEME CHARGES</v>
      </c>
      <c r="C5191" s="4">
        <v>13860</v>
      </c>
      <c r="D5191" s="4">
        <v>22468507</v>
      </c>
    </row>
    <row r="5192" spans="1:4" x14ac:dyDescent="0.25">
      <c r="A5192" t="str">
        <f>T("   842420")</f>
        <v xml:space="preserve">   842420</v>
      </c>
      <c r="B5192" t="str">
        <f>T("   Pistolets aerographes et appareils similaires")</f>
        <v xml:space="preserve">   Pistolets aerographes et appareils similaires</v>
      </c>
      <c r="C5192" s="4">
        <v>97</v>
      </c>
      <c r="D5192" s="4">
        <v>20959</v>
      </c>
    </row>
    <row r="5193" spans="1:4" x14ac:dyDescent="0.25">
      <c r="A5193" t="str">
        <f>T("   842430")</f>
        <v xml:space="preserve">   842430</v>
      </c>
      <c r="B5193" t="str">
        <f>T("   MACHINES ET APPAREILS A JET DE SABLE, A JET DE VAPEUR ET APPAREILS A JET SIMILAIRES")</f>
        <v xml:space="preserve">   MACHINES ET APPAREILS A JET DE SABLE, A JET DE VAPEUR ET APPAREILS A JET SIMILAIRES</v>
      </c>
      <c r="C5193" s="4">
        <v>1684</v>
      </c>
      <c r="D5193" s="4">
        <v>18103882</v>
      </c>
    </row>
    <row r="5194" spans="1:4" x14ac:dyDescent="0.25">
      <c r="A5194" t="str">
        <f>T("   842481")</f>
        <v xml:space="preserve">   842481</v>
      </c>
      <c r="B5194" t="str">
        <f>T("   POUR L'AGRICULTURE OU L'HORTICULTURE")</f>
        <v xml:space="preserve">   POUR L'AGRICULTURE OU L'HORTICULTURE</v>
      </c>
      <c r="C5194" s="4">
        <v>12622.2</v>
      </c>
      <c r="D5194" s="4">
        <v>32618015</v>
      </c>
    </row>
    <row r="5195" spans="1:4" x14ac:dyDescent="0.25">
      <c r="A5195" t="str">
        <f>T("   842489")</f>
        <v xml:space="preserve">   842489</v>
      </c>
      <c r="B5195" t="str">
        <f>T("   AUTRES")</f>
        <v xml:space="preserve">   AUTRES</v>
      </c>
      <c r="C5195" s="4">
        <v>491</v>
      </c>
      <c r="D5195" s="4">
        <v>4133624</v>
      </c>
    </row>
    <row r="5196" spans="1:4" x14ac:dyDescent="0.25">
      <c r="A5196" t="str">
        <f>T("   842490")</f>
        <v xml:space="preserve">   842490</v>
      </c>
      <c r="B5196" t="str">
        <f>T("   PARTIES")</f>
        <v xml:space="preserve">   PARTIES</v>
      </c>
      <c r="C5196" s="4">
        <v>239</v>
      </c>
      <c r="D5196" s="4">
        <v>3494168</v>
      </c>
    </row>
    <row r="5197" spans="1:4" x14ac:dyDescent="0.25">
      <c r="A5197" t="str">
        <f>T("   842511")</f>
        <v xml:space="preserve">   842511</v>
      </c>
      <c r="B5197" t="str">
        <f>T("   A MOTEUR ELECTRIQUE")</f>
        <v xml:space="preserve">   A MOTEUR ELECTRIQUE</v>
      </c>
      <c r="C5197" s="4">
        <v>5</v>
      </c>
      <c r="D5197" s="4">
        <v>146935</v>
      </c>
    </row>
    <row r="5198" spans="1:4" x14ac:dyDescent="0.25">
      <c r="A5198" t="str">
        <f>T("   842519")</f>
        <v xml:space="preserve">   842519</v>
      </c>
      <c r="B5198" t="str">
        <f>T("   AUTRES")</f>
        <v xml:space="preserve">   AUTRES</v>
      </c>
      <c r="C5198" s="4">
        <v>12670</v>
      </c>
      <c r="D5198" s="4">
        <v>11635337</v>
      </c>
    </row>
    <row r="5199" spans="1:4" x14ac:dyDescent="0.25">
      <c r="A5199" t="str">
        <f>T("   842531")</f>
        <v xml:space="preserve">   842531</v>
      </c>
      <c r="B5199" t="str">
        <f>T("   A MOTEUR ELECTRIQUE")</f>
        <v xml:space="preserve">   A MOTEUR ELECTRIQUE</v>
      </c>
      <c r="C5199" s="4">
        <v>113</v>
      </c>
      <c r="D5199" s="4">
        <v>413255</v>
      </c>
    </row>
    <row r="5200" spans="1:4" x14ac:dyDescent="0.25">
      <c r="A5200" t="str">
        <f>T("   842539")</f>
        <v xml:space="preserve">   842539</v>
      </c>
      <c r="B5200" t="str">
        <f>T("   AUTRES")</f>
        <v xml:space="preserve">   AUTRES</v>
      </c>
      <c r="C5200" s="4">
        <v>5809</v>
      </c>
      <c r="D5200" s="4">
        <v>32278709</v>
      </c>
    </row>
    <row r="5201" spans="1:4" x14ac:dyDescent="0.25">
      <c r="A5201" t="str">
        <f>T("   842542")</f>
        <v xml:space="preserve">   842542</v>
      </c>
      <c r="B5201" t="str">
        <f>T("   AUTRES CRICS ET VERINS, HYDRAULIQUES")</f>
        <v xml:space="preserve">   AUTRES CRICS ET VERINS, HYDRAULIQUES</v>
      </c>
      <c r="C5201" s="4">
        <v>12674</v>
      </c>
      <c r="D5201" s="4">
        <v>132957239</v>
      </c>
    </row>
    <row r="5202" spans="1:4" x14ac:dyDescent="0.25">
      <c r="A5202" t="str">
        <f>T("   842549")</f>
        <v xml:space="preserve">   842549</v>
      </c>
      <c r="B5202" t="str">
        <f>T("   AUTRES")</f>
        <v xml:space="preserve">   AUTRES</v>
      </c>
      <c r="C5202" s="4">
        <v>17458</v>
      </c>
      <c r="D5202" s="4">
        <v>94160499</v>
      </c>
    </row>
    <row r="5203" spans="1:4" x14ac:dyDescent="0.25">
      <c r="A5203" t="str">
        <f>T("   842611")</f>
        <v xml:space="preserve">   842611</v>
      </c>
      <c r="B5203" t="str">
        <f>T("   PONTS ROULANTS ET POUTRES ROULANTES, SUR SUPPORTS FIXES")</f>
        <v xml:space="preserve">   PONTS ROULANTS ET POUTRES ROULANTES, SUR SUPPORTS FIXES</v>
      </c>
      <c r="C5203" s="4">
        <v>1500</v>
      </c>
      <c r="D5203" s="4">
        <v>15063466</v>
      </c>
    </row>
    <row r="5204" spans="1:4" x14ac:dyDescent="0.25">
      <c r="A5204" t="str">
        <f>T("   842619")</f>
        <v xml:space="preserve">   842619</v>
      </c>
      <c r="B5204" t="str">
        <f>T("   AUTRES")</f>
        <v xml:space="preserve">   AUTRES</v>
      </c>
      <c r="C5204" s="4">
        <v>1775</v>
      </c>
      <c r="D5204" s="4">
        <v>5298188</v>
      </c>
    </row>
    <row r="5205" spans="1:4" x14ac:dyDescent="0.25">
      <c r="A5205" t="str">
        <f>T("   842630")</f>
        <v xml:space="preserve">   842630</v>
      </c>
      <c r="B5205" t="str">
        <f>T("   GRUES SUR PORTIQUES")</f>
        <v xml:space="preserve">   GRUES SUR PORTIQUES</v>
      </c>
      <c r="C5205" s="4">
        <v>41140</v>
      </c>
      <c r="D5205" s="4">
        <v>183489066</v>
      </c>
    </row>
    <row r="5206" spans="1:4" x14ac:dyDescent="0.25">
      <c r="A5206" t="str">
        <f>T("   842641")</f>
        <v xml:space="preserve">   842641</v>
      </c>
      <c r="B5206" t="str">
        <f>T("   SUR PNEUMATIQUES")</f>
        <v xml:space="preserve">   SUR PNEUMATIQUES</v>
      </c>
      <c r="C5206" s="4">
        <v>36000</v>
      </c>
      <c r="D5206" s="4">
        <v>25156066</v>
      </c>
    </row>
    <row r="5207" spans="1:4" x14ac:dyDescent="0.25">
      <c r="A5207" t="str">
        <f>T("   842649")</f>
        <v xml:space="preserve">   842649</v>
      </c>
      <c r="B5207" t="str">
        <f>T("   AUTRES")</f>
        <v xml:space="preserve">   AUTRES</v>
      </c>
      <c r="C5207" s="4">
        <v>1100</v>
      </c>
      <c r="D5207" s="4">
        <v>300000</v>
      </c>
    </row>
    <row r="5208" spans="1:4" x14ac:dyDescent="0.25">
      <c r="A5208" t="str">
        <f>T("   842710")</f>
        <v xml:space="preserve">   842710</v>
      </c>
      <c r="B5208" t="str">
        <f>T("   CHARIOTS AUTOPROPULSES A MOTEUR ELECTRIQUE")</f>
        <v xml:space="preserve">   CHARIOTS AUTOPROPULSES A MOTEUR ELECTRIQUE</v>
      </c>
      <c r="C5208" s="4">
        <v>18435</v>
      </c>
      <c r="D5208" s="4">
        <v>63386877</v>
      </c>
    </row>
    <row r="5209" spans="1:4" x14ac:dyDescent="0.25">
      <c r="A5209" t="str">
        <f>T("   842720")</f>
        <v xml:space="preserve">   842720</v>
      </c>
      <c r="B5209" t="str">
        <f>T("   AUTRES CHARIOTS AUTOPROPULSES")</f>
        <v xml:space="preserve">   AUTRES CHARIOTS AUTOPROPULSES</v>
      </c>
      <c r="C5209" s="4">
        <v>68550</v>
      </c>
      <c r="D5209" s="4">
        <v>236664465</v>
      </c>
    </row>
    <row r="5210" spans="1:4" x14ac:dyDescent="0.25">
      <c r="A5210" t="str">
        <f>T("   842790")</f>
        <v xml:space="preserve">   842790</v>
      </c>
      <c r="B5210" t="str">
        <f>T("   AUTRES CHARIOTS")</f>
        <v xml:space="preserve">   AUTRES CHARIOTS</v>
      </c>
      <c r="C5210" s="4">
        <v>202484.4</v>
      </c>
      <c r="D5210" s="4">
        <v>804112932</v>
      </c>
    </row>
    <row r="5211" spans="1:4" x14ac:dyDescent="0.25">
      <c r="A5211" t="str">
        <f>T("   842810")</f>
        <v xml:space="preserve">   842810</v>
      </c>
      <c r="B5211" t="str">
        <f>T("   ASCENSEURS ET MONTECHARGE")</f>
        <v xml:space="preserve">   ASCENSEURS ET MONTECHARGE</v>
      </c>
      <c r="C5211" s="4">
        <v>32877</v>
      </c>
      <c r="D5211" s="4">
        <v>144925147</v>
      </c>
    </row>
    <row r="5212" spans="1:4" x14ac:dyDescent="0.25">
      <c r="A5212" t="str">
        <f>T("   842820")</f>
        <v xml:space="preserve">   842820</v>
      </c>
      <c r="B5212" t="str">
        <f>T("   APPAREILS ELEVATEURS OU TRANSPORTEURS, PNEUMATIQUES")</f>
        <v xml:space="preserve">   APPAREILS ELEVATEURS OU TRANSPORTEURS, PNEUMATIQUES</v>
      </c>
      <c r="C5212" s="4">
        <v>3538</v>
      </c>
      <c r="D5212" s="4">
        <v>63416790</v>
      </c>
    </row>
    <row r="5213" spans="1:4" x14ac:dyDescent="0.25">
      <c r="A5213" t="str">
        <f>T("   842831")</f>
        <v xml:space="preserve">   842831</v>
      </c>
      <c r="B5213" t="str">
        <f>T("   SPECIALEMENT CONCUS POUR MINES AU FOND OU POUR AUTRES TRAVAUX SOUTERRAINS")</f>
        <v xml:space="preserve">   SPECIALEMENT CONCUS POUR MINES AU FOND OU POUR AUTRES TRAVAUX SOUTERRAINS</v>
      </c>
      <c r="C5213" s="4">
        <v>423</v>
      </c>
      <c r="D5213" s="4">
        <v>3247724</v>
      </c>
    </row>
    <row r="5214" spans="1:4" x14ac:dyDescent="0.25">
      <c r="A5214" t="str">
        <f>T("   842839")</f>
        <v xml:space="preserve">   842839</v>
      </c>
      <c r="B5214" t="str">
        <f>T("   AUTRES")</f>
        <v xml:space="preserve">   AUTRES</v>
      </c>
      <c r="C5214" s="4">
        <v>19317</v>
      </c>
      <c r="D5214" s="4">
        <v>136405526</v>
      </c>
    </row>
    <row r="5215" spans="1:4" x14ac:dyDescent="0.25">
      <c r="A5215" t="str">
        <f>T("   842890")</f>
        <v xml:space="preserve">   842890</v>
      </c>
      <c r="B5215" t="str">
        <f>T("   AUTRES MACHINES ET APPAREILS")</f>
        <v xml:space="preserve">   AUTRES MACHINES ET APPAREILS</v>
      </c>
      <c r="C5215" s="4">
        <v>99</v>
      </c>
      <c r="D5215" s="4">
        <v>350466</v>
      </c>
    </row>
    <row r="5216" spans="1:4" x14ac:dyDescent="0.25">
      <c r="A5216" t="str">
        <f>T("   842919")</f>
        <v xml:space="preserve">   842919</v>
      </c>
      <c r="B5216" t="str">
        <f>T("   AUTRES")</f>
        <v xml:space="preserve">   AUTRES</v>
      </c>
      <c r="C5216" s="4">
        <v>14632</v>
      </c>
      <c r="D5216" s="4">
        <v>2046188</v>
      </c>
    </row>
    <row r="5217" spans="1:4" x14ac:dyDescent="0.25">
      <c r="A5217" t="str">
        <f>T("   842920")</f>
        <v xml:space="preserve">   842920</v>
      </c>
      <c r="B5217" t="str">
        <f>T("   NIVELEUSES")</f>
        <v xml:space="preserve">   NIVELEUSES</v>
      </c>
      <c r="C5217" s="4">
        <v>23000</v>
      </c>
      <c r="D5217" s="4">
        <v>19081361</v>
      </c>
    </row>
    <row r="5218" spans="1:4" x14ac:dyDescent="0.25">
      <c r="A5218" t="str">
        <f>T("   842940")</f>
        <v xml:space="preserve">   842940</v>
      </c>
      <c r="B5218" t="str">
        <f>T("   COMPACTEUSES ET ROULEAUX COMPRESSEURS")</f>
        <v xml:space="preserve">   COMPACTEUSES ET ROULEAUX COMPRESSEURS</v>
      </c>
      <c r="C5218" s="4">
        <v>5010</v>
      </c>
      <c r="D5218" s="4">
        <v>6397217</v>
      </c>
    </row>
    <row r="5219" spans="1:4" x14ac:dyDescent="0.25">
      <c r="A5219" t="str">
        <f>T("   842951")</f>
        <v xml:space="preserve">   842951</v>
      </c>
      <c r="B5219" t="str">
        <f>T("   CHARGEUSES ET CHARGEUSESPELLETEUSES A CHARGEMENT FRONTAL")</f>
        <v xml:space="preserve">   CHARGEUSES ET CHARGEUSESPELLETEUSES A CHARGEMENT FRONTAL</v>
      </c>
      <c r="C5219" s="4">
        <v>68556</v>
      </c>
      <c r="D5219" s="4">
        <v>163428032</v>
      </c>
    </row>
    <row r="5220" spans="1:4" x14ac:dyDescent="0.25">
      <c r="A5220" t="str">
        <f>T("   842959")</f>
        <v xml:space="preserve">   842959</v>
      </c>
      <c r="B5220" t="str">
        <f>T("   AUTRES")</f>
        <v xml:space="preserve">   AUTRES</v>
      </c>
      <c r="C5220" s="4">
        <v>169414</v>
      </c>
      <c r="D5220" s="4">
        <v>130220911</v>
      </c>
    </row>
    <row r="5221" spans="1:4" x14ac:dyDescent="0.25">
      <c r="A5221" t="str">
        <f>T("   843041")</f>
        <v xml:space="preserve">   843041</v>
      </c>
      <c r="B5221" t="str">
        <f>T("   AUTOPROPULSEES")</f>
        <v xml:space="preserve">   AUTOPROPULSEES</v>
      </c>
      <c r="C5221" s="4">
        <v>389</v>
      </c>
      <c r="D5221" s="4">
        <v>337000</v>
      </c>
    </row>
    <row r="5222" spans="1:4" x14ac:dyDescent="0.25">
      <c r="A5222" t="str">
        <f>T("   843049")</f>
        <v xml:space="preserve">   843049</v>
      </c>
      <c r="B5222" t="str">
        <f>T("   AUTRES")</f>
        <v xml:space="preserve">   AUTRES</v>
      </c>
      <c r="C5222" s="4">
        <v>92463</v>
      </c>
      <c r="D5222" s="4">
        <v>51960032</v>
      </c>
    </row>
    <row r="5223" spans="1:4" x14ac:dyDescent="0.25">
      <c r="A5223" t="str">
        <f>T("   843061")</f>
        <v xml:space="preserve">   843061</v>
      </c>
      <c r="B5223" t="str">
        <f>T("   MACHINES ET APPAREILS A TASSER OU A COMPACTER")</f>
        <v xml:space="preserve">   MACHINES ET APPAREILS A TASSER OU A COMPACTER</v>
      </c>
      <c r="C5223" s="4">
        <v>184</v>
      </c>
      <c r="D5223" s="4">
        <v>4488498</v>
      </c>
    </row>
    <row r="5224" spans="1:4" x14ac:dyDescent="0.25">
      <c r="A5224" t="str">
        <f>T("   843069")</f>
        <v xml:space="preserve">   843069</v>
      </c>
      <c r="B5224" t="str">
        <f>T("   AUTRES")</f>
        <v xml:space="preserve">   AUTRES</v>
      </c>
      <c r="C5224" s="4">
        <v>6810</v>
      </c>
      <c r="D5224" s="4">
        <v>52982375</v>
      </c>
    </row>
    <row r="5225" spans="1:4" x14ac:dyDescent="0.25">
      <c r="A5225" t="str">
        <f>T("   843110")</f>
        <v xml:space="preserve">   843110</v>
      </c>
      <c r="B5225" t="str">
        <f>T("   DE MACHINES OU APPAREILS DU N° 84.25")</f>
        <v xml:space="preserve">   DE MACHINES OU APPAREILS DU N° 84.25</v>
      </c>
      <c r="C5225" s="4">
        <v>711</v>
      </c>
      <c r="D5225" s="4">
        <v>3050448</v>
      </c>
    </row>
    <row r="5226" spans="1:4" x14ac:dyDescent="0.25">
      <c r="A5226" t="str">
        <f>T("   843120")</f>
        <v xml:space="preserve">   843120</v>
      </c>
      <c r="B5226" t="str">
        <f>T("   DE MACHINES OU APPAREILS DU N° 84.27")</f>
        <v xml:space="preserve">   DE MACHINES OU APPAREILS DU N° 84.27</v>
      </c>
      <c r="C5226" s="4">
        <v>4069.72</v>
      </c>
      <c r="D5226" s="4">
        <v>27783850</v>
      </c>
    </row>
    <row r="5227" spans="1:4" x14ac:dyDescent="0.25">
      <c r="A5227" t="str">
        <f>T("   843131")</f>
        <v xml:space="preserve">   843131</v>
      </c>
      <c r="B5227" t="str">
        <f>T("   D'ASCENSEURS, MONTECHARGE OU ESCALIERS MECANIQUES")</f>
        <v xml:space="preserve">   D'ASCENSEURS, MONTECHARGE OU ESCALIERS MECANIQUES</v>
      </c>
      <c r="C5227" s="4">
        <v>4</v>
      </c>
      <c r="D5227" s="4">
        <v>13119</v>
      </c>
    </row>
    <row r="5228" spans="1:4" x14ac:dyDescent="0.25">
      <c r="A5228" t="str">
        <f>T("   843139")</f>
        <v xml:space="preserve">   843139</v>
      </c>
      <c r="B5228" t="str">
        <f>T("   AUTRES")</f>
        <v xml:space="preserve">   AUTRES</v>
      </c>
      <c r="C5228" s="4">
        <v>41858.33</v>
      </c>
      <c r="D5228" s="4">
        <v>216195702</v>
      </c>
    </row>
    <row r="5229" spans="1:4" x14ac:dyDescent="0.25">
      <c r="A5229" t="str">
        <f>T("   843141")</f>
        <v xml:space="preserve">   843141</v>
      </c>
      <c r="B5229" t="str">
        <f>T("   GODETS, BENNES, BENNESPRENEUSES, PELLES, GRAPPINS ET PINCES")</f>
        <v xml:space="preserve">   GODETS, BENNES, BENNESPRENEUSES, PELLES, GRAPPINS ET PINCES</v>
      </c>
      <c r="C5229" s="4">
        <v>19776</v>
      </c>
      <c r="D5229" s="4">
        <v>136331650</v>
      </c>
    </row>
    <row r="5230" spans="1:4" x14ac:dyDescent="0.25">
      <c r="A5230" t="str">
        <f>T("   843142")</f>
        <v xml:space="preserve">   843142</v>
      </c>
      <c r="B5230" t="str">
        <f>T("   LAMES DE BOUTEURS (BULLDOZERS) OU DE BOUTEURS BIAIS (ANGLEDOZERS)")</f>
        <v xml:space="preserve">   LAMES DE BOUTEURS (BULLDOZERS) OU DE BOUTEURS BIAIS (ANGLEDOZERS)</v>
      </c>
      <c r="C5230" s="4">
        <v>107</v>
      </c>
      <c r="D5230" s="4">
        <v>875942</v>
      </c>
    </row>
    <row r="5231" spans="1:4" x14ac:dyDescent="0.25">
      <c r="A5231" t="str">
        <f>T("   843143")</f>
        <v xml:space="preserve">   843143</v>
      </c>
      <c r="B5231" t="str">
        <f>T("   PARTIES DE MACHINES DE SONDAGE OU DE FORAGE DES N°S 8430.41 OU 8430.49")</f>
        <v xml:space="preserve">   PARTIES DE MACHINES DE SONDAGE OU DE FORAGE DES N°S 8430.41 OU 8430.49</v>
      </c>
      <c r="C5231" s="4">
        <v>819</v>
      </c>
      <c r="D5231" s="4">
        <v>15174558</v>
      </c>
    </row>
    <row r="5232" spans="1:4" x14ac:dyDescent="0.25">
      <c r="A5232" t="str">
        <f>T("   843149")</f>
        <v xml:space="preserve">   843149</v>
      </c>
      <c r="B5232" t="str">
        <f>T("   AUTRES")</f>
        <v xml:space="preserve">   AUTRES</v>
      </c>
      <c r="C5232" s="4">
        <v>273777.67</v>
      </c>
      <c r="D5232" s="4">
        <v>910981936</v>
      </c>
    </row>
    <row r="5233" spans="1:4" x14ac:dyDescent="0.25">
      <c r="A5233" t="str">
        <f>T("   843210")</f>
        <v xml:space="preserve">   843210</v>
      </c>
      <c r="B5233" t="str">
        <f>T("   Charrues")</f>
        <v xml:space="preserve">   Charrues</v>
      </c>
      <c r="C5233" s="4">
        <v>9600</v>
      </c>
      <c r="D5233" s="4">
        <v>789486</v>
      </c>
    </row>
    <row r="5234" spans="1:4" x14ac:dyDescent="0.25">
      <c r="A5234" t="str">
        <f>T("   843229")</f>
        <v xml:space="preserve">   843229</v>
      </c>
      <c r="B5234" t="str">
        <f>T("   AUTRES")</f>
        <v xml:space="preserve">   AUTRES</v>
      </c>
      <c r="C5234" s="4">
        <v>97.44</v>
      </c>
      <c r="D5234" s="4">
        <v>899912</v>
      </c>
    </row>
    <row r="5235" spans="1:4" x14ac:dyDescent="0.25">
      <c r="A5235" t="str">
        <f>T("   843230")</f>
        <v xml:space="preserve">   843230</v>
      </c>
      <c r="B5235" t="str">
        <f>T("   Semoirs, plantoirs et repiqueurs")</f>
        <v xml:space="preserve">   Semoirs, plantoirs et repiqueurs</v>
      </c>
      <c r="C5235" s="4">
        <v>2918</v>
      </c>
      <c r="D5235" s="4">
        <v>1116739</v>
      </c>
    </row>
    <row r="5236" spans="1:4" x14ac:dyDescent="0.25">
      <c r="A5236" t="str">
        <f>T("   843280")</f>
        <v xml:space="preserve">   843280</v>
      </c>
      <c r="B5236" t="str">
        <f>T("   AUTRES MACHINES, APPAREILS ET ENGINS")</f>
        <v xml:space="preserve">   AUTRES MACHINES, APPAREILS ET ENGINS</v>
      </c>
      <c r="C5236" s="4">
        <v>24760</v>
      </c>
      <c r="D5236" s="4">
        <v>29130411</v>
      </c>
    </row>
    <row r="5237" spans="1:4" x14ac:dyDescent="0.25">
      <c r="A5237" t="str">
        <f>T("   843290")</f>
        <v xml:space="preserve">   843290</v>
      </c>
      <c r="B5237" t="str">
        <f>T("   PARTIES")</f>
        <v xml:space="preserve">   PARTIES</v>
      </c>
      <c r="C5237" s="4">
        <v>50510</v>
      </c>
      <c r="D5237" s="4">
        <v>50230989</v>
      </c>
    </row>
    <row r="5238" spans="1:4" x14ac:dyDescent="0.25">
      <c r="A5238" t="str">
        <f>T("   843311")</f>
        <v xml:space="preserve">   843311</v>
      </c>
      <c r="B5238" t="str">
        <f>T("   A MOTEUR, DONT LE DISPOSITIF DE COUPE TOURNE DANS UN PLAN HORIZONTAL")</f>
        <v xml:space="preserve">   A MOTEUR, DONT LE DISPOSITIF DE COUPE TOURNE DANS UN PLAN HORIZONTAL</v>
      </c>
      <c r="C5238" s="4">
        <v>328</v>
      </c>
      <c r="D5238" s="4">
        <v>1482627</v>
      </c>
    </row>
    <row r="5239" spans="1:4" x14ac:dyDescent="0.25">
      <c r="A5239" t="str">
        <f>T("   843319")</f>
        <v xml:space="preserve">   843319</v>
      </c>
      <c r="B5239" t="str">
        <f>T("   AUTRES")</f>
        <v xml:space="preserve">   AUTRES</v>
      </c>
      <c r="C5239" s="4">
        <v>1273</v>
      </c>
      <c r="D5239" s="4">
        <v>1473695</v>
      </c>
    </row>
    <row r="5240" spans="1:4" x14ac:dyDescent="0.25">
      <c r="A5240" t="str">
        <f>T("   843390")</f>
        <v xml:space="preserve">   843390</v>
      </c>
      <c r="B5240" t="str">
        <f>T("   PARTIES")</f>
        <v xml:space="preserve">   PARTIES</v>
      </c>
      <c r="C5240" s="4">
        <v>3592</v>
      </c>
      <c r="D5240" s="4">
        <v>5260834</v>
      </c>
    </row>
    <row r="5241" spans="1:4" x14ac:dyDescent="0.25">
      <c r="A5241" t="str">
        <f>T("   843621")</f>
        <v xml:space="preserve">   843621</v>
      </c>
      <c r="B5241" t="str">
        <f>T("   Couveuses et eleveuses")</f>
        <v xml:space="preserve">   Couveuses et eleveuses</v>
      </c>
      <c r="C5241" s="4">
        <v>1172</v>
      </c>
      <c r="D5241" s="4">
        <v>1984826</v>
      </c>
    </row>
    <row r="5242" spans="1:4" x14ac:dyDescent="0.25">
      <c r="A5242" t="str">
        <f>T("   843629")</f>
        <v xml:space="preserve">   843629</v>
      </c>
      <c r="B5242" t="str">
        <f>T("   AUTRES")</f>
        <v xml:space="preserve">   AUTRES</v>
      </c>
      <c r="C5242" s="4">
        <v>156045</v>
      </c>
      <c r="D5242" s="4">
        <v>425544205</v>
      </c>
    </row>
    <row r="5243" spans="1:4" x14ac:dyDescent="0.25">
      <c r="A5243" t="str">
        <f>T("   843680")</f>
        <v xml:space="preserve">   843680</v>
      </c>
      <c r="B5243" t="str">
        <f>T("   AUTRES MACHINES ET APPAREILS")</f>
        <v xml:space="preserve">   AUTRES MACHINES ET APPAREILS</v>
      </c>
      <c r="C5243" s="4">
        <v>3243</v>
      </c>
      <c r="D5243" s="4">
        <v>3706018</v>
      </c>
    </row>
    <row r="5244" spans="1:4" x14ac:dyDescent="0.25">
      <c r="A5244" t="str">
        <f>T("   843691")</f>
        <v xml:space="preserve">   843691</v>
      </c>
      <c r="B5244" t="str">
        <f>T("   DE MACHINES OU APPAREILS D'AVICULTURE")</f>
        <v xml:space="preserve">   DE MACHINES OU APPAREILS D'AVICULTURE</v>
      </c>
      <c r="C5244" s="4">
        <v>238</v>
      </c>
      <c r="D5244" s="4">
        <v>962923</v>
      </c>
    </row>
    <row r="5245" spans="1:4" x14ac:dyDescent="0.25">
      <c r="A5245" t="str">
        <f>T("   843699")</f>
        <v xml:space="preserve">   843699</v>
      </c>
      <c r="B5245" t="str">
        <f>T("   AUTRES")</f>
        <v xml:space="preserve">   AUTRES</v>
      </c>
      <c r="C5245" s="4">
        <v>3966</v>
      </c>
      <c r="D5245" s="4">
        <v>1453732</v>
      </c>
    </row>
    <row r="5246" spans="1:4" x14ac:dyDescent="0.25">
      <c r="A5246" t="str">
        <f>T("   843780")</f>
        <v xml:space="preserve">   843780</v>
      </c>
      <c r="B5246" t="str">
        <f>T("   AUTRES MACHINES ET APPAREILS")</f>
        <v xml:space="preserve">   AUTRES MACHINES ET APPAREILS</v>
      </c>
      <c r="C5246" s="4">
        <v>1085</v>
      </c>
      <c r="D5246" s="4">
        <v>1756005</v>
      </c>
    </row>
    <row r="5247" spans="1:4" x14ac:dyDescent="0.25">
      <c r="A5247" t="str">
        <f>T("   843790")</f>
        <v xml:space="preserve">   843790</v>
      </c>
      <c r="B5247" t="str">
        <f>T("   PARTIES")</f>
        <v xml:space="preserve">   PARTIES</v>
      </c>
      <c r="C5247" s="4">
        <v>127.68</v>
      </c>
      <c r="D5247" s="4">
        <v>502688</v>
      </c>
    </row>
    <row r="5248" spans="1:4" x14ac:dyDescent="0.25">
      <c r="A5248" t="str">
        <f>T("   843810")</f>
        <v xml:space="preserve">   843810</v>
      </c>
      <c r="B5248" t="str">
        <f>T("   MACHINES ET APPAREILS POUR LA BOULANGERIE, LA PATISSERIE, LA BISCUITERIE OU POUR LA F")</f>
        <v xml:space="preserve">   MACHINES ET APPAREILS POUR LA BOULANGERIE, LA PATISSERIE, LA BISCUITERIE OU POUR LA F</v>
      </c>
      <c r="C5248" s="4">
        <v>40100</v>
      </c>
      <c r="D5248" s="4">
        <v>31713148</v>
      </c>
    </row>
    <row r="5249" spans="1:4" x14ac:dyDescent="0.25">
      <c r="A5249" t="str">
        <f>T("   843840")</f>
        <v xml:space="preserve">   843840</v>
      </c>
      <c r="B5249" t="str">
        <f>T("   Machines et appareils pour la brasserie")</f>
        <v xml:space="preserve">   Machines et appareils pour la brasserie</v>
      </c>
      <c r="C5249" s="4">
        <v>50551</v>
      </c>
      <c r="D5249" s="4">
        <v>778614039</v>
      </c>
    </row>
    <row r="5250" spans="1:4" x14ac:dyDescent="0.25">
      <c r="A5250" t="str">
        <f>T("   843890")</f>
        <v xml:space="preserve">   843890</v>
      </c>
      <c r="B5250" t="str">
        <f>T("   PARTIES")</f>
        <v xml:space="preserve">   PARTIES</v>
      </c>
      <c r="C5250" s="4">
        <v>19910</v>
      </c>
      <c r="D5250" s="4">
        <v>121954032</v>
      </c>
    </row>
    <row r="5251" spans="1:4" x14ac:dyDescent="0.25">
      <c r="A5251" t="str">
        <f>T("   843999")</f>
        <v xml:space="preserve">   843999</v>
      </c>
      <c r="B5251" t="str">
        <f>T("   AUTRES")</f>
        <v xml:space="preserve">   AUTRES</v>
      </c>
      <c r="C5251" s="4">
        <v>84</v>
      </c>
      <c r="D5251" s="4">
        <v>2018770</v>
      </c>
    </row>
    <row r="5252" spans="1:4" x14ac:dyDescent="0.25">
      <c r="A5252" t="str">
        <f>T("   844010")</f>
        <v xml:space="preserve">   844010</v>
      </c>
      <c r="B5252" t="str">
        <f>T("   MACHINES ET APPAREILS")</f>
        <v xml:space="preserve">   MACHINES ET APPAREILS</v>
      </c>
      <c r="C5252" s="4">
        <v>5567</v>
      </c>
      <c r="D5252" s="4">
        <v>3160231</v>
      </c>
    </row>
    <row r="5253" spans="1:4" x14ac:dyDescent="0.25">
      <c r="A5253" t="str">
        <f>T("   844110")</f>
        <v xml:space="preserve">   844110</v>
      </c>
      <c r="B5253" t="str">
        <f>T("   COUPEUSES")</f>
        <v xml:space="preserve">   COUPEUSES</v>
      </c>
      <c r="C5253" s="4">
        <v>84</v>
      </c>
      <c r="D5253" s="4">
        <v>1327007</v>
      </c>
    </row>
    <row r="5254" spans="1:4" x14ac:dyDescent="0.25">
      <c r="A5254" t="str">
        <f>T("   844180")</f>
        <v xml:space="preserve">   844180</v>
      </c>
      <c r="B5254" t="str">
        <f>T("   AUTRES MACHINES ET APPAREILS")</f>
        <v xml:space="preserve">   AUTRES MACHINES ET APPAREILS</v>
      </c>
      <c r="C5254" s="4">
        <v>3070</v>
      </c>
      <c r="D5254" s="4">
        <v>731487</v>
      </c>
    </row>
    <row r="5255" spans="1:4" x14ac:dyDescent="0.25">
      <c r="A5255" t="str">
        <f>T("   844190")</f>
        <v xml:space="preserve">   844190</v>
      </c>
      <c r="B5255" t="str">
        <f>T("   PARTIES")</f>
        <v xml:space="preserve">   PARTIES</v>
      </c>
      <c r="C5255" s="4">
        <v>356</v>
      </c>
      <c r="D5255" s="4">
        <v>502203</v>
      </c>
    </row>
    <row r="5256" spans="1:4" x14ac:dyDescent="0.25">
      <c r="A5256" t="str">
        <f>T("   844230")</f>
        <v xml:space="preserve">   844230</v>
      </c>
      <c r="B5256" t="str">
        <f>T("   MACHINES, APPAREILS ET MATERIEL")</f>
        <v xml:space="preserve">   MACHINES, APPAREILS ET MATERIEL</v>
      </c>
      <c r="C5256" s="4">
        <v>10252</v>
      </c>
      <c r="D5256" s="4">
        <v>9386195</v>
      </c>
    </row>
    <row r="5257" spans="1:4" x14ac:dyDescent="0.25">
      <c r="A5257" t="str">
        <f>T("   844240")</f>
        <v xml:space="preserve">   844240</v>
      </c>
      <c r="B5257" t="str">
        <f>T("   PARTIES DE CES MACHINES, APPAREILS OU MATERIEL")</f>
        <v xml:space="preserve">   PARTIES DE CES MACHINES, APPAREILS OU MATERIEL</v>
      </c>
      <c r="C5257" s="4">
        <v>265.7</v>
      </c>
      <c r="D5257" s="4">
        <v>1604302</v>
      </c>
    </row>
    <row r="5258" spans="1:4" x14ac:dyDescent="0.25">
      <c r="A5258" t="str">
        <f>T("   844311")</f>
        <v xml:space="preserve">   844311</v>
      </c>
      <c r="B5258" t="str">
        <f>T("   MACHINES ET APPAREILS A IMPRIMER OFFSET, ALIMENTES EN BOBINES")</f>
        <v xml:space="preserve">   MACHINES ET APPAREILS A IMPRIMER OFFSET, ALIMENTES EN BOBINES</v>
      </c>
      <c r="C5258" s="4">
        <v>14450</v>
      </c>
      <c r="D5258" s="4">
        <v>6076021</v>
      </c>
    </row>
    <row r="5259" spans="1:4" x14ac:dyDescent="0.25">
      <c r="A5259" t="str">
        <f>T("   844312")</f>
        <v xml:space="preserve">   844312</v>
      </c>
      <c r="B5259" t="str">
        <f>T("   MACHINES ET APPAREILS A IMPRIMER OFFSET DE BUREAU, ALIMENTES EN FEUILLES DONT UN COT")</f>
        <v xml:space="preserve">   MACHINES ET APPAREILS A IMPRIMER OFFSET DE BUREAU, ALIMENTES EN FEUILLES DONT UN COT</v>
      </c>
      <c r="C5259" s="4">
        <v>100</v>
      </c>
      <c r="D5259" s="4">
        <v>11850000</v>
      </c>
    </row>
    <row r="5260" spans="1:4" x14ac:dyDescent="0.25">
      <c r="A5260" t="str">
        <f>T("   844313")</f>
        <v xml:space="preserve">   844313</v>
      </c>
      <c r="B5260" t="str">
        <f>T("   AUTRES MACHINES ET APPAREILS A IMPRIMER OFFSET")</f>
        <v xml:space="preserve">   AUTRES MACHINES ET APPAREILS A IMPRIMER OFFSET</v>
      </c>
      <c r="C5260" s="4">
        <v>16500</v>
      </c>
      <c r="D5260" s="4">
        <v>6297216</v>
      </c>
    </row>
    <row r="5261" spans="1:4" x14ac:dyDescent="0.25">
      <c r="A5261" t="str">
        <f>T("   844314")</f>
        <v xml:space="preserve">   844314</v>
      </c>
      <c r="B5261" t="str">
        <f>T("   MACHINES ET APPAREILS A IMPRIMER, TYPOGRAPHIQUES, ALIMENTES EN BOBINES, A L'EXCLUSIO")</f>
        <v xml:space="preserve">   MACHINES ET APPAREILS A IMPRIMER, TYPOGRAPHIQUES, ALIMENTES EN BOBINES, A L'EXCLUSIO</v>
      </c>
      <c r="C5261" s="4">
        <v>178</v>
      </c>
      <c r="D5261" s="4">
        <v>618675</v>
      </c>
    </row>
    <row r="5262" spans="1:4" x14ac:dyDescent="0.25">
      <c r="A5262" t="str">
        <f>T("   844315")</f>
        <v xml:space="preserve">   844315</v>
      </c>
      <c r="B5262" t="str">
        <f>T("   MACHINES ET APPAREILS A IMPRIMER, TYPOGRAPHIQUES, AUTRES QU’ALIMENTES EN BOBINES, A")</f>
        <v xml:space="preserve">   MACHINES ET APPAREILS A IMPRIMER, TYPOGRAPHIQUES, AUTRES QU’ALIMENTES EN BOBINES, A</v>
      </c>
      <c r="C5262" s="4">
        <v>208</v>
      </c>
      <c r="D5262" s="4">
        <v>1016082</v>
      </c>
    </row>
    <row r="5263" spans="1:4" x14ac:dyDescent="0.25">
      <c r="A5263" t="str">
        <f>T("   844316")</f>
        <v xml:space="preserve">   844316</v>
      </c>
      <c r="B5263" t="str">
        <f>T("   MACHINES ET APPAREILS A IMPRIMER, FLEXOGRAPHIQUES")</f>
        <v xml:space="preserve">   MACHINES ET APPAREILS A IMPRIMER, FLEXOGRAPHIQUES</v>
      </c>
      <c r="C5263" s="4">
        <v>1782</v>
      </c>
      <c r="D5263" s="4">
        <v>5513343</v>
      </c>
    </row>
    <row r="5264" spans="1:4" x14ac:dyDescent="0.25">
      <c r="A5264" t="str">
        <f>T("   844317")</f>
        <v xml:space="preserve">   844317</v>
      </c>
      <c r="B5264" t="str">
        <f>T("   MACHINES ET APPAREILS A IMPRIMER, HELIOGRAPHIQUES")</f>
        <v xml:space="preserve">   MACHINES ET APPAREILS A IMPRIMER, HELIOGRAPHIQUES</v>
      </c>
      <c r="C5264" s="4">
        <v>17</v>
      </c>
      <c r="D5264" s="4">
        <v>208595</v>
      </c>
    </row>
    <row r="5265" spans="1:4" x14ac:dyDescent="0.25">
      <c r="A5265" t="str">
        <f>T("   844319")</f>
        <v xml:space="preserve">   844319</v>
      </c>
      <c r="B5265" t="str">
        <f>T("   AUTRES")</f>
        <v xml:space="preserve">   AUTRES</v>
      </c>
      <c r="C5265" s="4">
        <v>71285</v>
      </c>
      <c r="D5265" s="4">
        <v>101101670</v>
      </c>
    </row>
    <row r="5266" spans="1:4" x14ac:dyDescent="0.25">
      <c r="A5266" t="str">
        <f>T("   844331")</f>
        <v xml:space="preserve">   844331</v>
      </c>
      <c r="B5266" t="str">
        <f>T("   MACHINES QUI ASSURENT AU MOINS DEUX DES FONCTIONS SUIVANTES : IMPRESSION, COPIE OU T")</f>
        <v xml:space="preserve">   MACHINES QUI ASSURENT AU MOINS DEUX DES FONCTIONS SUIVANTES : IMPRESSION, COPIE OU T</v>
      </c>
      <c r="C5266" s="4">
        <v>4943</v>
      </c>
      <c r="D5266" s="4">
        <v>20775386</v>
      </c>
    </row>
    <row r="5267" spans="1:4" x14ac:dyDescent="0.25">
      <c r="A5267" t="str">
        <f>T("   844332")</f>
        <v xml:space="preserve">   844332</v>
      </c>
      <c r="B5267" t="str">
        <f>T("   AUTRES, APTES A ETRE CONNECTEES A UNE MACHINE AUTOMATIQUE DE TRAITEMENT DE L’INFORMA")</f>
        <v xml:space="preserve">   AUTRES, APTES A ETRE CONNECTEES A UNE MACHINE AUTOMATIQUE DE TRAITEMENT DE L’INFORMA</v>
      </c>
      <c r="C5267" s="4">
        <v>737</v>
      </c>
      <c r="D5267" s="4">
        <v>15785434</v>
      </c>
    </row>
    <row r="5268" spans="1:4" x14ac:dyDescent="0.25">
      <c r="A5268" t="str">
        <f>T("   844339")</f>
        <v xml:space="preserve">   844339</v>
      </c>
      <c r="B5268" t="str">
        <f>T("   AUTRES")</f>
        <v xml:space="preserve">   AUTRES</v>
      </c>
      <c r="C5268" s="4">
        <v>41494</v>
      </c>
      <c r="D5268" s="4">
        <v>48940781</v>
      </c>
    </row>
    <row r="5269" spans="1:4" x14ac:dyDescent="0.25">
      <c r="A5269" t="str">
        <f>T("   844391")</f>
        <v xml:space="preserve">   844391</v>
      </c>
      <c r="B5269" t="str">
        <f>T("   PARTIES ET ACCESSOIRES DE MACHINES ET D’APPAREILS SERVANT A L’IMPRESSION AU MOYEN DE")</f>
        <v xml:space="preserve">   PARTIES ET ACCESSOIRES DE MACHINES ET D’APPAREILS SERVANT A L’IMPRESSION AU MOYEN DE</v>
      </c>
      <c r="C5269" s="4">
        <v>2482.84</v>
      </c>
      <c r="D5269" s="4">
        <v>20584540</v>
      </c>
    </row>
    <row r="5270" spans="1:4" x14ac:dyDescent="0.25">
      <c r="A5270" t="str">
        <f>T("   844399")</f>
        <v xml:space="preserve">   844399</v>
      </c>
      <c r="B5270" t="str">
        <f>T("   AUTRES")</f>
        <v xml:space="preserve">   AUTRES</v>
      </c>
      <c r="C5270" s="4">
        <v>33845</v>
      </c>
      <c r="D5270" s="4">
        <v>43566850</v>
      </c>
    </row>
    <row r="5271" spans="1:4" x14ac:dyDescent="0.25">
      <c r="A5271" t="str">
        <f>T("   844519")</f>
        <v xml:space="preserve">   844519</v>
      </c>
      <c r="B5271" t="str">
        <f>T("   AUTRES")</f>
        <v xml:space="preserve">   AUTRES</v>
      </c>
      <c r="C5271" s="4">
        <v>3971</v>
      </c>
      <c r="D5271" s="4">
        <v>5323069</v>
      </c>
    </row>
    <row r="5272" spans="1:4" x14ac:dyDescent="0.25">
      <c r="A5272" t="str">
        <f>T("   844832")</f>
        <v xml:space="preserve">   844832</v>
      </c>
      <c r="B5272" t="str">
        <f>T("   DE MACHINES POUR LA PREPARATION DES MATIERES TEXTILES, AUTRES QUE LES GARNITURES DE")</f>
        <v xml:space="preserve">   DE MACHINES POUR LA PREPARATION DES MATIERES TEXTILES, AUTRES QUE LES GARNITURES DE</v>
      </c>
      <c r="C5272" s="4">
        <v>0.91</v>
      </c>
      <c r="D5272" s="4">
        <v>1809180</v>
      </c>
    </row>
    <row r="5273" spans="1:4" x14ac:dyDescent="0.25">
      <c r="A5273" t="str">
        <f>T("   844839")</f>
        <v xml:space="preserve">   844839</v>
      </c>
      <c r="B5273" t="str">
        <f>T("   AUTRES")</f>
        <v xml:space="preserve">   AUTRES</v>
      </c>
      <c r="C5273" s="4">
        <v>8</v>
      </c>
      <c r="D5273" s="4">
        <v>186900</v>
      </c>
    </row>
    <row r="5274" spans="1:4" x14ac:dyDescent="0.25">
      <c r="A5274" t="str">
        <f>T("   844849")</f>
        <v xml:space="preserve">   844849</v>
      </c>
      <c r="B5274" t="str">
        <f>T("   AUTRES")</f>
        <v xml:space="preserve">   AUTRES</v>
      </c>
      <c r="C5274" s="4">
        <v>8</v>
      </c>
      <c r="D5274" s="4">
        <v>536424</v>
      </c>
    </row>
    <row r="5275" spans="1:4" x14ac:dyDescent="0.25">
      <c r="A5275" t="str">
        <f>T("   844851")</f>
        <v xml:space="preserve">   844851</v>
      </c>
      <c r="B5275" t="str">
        <f>T("   PLATINES, AIGUILLES ET AUTRES ARTICLES PARTICIPANT A LA FORMATION DES MAILLES")</f>
        <v xml:space="preserve">   PLATINES, AIGUILLES ET AUTRES ARTICLES PARTICIPANT A LA FORMATION DES MAILLES</v>
      </c>
      <c r="C5275" s="4">
        <v>9</v>
      </c>
      <c r="D5275" s="4">
        <v>122113</v>
      </c>
    </row>
    <row r="5276" spans="1:4" x14ac:dyDescent="0.25">
      <c r="A5276" t="str">
        <f>T("   845019")</f>
        <v xml:space="preserve">   845019</v>
      </c>
      <c r="B5276" t="str">
        <f>T("   AUTRES")</f>
        <v xml:space="preserve">   AUTRES</v>
      </c>
      <c r="C5276" s="4">
        <v>842</v>
      </c>
      <c r="D5276" s="4">
        <v>2559654</v>
      </c>
    </row>
    <row r="5277" spans="1:4" x14ac:dyDescent="0.25">
      <c r="A5277" t="str">
        <f>T("   845140")</f>
        <v xml:space="preserve">   845140</v>
      </c>
      <c r="B5277" t="str">
        <f>T("   MACHINES POUR LE LAVAGE, LE BLANCHIMENT OU LA TEINTURE")</f>
        <v xml:space="preserve">   MACHINES POUR LE LAVAGE, LE BLANCHIMENT OU LA TEINTURE</v>
      </c>
      <c r="C5277" s="4">
        <v>836</v>
      </c>
      <c r="D5277" s="4">
        <v>8090800</v>
      </c>
    </row>
    <row r="5278" spans="1:4" x14ac:dyDescent="0.25">
      <c r="A5278" t="str">
        <f>T("   845190")</f>
        <v xml:space="preserve">   845190</v>
      </c>
      <c r="B5278" t="str">
        <f>T("   PARTIES")</f>
        <v xml:space="preserve">   PARTIES</v>
      </c>
      <c r="C5278" s="4">
        <v>22</v>
      </c>
      <c r="D5278" s="4">
        <v>3136065</v>
      </c>
    </row>
    <row r="5279" spans="1:4" x14ac:dyDescent="0.25">
      <c r="A5279" t="str">
        <f>T("   845210")</f>
        <v xml:space="preserve">   845210</v>
      </c>
      <c r="B5279" t="str">
        <f>T("   Machines a coudre de type menager")</f>
        <v xml:space="preserve">   Machines a coudre de type menager</v>
      </c>
      <c r="C5279" s="4">
        <v>12836</v>
      </c>
      <c r="D5279" s="4">
        <v>981383</v>
      </c>
    </row>
    <row r="5280" spans="1:4" x14ac:dyDescent="0.25">
      <c r="A5280" t="str">
        <f>T("   845229")</f>
        <v xml:space="preserve">   845229</v>
      </c>
      <c r="B5280" t="str">
        <f>T("   AUTRES")</f>
        <v xml:space="preserve">   AUTRES</v>
      </c>
      <c r="C5280" s="4">
        <v>3635</v>
      </c>
      <c r="D5280" s="4">
        <v>3805768</v>
      </c>
    </row>
    <row r="5281" spans="1:4" x14ac:dyDescent="0.25">
      <c r="A5281" t="str">
        <f>T("   845410")</f>
        <v xml:space="preserve">   845410</v>
      </c>
      <c r="B5281" t="str">
        <f>T("   CONVERTISSEURS")</f>
        <v xml:space="preserve">   CONVERTISSEURS</v>
      </c>
      <c r="C5281" s="4">
        <v>4328</v>
      </c>
      <c r="D5281" s="4">
        <v>23757559</v>
      </c>
    </row>
    <row r="5282" spans="1:4" x14ac:dyDescent="0.25">
      <c r="A5282" t="str">
        <f>T("   845590")</f>
        <v xml:space="preserve">   845590</v>
      </c>
      <c r="B5282" t="str">
        <f>T("   AUTRES PARTIES")</f>
        <v xml:space="preserve">   AUTRES PARTIES</v>
      </c>
      <c r="C5282" s="4">
        <v>7421</v>
      </c>
      <c r="D5282" s="4">
        <v>637910</v>
      </c>
    </row>
    <row r="5283" spans="1:4" x14ac:dyDescent="0.25">
      <c r="A5283" t="str">
        <f>T("   845819")</f>
        <v xml:space="preserve">   845819</v>
      </c>
      <c r="B5283" t="str">
        <f>T("   AUTRES")</f>
        <v xml:space="preserve">   AUTRES</v>
      </c>
      <c r="C5283" s="4">
        <v>2200</v>
      </c>
      <c r="D5283" s="4">
        <v>11174279</v>
      </c>
    </row>
    <row r="5284" spans="1:4" x14ac:dyDescent="0.25">
      <c r="A5284" t="str">
        <f>T("   846039")</f>
        <v xml:space="preserve">   846039</v>
      </c>
      <c r="B5284" t="str">
        <f>T("   AUTRES")</f>
        <v xml:space="preserve">   AUTRES</v>
      </c>
      <c r="C5284" s="4">
        <v>190</v>
      </c>
      <c r="D5284" s="4">
        <v>3619487</v>
      </c>
    </row>
    <row r="5285" spans="1:4" x14ac:dyDescent="0.25">
      <c r="A5285" t="str">
        <f>T("   846190")</f>
        <v xml:space="preserve">   846190</v>
      </c>
      <c r="B5285" t="str">
        <f>T("   AUTRES")</f>
        <v xml:space="preserve">   AUTRES</v>
      </c>
      <c r="C5285" s="4">
        <v>143</v>
      </c>
      <c r="D5285" s="4">
        <v>3146502</v>
      </c>
    </row>
    <row r="5286" spans="1:4" x14ac:dyDescent="0.25">
      <c r="A5286" t="str">
        <f>T("   846229")</f>
        <v xml:space="preserve">   846229</v>
      </c>
      <c r="B5286" t="str">
        <f>T("   AUTRES")</f>
        <v xml:space="preserve">   AUTRES</v>
      </c>
      <c r="C5286" s="4">
        <v>1513</v>
      </c>
      <c r="D5286" s="4">
        <v>21682577</v>
      </c>
    </row>
    <row r="5287" spans="1:4" x14ac:dyDescent="0.25">
      <c r="A5287" t="str">
        <f>T("   846239")</f>
        <v xml:space="preserve">   846239</v>
      </c>
      <c r="B5287" t="str">
        <f>T("   AUTRES")</f>
        <v xml:space="preserve">   AUTRES</v>
      </c>
      <c r="C5287" s="4">
        <v>1215</v>
      </c>
      <c r="D5287" s="4">
        <v>16124153</v>
      </c>
    </row>
    <row r="5288" spans="1:4" x14ac:dyDescent="0.25">
      <c r="A5288" t="str">
        <f>T("   846291")</f>
        <v xml:space="preserve">   846291</v>
      </c>
      <c r="B5288" t="str">
        <f>T("   PRESSES HYDRAULIQUES")</f>
        <v xml:space="preserve">   PRESSES HYDRAULIQUES</v>
      </c>
      <c r="C5288" s="4">
        <v>4140</v>
      </c>
      <c r="D5288" s="4">
        <v>241268228</v>
      </c>
    </row>
    <row r="5289" spans="1:4" x14ac:dyDescent="0.25">
      <c r="A5289" t="str">
        <f>T("   846390")</f>
        <v xml:space="preserve">   846390</v>
      </c>
      <c r="B5289" t="str">
        <f>T("   AUTRES")</f>
        <v xml:space="preserve">   AUTRES</v>
      </c>
      <c r="C5289" s="4">
        <v>63</v>
      </c>
      <c r="D5289" s="4">
        <v>1573216</v>
      </c>
    </row>
    <row r="5290" spans="1:4" x14ac:dyDescent="0.25">
      <c r="A5290" t="str">
        <f>T("   846591")</f>
        <v xml:space="preserve">   846591</v>
      </c>
      <c r="B5290" t="str">
        <f>T("   MACHINES A SCIER")</f>
        <v xml:space="preserve">   MACHINES A SCIER</v>
      </c>
      <c r="C5290" s="4">
        <v>26728</v>
      </c>
      <c r="D5290" s="4">
        <v>22283356</v>
      </c>
    </row>
    <row r="5291" spans="1:4" x14ac:dyDescent="0.25">
      <c r="A5291" t="str">
        <f>T("   846593")</f>
        <v xml:space="preserve">   846593</v>
      </c>
      <c r="B5291" t="str">
        <f>T("   MACHINES A MEULER, A PONCER OU A POLIR")</f>
        <v xml:space="preserve">   MACHINES A MEULER, A PONCER OU A POLIR</v>
      </c>
      <c r="C5291" s="4">
        <v>48</v>
      </c>
      <c r="D5291" s="4">
        <v>1105673</v>
      </c>
    </row>
    <row r="5292" spans="1:4" x14ac:dyDescent="0.25">
      <c r="A5292" t="str">
        <f>T("   846599")</f>
        <v xml:space="preserve">   846599</v>
      </c>
      <c r="B5292" t="str">
        <f>T("   AUTRES")</f>
        <v xml:space="preserve">   AUTRES</v>
      </c>
      <c r="C5292" s="4">
        <v>662</v>
      </c>
      <c r="D5292" s="4">
        <v>1031169</v>
      </c>
    </row>
    <row r="5293" spans="1:4" x14ac:dyDescent="0.25">
      <c r="A5293" t="str">
        <f>T("   846610")</f>
        <v xml:space="preserve">   846610</v>
      </c>
      <c r="B5293" t="str">
        <f>T("   PORTEOUTILS ET FILIERES A DECLENCHEMENT AUTOMATIQUE")</f>
        <v xml:space="preserve">   PORTEOUTILS ET FILIERES A DECLENCHEMENT AUTOMATIQUE</v>
      </c>
      <c r="C5293" s="4">
        <v>1</v>
      </c>
      <c r="D5293" s="4">
        <v>4742</v>
      </c>
    </row>
    <row r="5294" spans="1:4" x14ac:dyDescent="0.25">
      <c r="A5294" t="str">
        <f>T("   846630")</f>
        <v xml:space="preserve">   846630</v>
      </c>
      <c r="B5294" t="str">
        <f>T("   DISPOSITIFS DIVISEURS ET AUTRES DISPOSITIFS SPECIAUX SE MONTANT SUR MACHINESOUTILS")</f>
        <v xml:space="preserve">   DISPOSITIFS DIVISEURS ET AUTRES DISPOSITIFS SPECIAUX SE MONTANT SUR MACHINESOUTILS</v>
      </c>
      <c r="C5294" s="4">
        <v>839</v>
      </c>
      <c r="D5294" s="4">
        <v>3591619</v>
      </c>
    </row>
    <row r="5295" spans="1:4" x14ac:dyDescent="0.25">
      <c r="A5295" t="str">
        <f>T("   846692")</f>
        <v xml:space="preserve">   846692</v>
      </c>
      <c r="B5295" t="str">
        <f>T("   POUR MACHINES DU N° 84.65")</f>
        <v xml:space="preserve">   POUR MACHINES DU N° 84.65</v>
      </c>
      <c r="C5295" s="4">
        <v>30</v>
      </c>
      <c r="D5295" s="4">
        <v>50000</v>
      </c>
    </row>
    <row r="5296" spans="1:4" x14ac:dyDescent="0.25">
      <c r="A5296" t="str">
        <f>T("   846694")</f>
        <v xml:space="preserve">   846694</v>
      </c>
      <c r="B5296" t="str">
        <f>T("   POUR MACHINES DES N°S 84.62 OU 84.63")</f>
        <v xml:space="preserve">   POUR MACHINES DES N°S 84.62 OU 84.63</v>
      </c>
      <c r="C5296" s="4">
        <v>78</v>
      </c>
      <c r="D5296" s="4">
        <v>1395227</v>
      </c>
    </row>
    <row r="5297" spans="1:4" x14ac:dyDescent="0.25">
      <c r="A5297" t="str">
        <f>T("   846721")</f>
        <v xml:space="preserve">   846721</v>
      </c>
      <c r="B5297" t="str">
        <f>T("   PERCEUSES DE TOUS GENRES, Y COMPRIS LES PERFORATRICES ROTATIVES")</f>
        <v xml:space="preserve">   PERCEUSES DE TOUS GENRES, Y COMPRIS LES PERFORATRICES ROTATIVES</v>
      </c>
      <c r="C5297" s="4">
        <v>1035</v>
      </c>
      <c r="D5297" s="4">
        <v>6758416</v>
      </c>
    </row>
    <row r="5298" spans="1:4" x14ac:dyDescent="0.25">
      <c r="A5298" t="str">
        <f>T("   846722")</f>
        <v xml:space="preserve">   846722</v>
      </c>
      <c r="B5298" t="str">
        <f>T("   SCIES ET TRONCONNEUSES")</f>
        <v xml:space="preserve">   SCIES ET TRONCONNEUSES</v>
      </c>
      <c r="C5298" s="4">
        <v>277</v>
      </c>
      <c r="D5298" s="4">
        <v>1941608</v>
      </c>
    </row>
    <row r="5299" spans="1:4" x14ac:dyDescent="0.25">
      <c r="A5299" t="str">
        <f>T("   846729")</f>
        <v xml:space="preserve">   846729</v>
      </c>
      <c r="B5299" t="str">
        <f>T("   AUTRES")</f>
        <v xml:space="preserve">   AUTRES</v>
      </c>
      <c r="C5299" s="4">
        <v>141</v>
      </c>
      <c r="D5299" s="4">
        <v>2050499</v>
      </c>
    </row>
    <row r="5300" spans="1:4" x14ac:dyDescent="0.25">
      <c r="A5300" t="str">
        <f>T("   846789")</f>
        <v xml:space="preserve">   846789</v>
      </c>
      <c r="B5300" t="str">
        <f>T("   AUTRES")</f>
        <v xml:space="preserve">   AUTRES</v>
      </c>
      <c r="C5300" s="4">
        <v>2184</v>
      </c>
      <c r="D5300" s="4">
        <v>11008237</v>
      </c>
    </row>
    <row r="5301" spans="1:4" x14ac:dyDescent="0.25">
      <c r="A5301" t="str">
        <f>T("   846799")</f>
        <v xml:space="preserve">   846799</v>
      </c>
      <c r="B5301" t="str">
        <f>T("   AUTRES")</f>
        <v xml:space="preserve">   AUTRES</v>
      </c>
      <c r="C5301" s="4">
        <v>1946</v>
      </c>
      <c r="D5301" s="4">
        <v>14592486</v>
      </c>
    </row>
    <row r="5302" spans="1:4" x14ac:dyDescent="0.25">
      <c r="A5302" t="str">
        <f>T("   846810")</f>
        <v xml:space="preserve">   846810</v>
      </c>
      <c r="B5302" t="str">
        <f>T("   CHALUMEAUX GUIDES A LA MAIN")</f>
        <v xml:space="preserve">   CHALUMEAUX GUIDES A LA MAIN</v>
      </c>
      <c r="C5302" s="4">
        <v>124</v>
      </c>
      <c r="D5302" s="4">
        <v>1942160</v>
      </c>
    </row>
    <row r="5303" spans="1:4" x14ac:dyDescent="0.25">
      <c r="A5303" t="str">
        <f>T("   846820")</f>
        <v xml:space="preserve">   846820</v>
      </c>
      <c r="B5303" t="str">
        <f>T("   Autres machines et appareils aux gaz")</f>
        <v xml:space="preserve">   Autres machines et appareils aux gaz</v>
      </c>
      <c r="C5303" s="4">
        <v>39</v>
      </c>
      <c r="D5303" s="4">
        <v>3688039</v>
      </c>
    </row>
    <row r="5304" spans="1:4" x14ac:dyDescent="0.25">
      <c r="A5304" t="str">
        <f>T("   846880")</f>
        <v xml:space="preserve">   846880</v>
      </c>
      <c r="B5304" t="str">
        <f>T("   AUTRES MACHINES ET APPAREILS")</f>
        <v xml:space="preserve">   AUTRES MACHINES ET APPAREILS</v>
      </c>
      <c r="C5304" s="4">
        <v>286</v>
      </c>
      <c r="D5304" s="4">
        <v>1901657</v>
      </c>
    </row>
    <row r="5305" spans="1:4" x14ac:dyDescent="0.25">
      <c r="A5305" t="str">
        <f>T("   846890")</f>
        <v xml:space="preserve">   846890</v>
      </c>
      <c r="B5305" t="str">
        <f>T("   PARTIES")</f>
        <v xml:space="preserve">   PARTIES</v>
      </c>
      <c r="C5305" s="4">
        <v>904</v>
      </c>
      <c r="D5305" s="4">
        <v>13112482</v>
      </c>
    </row>
    <row r="5306" spans="1:4" x14ac:dyDescent="0.25">
      <c r="A5306" t="str">
        <f>T("   846900")</f>
        <v xml:space="preserve">   846900</v>
      </c>
      <c r="B5306" t="str">
        <f>T("   MACHINES A ECRIRE AUTRES QUE LES IMPRIMANTES DU N° 84.43; MACHINES POUR LE TRAITEMENT D")</f>
        <v xml:space="preserve">   MACHINES A ECRIRE AUTRES QUE LES IMPRIMANTES DU N° 84.43; MACHINES POUR LE TRAITEMENT D</v>
      </c>
      <c r="C5306" s="4">
        <v>2157</v>
      </c>
      <c r="D5306" s="4">
        <v>11556703</v>
      </c>
    </row>
    <row r="5307" spans="1:4" x14ac:dyDescent="0.25">
      <c r="A5307" t="str">
        <f>T("   847010")</f>
        <v xml:space="preserve">   847010</v>
      </c>
      <c r="B5307" t="str">
        <f>T("   CALCULATRICES ELECTRONIQUES POUVANT FONCTIONNER SANS SOURCE D'ENERGIE ELECTRIQUE EXTE")</f>
        <v xml:space="preserve">   CALCULATRICES ELECTRONIQUES POUVANT FONCTIONNER SANS SOURCE D'ENERGIE ELECTRIQUE EXTE</v>
      </c>
      <c r="C5307" s="4">
        <v>1420</v>
      </c>
      <c r="D5307" s="4">
        <v>6278061</v>
      </c>
    </row>
    <row r="5308" spans="1:4" x14ac:dyDescent="0.25">
      <c r="A5308" t="str">
        <f>T("   847030")</f>
        <v xml:space="preserve">   847030</v>
      </c>
      <c r="B5308" t="str">
        <f>T("   AUTRES MACHINES A CALCULER")</f>
        <v xml:space="preserve">   AUTRES MACHINES A CALCULER</v>
      </c>
      <c r="C5308" s="4">
        <v>159</v>
      </c>
      <c r="D5308" s="4">
        <v>633769</v>
      </c>
    </row>
    <row r="5309" spans="1:4" x14ac:dyDescent="0.25">
      <c r="A5309" t="str">
        <f>T("   847130")</f>
        <v xml:space="preserve">   847130</v>
      </c>
      <c r="B5309" t="str">
        <f>T("   MACHINES AUTOMATIQUES DE TRAITEMENT DE L'INFORMATION PORTATIVES, D'UN POIDS N'EXCEDAN")</f>
        <v xml:space="preserve">   MACHINES AUTOMATIQUES DE TRAITEMENT DE L'INFORMATION PORTATIVES, D'UN POIDS N'EXCEDAN</v>
      </c>
      <c r="C5309" s="4">
        <v>4956.6000000000004</v>
      </c>
      <c r="D5309" s="4">
        <v>63238390</v>
      </c>
    </row>
    <row r="5310" spans="1:4" x14ac:dyDescent="0.25">
      <c r="A5310" t="str">
        <f>T("   847141")</f>
        <v xml:space="preserve">   847141</v>
      </c>
      <c r="B5310" t="str">
        <f>T("   COMPORTANT, SOUS UNE MEME ENVELOPPE, AU MOINS UNE UNITE CENTRALE DE TRAITEMENT ET, Q")</f>
        <v xml:space="preserve">   COMPORTANT, SOUS UNE MEME ENVELOPPE, AU MOINS UNE UNITE CENTRALE DE TRAITEMENT ET, Q</v>
      </c>
      <c r="C5310" s="4">
        <v>8779</v>
      </c>
      <c r="D5310" s="4">
        <v>102284746</v>
      </c>
    </row>
    <row r="5311" spans="1:4" x14ac:dyDescent="0.25">
      <c r="A5311" t="str">
        <f>T("   847149")</f>
        <v xml:space="preserve">   847149</v>
      </c>
      <c r="B5311" t="str">
        <f>T("   AUTRES, SE PRESENTANT SOUS FORME DE SYSTEMES")</f>
        <v xml:space="preserve">   AUTRES, SE PRESENTANT SOUS FORME DE SYSTEMES</v>
      </c>
      <c r="C5311" s="4">
        <v>76581</v>
      </c>
      <c r="D5311" s="4">
        <v>337772358</v>
      </c>
    </row>
    <row r="5312" spans="1:4" x14ac:dyDescent="0.25">
      <c r="A5312" t="str">
        <f>T("   847150")</f>
        <v xml:space="preserve">   847150</v>
      </c>
      <c r="B5312" t="str">
        <f>T("   UNITES DE TRAITEMENT AUTRES QUE CELLES DES N°S 8471.41 OU 8471.49, POUVANT COMPORTER,")</f>
        <v xml:space="preserve">   UNITES DE TRAITEMENT AUTRES QUE CELLES DES N°S 8471.41 OU 8471.49, POUVANT COMPORTER,</v>
      </c>
      <c r="C5312" s="4">
        <v>2396</v>
      </c>
      <c r="D5312" s="4">
        <v>296393142</v>
      </c>
    </row>
    <row r="5313" spans="1:4" x14ac:dyDescent="0.25">
      <c r="A5313" t="str">
        <f>T("   847160")</f>
        <v xml:space="preserve">   847160</v>
      </c>
      <c r="B5313" t="str">
        <f>T("   UNITES D'ENTREE OU DE SORTIE, POUVANT COMPORTER, SOUS LA MEME ENVELOPPE, DES UNITES D")</f>
        <v xml:space="preserve">   UNITES D'ENTREE OU DE SORTIE, POUVANT COMPORTER, SOUS LA MEME ENVELOPPE, DES UNITES D</v>
      </c>
      <c r="C5313" s="4">
        <v>3371</v>
      </c>
      <c r="D5313" s="4">
        <v>22760807</v>
      </c>
    </row>
    <row r="5314" spans="1:4" x14ac:dyDescent="0.25">
      <c r="A5314" t="str">
        <f>T("   847180")</f>
        <v xml:space="preserve">   847180</v>
      </c>
      <c r="B5314" t="str">
        <f>T("   AUTRES UNITES DE MACHINES AUTOMATIQUES DE TRAITEMENT DE L'INFORMATION")</f>
        <v xml:space="preserve">   AUTRES UNITES DE MACHINES AUTOMATIQUES DE TRAITEMENT DE L'INFORMATION</v>
      </c>
      <c r="C5314" s="4">
        <v>134971.6</v>
      </c>
      <c r="D5314" s="4">
        <v>863938674</v>
      </c>
    </row>
    <row r="5315" spans="1:4" x14ac:dyDescent="0.25">
      <c r="A5315" t="str">
        <f>T("   847190")</f>
        <v xml:space="preserve">   847190</v>
      </c>
      <c r="B5315" t="str">
        <f>T("   AUTRES")</f>
        <v xml:space="preserve">   AUTRES</v>
      </c>
      <c r="C5315" s="4">
        <v>86007.6</v>
      </c>
      <c r="D5315" s="4">
        <v>1134543420</v>
      </c>
    </row>
    <row r="5316" spans="1:4" x14ac:dyDescent="0.25">
      <c r="A5316" t="str">
        <f>T("   847210")</f>
        <v xml:space="preserve">   847210</v>
      </c>
      <c r="B5316" t="str">
        <f>T("   Duplicateurs")</f>
        <v xml:space="preserve">   Duplicateurs</v>
      </c>
      <c r="C5316" s="4">
        <v>463</v>
      </c>
      <c r="D5316" s="4">
        <v>2380865</v>
      </c>
    </row>
    <row r="5317" spans="1:4" x14ac:dyDescent="0.25">
      <c r="A5317" t="str">
        <f>T("   847230")</f>
        <v xml:space="preserve">   847230</v>
      </c>
      <c r="B5317" t="str">
        <f>T("   MACHINES POUR LE TRIAGE, LE PLIAGE, LA MISE SOUS ENVELOPPE OU SOUS BANDE DU COURRIER,")</f>
        <v xml:space="preserve">   MACHINES POUR LE TRIAGE, LE PLIAGE, LA MISE SOUS ENVELOPPE OU SOUS BANDE DU COURRIER,</v>
      </c>
      <c r="C5317" s="4">
        <v>2185</v>
      </c>
      <c r="D5317" s="4">
        <v>6528500</v>
      </c>
    </row>
    <row r="5318" spans="1:4" x14ac:dyDescent="0.25">
      <c r="A5318" t="str">
        <f>T("   847290")</f>
        <v xml:space="preserve">   847290</v>
      </c>
      <c r="B5318" t="str">
        <f>T("   AUTRES")</f>
        <v xml:space="preserve">   AUTRES</v>
      </c>
      <c r="C5318" s="4">
        <v>14354.62</v>
      </c>
      <c r="D5318" s="4">
        <v>34355677</v>
      </c>
    </row>
    <row r="5319" spans="1:4" x14ac:dyDescent="0.25">
      <c r="A5319" t="str">
        <f>T("   847310")</f>
        <v xml:space="preserve">   847310</v>
      </c>
      <c r="B5319" t="str">
        <f>T("   PARTIES ET ACCESSOIRES DES MACHINES DU N° 84.69")</f>
        <v xml:space="preserve">   PARTIES ET ACCESSOIRES DES MACHINES DU N° 84.69</v>
      </c>
      <c r="C5319" s="4">
        <v>319</v>
      </c>
      <c r="D5319" s="4">
        <v>1632074</v>
      </c>
    </row>
    <row r="5320" spans="1:4" x14ac:dyDescent="0.25">
      <c r="A5320" t="str">
        <f>T("   847330")</f>
        <v xml:space="preserve">   847330</v>
      </c>
      <c r="B5320" t="str">
        <f>T("   PARTIES ET ACCESSOIRES DES MACHINES DU N° 84.71")</f>
        <v xml:space="preserve">   PARTIES ET ACCESSOIRES DES MACHINES DU N° 84.71</v>
      </c>
      <c r="C5320" s="4">
        <v>30857.1</v>
      </c>
      <c r="D5320" s="4">
        <v>65268436</v>
      </c>
    </row>
    <row r="5321" spans="1:4" x14ac:dyDescent="0.25">
      <c r="A5321" t="str">
        <f>T("   847340")</f>
        <v xml:space="preserve">   847340</v>
      </c>
      <c r="B5321" t="str">
        <f>T("   PARTIES ET ACCESSOIRES DES MACHINES DU N° 84.72")</f>
        <v xml:space="preserve">   PARTIES ET ACCESSOIRES DES MACHINES DU N° 84.72</v>
      </c>
      <c r="C5321" s="4">
        <v>697.63</v>
      </c>
      <c r="D5321" s="4">
        <v>8364669</v>
      </c>
    </row>
    <row r="5322" spans="1:4" x14ac:dyDescent="0.25">
      <c r="A5322" t="str">
        <f>T("   847350")</f>
        <v xml:space="preserve">   847350</v>
      </c>
      <c r="B5322" t="str">
        <f>T("   PARTIES ET ACCESSOIRES QUI PEUVENT ETRE UTILISES INDIFFEREMMENT AVEC LES MACHINES OU")</f>
        <v xml:space="preserve">   PARTIES ET ACCESSOIRES QUI PEUVENT ETRE UTILISES INDIFFEREMMENT AVEC LES MACHINES OU</v>
      </c>
      <c r="C5322" s="4">
        <v>59.58</v>
      </c>
      <c r="D5322" s="4">
        <v>1117495</v>
      </c>
    </row>
    <row r="5323" spans="1:4" x14ac:dyDescent="0.25">
      <c r="A5323" t="str">
        <f>T("   847410")</f>
        <v xml:space="preserve">   847410</v>
      </c>
      <c r="B5323" t="str">
        <f>T("   MACHINES ET APPAREILS A TRIER, CRIBLER, SEPARER OU LAVER")</f>
        <v xml:space="preserve">   MACHINES ET APPAREILS A TRIER, CRIBLER, SEPARER OU LAVER</v>
      </c>
      <c r="C5323" s="4">
        <v>19040</v>
      </c>
      <c r="D5323" s="4">
        <v>51248187</v>
      </c>
    </row>
    <row r="5324" spans="1:4" x14ac:dyDescent="0.25">
      <c r="A5324" t="str">
        <f>T("   847431")</f>
        <v xml:space="preserve">   847431</v>
      </c>
      <c r="B5324" t="str">
        <f>T("   BETONNIERES ET APPAREILS A GACHER LE CIMENT")</f>
        <v xml:space="preserve">   BETONNIERES ET APPAREILS A GACHER LE CIMENT</v>
      </c>
      <c r="C5324" s="4">
        <v>10320</v>
      </c>
      <c r="D5324" s="4">
        <v>42557051</v>
      </c>
    </row>
    <row r="5325" spans="1:4" x14ac:dyDescent="0.25">
      <c r="A5325" t="str">
        <f>T("   847439")</f>
        <v xml:space="preserve">   847439</v>
      </c>
      <c r="B5325" t="str">
        <f>T("   AUTRES")</f>
        <v xml:space="preserve">   AUTRES</v>
      </c>
      <c r="C5325" s="4">
        <v>0.34</v>
      </c>
      <c r="D5325" s="4">
        <v>159806</v>
      </c>
    </row>
    <row r="5326" spans="1:4" x14ac:dyDescent="0.25">
      <c r="A5326" t="str">
        <f>T("   847480")</f>
        <v xml:space="preserve">   847480</v>
      </c>
      <c r="B5326" t="str">
        <f>T("   AUTRES MACHINES ET APPAREILS")</f>
        <v xml:space="preserve">   AUTRES MACHINES ET APPAREILS</v>
      </c>
      <c r="C5326" s="4">
        <v>267</v>
      </c>
      <c r="D5326" s="4">
        <v>10898504</v>
      </c>
    </row>
    <row r="5327" spans="1:4" x14ac:dyDescent="0.25">
      <c r="A5327" t="str">
        <f>T("   847490")</f>
        <v xml:space="preserve">   847490</v>
      </c>
      <c r="B5327" t="str">
        <f>T("   PARTIES")</f>
        <v xml:space="preserve">   PARTIES</v>
      </c>
      <c r="C5327" s="4">
        <v>39572</v>
      </c>
      <c r="D5327" s="4">
        <v>254297692</v>
      </c>
    </row>
    <row r="5328" spans="1:4" x14ac:dyDescent="0.25">
      <c r="A5328" t="str">
        <f>T("   847629")</f>
        <v xml:space="preserve">   847629</v>
      </c>
      <c r="B5328" t="str">
        <f>T("   AUTRES")</f>
        <v xml:space="preserve">   AUTRES</v>
      </c>
      <c r="C5328" s="4">
        <v>8</v>
      </c>
      <c r="D5328" s="4">
        <v>1457543</v>
      </c>
    </row>
    <row r="5329" spans="1:4" x14ac:dyDescent="0.25">
      <c r="A5329" t="str">
        <f>T("   847689")</f>
        <v xml:space="preserve">   847689</v>
      </c>
      <c r="B5329" t="str">
        <f>T("   AUTRES")</f>
        <v xml:space="preserve">   AUTRES</v>
      </c>
      <c r="C5329" s="4">
        <v>1000</v>
      </c>
      <c r="D5329" s="4">
        <v>240000</v>
      </c>
    </row>
    <row r="5330" spans="1:4" x14ac:dyDescent="0.25">
      <c r="A5330" t="str">
        <f>T("   847710")</f>
        <v xml:space="preserve">   847710</v>
      </c>
      <c r="B5330" t="str">
        <f>T("   MACHINES A MOULER PAR INJECTION")</f>
        <v xml:space="preserve">   MACHINES A MOULER PAR INJECTION</v>
      </c>
      <c r="C5330" s="4">
        <v>42250</v>
      </c>
      <c r="D5330" s="4">
        <v>327427027</v>
      </c>
    </row>
    <row r="5331" spans="1:4" x14ac:dyDescent="0.25">
      <c r="A5331" t="str">
        <f>T("   847790")</f>
        <v xml:space="preserve">   847790</v>
      </c>
      <c r="B5331" t="str">
        <f>T("   PARTIES")</f>
        <v xml:space="preserve">   PARTIES</v>
      </c>
      <c r="C5331" s="4">
        <v>336</v>
      </c>
      <c r="D5331" s="4">
        <v>9637765</v>
      </c>
    </row>
    <row r="5332" spans="1:4" x14ac:dyDescent="0.25">
      <c r="A5332" t="str">
        <f>T("   847810")</f>
        <v xml:space="preserve">   847810</v>
      </c>
      <c r="B5332" t="str">
        <f>T("   MACHINES ET APPAREILS")</f>
        <v xml:space="preserve">   MACHINES ET APPAREILS</v>
      </c>
      <c r="C5332" s="4">
        <v>358</v>
      </c>
      <c r="D5332" s="4">
        <v>781248</v>
      </c>
    </row>
    <row r="5333" spans="1:4" x14ac:dyDescent="0.25">
      <c r="A5333" t="str">
        <f>T("   847910")</f>
        <v xml:space="preserve">   847910</v>
      </c>
      <c r="B5333" t="str">
        <f>T("   MACHINES ET APPAREILS POUR LES TRAVAUX PUBLICS, LE BATIMENT OU LES TRAVAUX ANALOGUES")</f>
        <v xml:space="preserve">   MACHINES ET APPAREILS POUR LES TRAVAUX PUBLICS, LE BATIMENT OU LES TRAVAUX ANALOGUES</v>
      </c>
      <c r="C5333" s="4">
        <v>177.9</v>
      </c>
      <c r="D5333" s="4">
        <v>1776463</v>
      </c>
    </row>
    <row r="5334" spans="1:4" x14ac:dyDescent="0.25">
      <c r="A5334" t="str">
        <f>T("   847920")</f>
        <v xml:space="preserve">   847920</v>
      </c>
      <c r="B5334" t="str">
        <f>T("   MACHINES ET APPAREILS POUR L'EXTRACTION OU LA PREPARATION DES HUILES OU GRAISSES VEGE")</f>
        <v xml:space="preserve">   MACHINES ET APPAREILS POUR L'EXTRACTION OU LA PREPARATION DES HUILES OU GRAISSES VEGE</v>
      </c>
      <c r="C5334" s="4">
        <v>35.25</v>
      </c>
      <c r="D5334" s="4">
        <v>955715</v>
      </c>
    </row>
    <row r="5335" spans="1:4" x14ac:dyDescent="0.25">
      <c r="A5335" t="str">
        <f>T("   847940")</f>
        <v xml:space="preserve">   847940</v>
      </c>
      <c r="B5335" t="str">
        <f>T("   MACHINES DE CORDERIE OU DE CABLERIE")</f>
        <v xml:space="preserve">   MACHINES DE CORDERIE OU DE CABLERIE</v>
      </c>
      <c r="C5335" s="4">
        <v>322</v>
      </c>
      <c r="D5335" s="4">
        <v>979547</v>
      </c>
    </row>
    <row r="5336" spans="1:4" x14ac:dyDescent="0.25">
      <c r="A5336" t="str">
        <f>T("   847982")</f>
        <v xml:space="preserve">   847982</v>
      </c>
      <c r="B5336" t="str">
        <f>T("   A MELANGER, MALAXER, CONCASSER, BROYER, CRIBLER, TAMISER, HOMOGENEISER, EMULSIONNER")</f>
        <v xml:space="preserve">   A MELANGER, MALAXER, CONCASSER, BROYER, CRIBLER, TAMISER, HOMOGENEISER, EMULSIONNER</v>
      </c>
      <c r="C5336" s="4">
        <v>537</v>
      </c>
      <c r="D5336" s="4">
        <v>16083326</v>
      </c>
    </row>
    <row r="5337" spans="1:4" x14ac:dyDescent="0.25">
      <c r="A5337" t="str">
        <f>T("   847989")</f>
        <v xml:space="preserve">   847989</v>
      </c>
      <c r="B5337" t="str">
        <f>T("   AUTRES")</f>
        <v xml:space="preserve">   AUTRES</v>
      </c>
      <c r="C5337" s="4">
        <v>121045.2</v>
      </c>
      <c r="D5337" s="4">
        <v>247530666</v>
      </c>
    </row>
    <row r="5338" spans="1:4" x14ac:dyDescent="0.25">
      <c r="A5338" t="str">
        <f>T("   847990")</f>
        <v xml:space="preserve">   847990</v>
      </c>
      <c r="B5338" t="str">
        <f>T("   PARTIES")</f>
        <v xml:space="preserve">   PARTIES</v>
      </c>
      <c r="C5338" s="4">
        <v>1471.9</v>
      </c>
      <c r="D5338" s="4">
        <v>32371450</v>
      </c>
    </row>
    <row r="5339" spans="1:4" x14ac:dyDescent="0.25">
      <c r="A5339" t="str">
        <f>T("   848049")</f>
        <v xml:space="preserve">   848049</v>
      </c>
      <c r="B5339" t="str">
        <f>T("   AUTRES")</f>
        <v xml:space="preserve">   AUTRES</v>
      </c>
      <c r="C5339" s="4">
        <v>63</v>
      </c>
      <c r="D5339" s="4">
        <v>1480173</v>
      </c>
    </row>
    <row r="5340" spans="1:4" x14ac:dyDescent="0.25">
      <c r="A5340" t="str">
        <f>T("   848071")</f>
        <v xml:space="preserve">   848071</v>
      </c>
      <c r="B5340" t="str">
        <f>T("   POUR LE MOULAGE PAR INJECTION OU PAR COMPRESSION")</f>
        <v xml:space="preserve">   POUR LE MOULAGE PAR INJECTION OU PAR COMPRESSION</v>
      </c>
      <c r="C5340" s="4">
        <v>60</v>
      </c>
      <c r="D5340" s="4">
        <v>3004298</v>
      </c>
    </row>
    <row r="5341" spans="1:4" x14ac:dyDescent="0.25">
      <c r="A5341" t="str">
        <f>T("   848079")</f>
        <v xml:space="preserve">   848079</v>
      </c>
      <c r="B5341" t="str">
        <f>T("   AUTRES")</f>
        <v xml:space="preserve">   AUTRES</v>
      </c>
      <c r="C5341" s="4">
        <v>437</v>
      </c>
      <c r="D5341" s="4">
        <v>15285646</v>
      </c>
    </row>
    <row r="5342" spans="1:4" x14ac:dyDescent="0.25">
      <c r="A5342" t="str">
        <f>T("   848110")</f>
        <v xml:space="preserve">   848110</v>
      </c>
      <c r="B5342" t="str">
        <f>T("   DETENDEURS")</f>
        <v xml:space="preserve">   DETENDEURS</v>
      </c>
      <c r="C5342" s="4">
        <v>865</v>
      </c>
      <c r="D5342" s="4">
        <v>12931392</v>
      </c>
    </row>
    <row r="5343" spans="1:4" x14ac:dyDescent="0.25">
      <c r="A5343" t="str">
        <f>T("   848120")</f>
        <v xml:space="preserve">   848120</v>
      </c>
      <c r="B5343" t="str">
        <f>T("   VALVES POUR TRANSMISSIONS OLEOHYDRAULIQUES OU PNEUMATIQUES")</f>
        <v xml:space="preserve">   VALVES POUR TRANSMISSIONS OLEOHYDRAULIQUES OU PNEUMATIQUES</v>
      </c>
      <c r="C5343" s="4">
        <v>962.86</v>
      </c>
      <c r="D5343" s="4">
        <v>26300070</v>
      </c>
    </row>
    <row r="5344" spans="1:4" x14ac:dyDescent="0.25">
      <c r="A5344" t="str">
        <f>T("   848130")</f>
        <v xml:space="preserve">   848130</v>
      </c>
      <c r="B5344" t="str">
        <f>T("   Clapets et soupapes de retenue")</f>
        <v xml:space="preserve">   Clapets et soupapes de retenue</v>
      </c>
      <c r="C5344" s="4">
        <v>44933</v>
      </c>
      <c r="D5344" s="4">
        <v>51133841</v>
      </c>
    </row>
    <row r="5345" spans="1:4" x14ac:dyDescent="0.25">
      <c r="A5345" t="str">
        <f>T("   848140")</f>
        <v xml:space="preserve">   848140</v>
      </c>
      <c r="B5345" t="str">
        <f>T("   SOUPAPES DE TROPPLEIN OU DE SURETE")</f>
        <v xml:space="preserve">   SOUPAPES DE TROPPLEIN OU DE SURETE</v>
      </c>
      <c r="C5345" s="4">
        <v>71</v>
      </c>
      <c r="D5345" s="4">
        <v>1103832</v>
      </c>
    </row>
    <row r="5346" spans="1:4" x14ac:dyDescent="0.25">
      <c r="A5346" t="str">
        <f>T("   848180")</f>
        <v xml:space="preserve">   848180</v>
      </c>
      <c r="B5346" t="str">
        <f>T("   Autres articles de robinetterie et organes similaires")</f>
        <v xml:space="preserve">   Autres articles de robinetterie et organes similaires</v>
      </c>
      <c r="C5346" s="4">
        <v>39954.58</v>
      </c>
      <c r="D5346" s="4">
        <v>227132769</v>
      </c>
    </row>
    <row r="5347" spans="1:4" x14ac:dyDescent="0.25">
      <c r="A5347" t="str">
        <f>T("   848190")</f>
        <v xml:space="preserve">   848190</v>
      </c>
      <c r="B5347" t="str">
        <f>T("   PARTIES")</f>
        <v xml:space="preserve">   PARTIES</v>
      </c>
      <c r="C5347" s="4">
        <v>995</v>
      </c>
      <c r="D5347" s="4">
        <v>9789173</v>
      </c>
    </row>
    <row r="5348" spans="1:4" x14ac:dyDescent="0.25">
      <c r="A5348" t="str">
        <f>T("   848210")</f>
        <v xml:space="preserve">   848210</v>
      </c>
      <c r="B5348" t="str">
        <f>T("   ROULEMENTS A BILLES")</f>
        <v xml:space="preserve">   ROULEMENTS A BILLES</v>
      </c>
      <c r="C5348" s="4">
        <v>1716</v>
      </c>
      <c r="D5348" s="4">
        <v>15223182</v>
      </c>
    </row>
    <row r="5349" spans="1:4" x14ac:dyDescent="0.25">
      <c r="A5349" t="str">
        <f>T("   848220")</f>
        <v xml:space="preserve">   848220</v>
      </c>
      <c r="B5349" t="str">
        <f>T("   ROULEMENTS A ROULEAUX CONIQUES, Y COMPRIS LES ASSEMBLAGES DE CONES ET ROULEAUX CONIQU")</f>
        <v xml:space="preserve">   ROULEMENTS A ROULEAUX CONIQUES, Y COMPRIS LES ASSEMBLAGES DE CONES ET ROULEAUX CONIQU</v>
      </c>
      <c r="C5349" s="4">
        <v>1806</v>
      </c>
      <c r="D5349" s="4">
        <v>19532694</v>
      </c>
    </row>
    <row r="5350" spans="1:4" x14ac:dyDescent="0.25">
      <c r="A5350" t="str">
        <f>T("   848240")</f>
        <v xml:space="preserve">   848240</v>
      </c>
      <c r="B5350" t="str">
        <f>T("   ROULEMENTS A AIGUILLES")</f>
        <v xml:space="preserve">   ROULEMENTS A AIGUILLES</v>
      </c>
      <c r="C5350" s="4">
        <v>260</v>
      </c>
      <c r="D5350" s="4">
        <v>2099072</v>
      </c>
    </row>
    <row r="5351" spans="1:4" x14ac:dyDescent="0.25">
      <c r="A5351" t="str">
        <f>T("   848250")</f>
        <v xml:space="preserve">   848250</v>
      </c>
      <c r="B5351" t="str">
        <f>T("   ROULEMENTS A ROULEAUX CYLINDRIQUES")</f>
        <v xml:space="preserve">   ROULEMENTS A ROULEAUX CYLINDRIQUES</v>
      </c>
      <c r="C5351" s="4">
        <v>235</v>
      </c>
      <c r="D5351" s="4">
        <v>896494</v>
      </c>
    </row>
    <row r="5352" spans="1:4" x14ac:dyDescent="0.25">
      <c r="A5352" t="str">
        <f>T("   848280")</f>
        <v xml:space="preserve">   848280</v>
      </c>
      <c r="B5352" t="str">
        <f>T("   AUTRES, Y COMPRIS LES ROULEMENTS COMBINES")</f>
        <v xml:space="preserve">   AUTRES, Y COMPRIS LES ROULEMENTS COMBINES</v>
      </c>
      <c r="C5352" s="4">
        <v>2018.05</v>
      </c>
      <c r="D5352" s="4">
        <v>17208097</v>
      </c>
    </row>
    <row r="5353" spans="1:4" x14ac:dyDescent="0.25">
      <c r="A5353" t="str">
        <f>T("   848291")</f>
        <v xml:space="preserve">   848291</v>
      </c>
      <c r="B5353" t="str">
        <f>T("   BILLES, GALETS, ROULEAUX ET AIGUILLES")</f>
        <v xml:space="preserve">   BILLES, GALETS, ROULEAUX ET AIGUILLES</v>
      </c>
      <c r="C5353" s="4">
        <v>706</v>
      </c>
      <c r="D5353" s="4">
        <v>3334586</v>
      </c>
    </row>
    <row r="5354" spans="1:4" x14ac:dyDescent="0.25">
      <c r="A5354" t="str">
        <f>T("   848299")</f>
        <v xml:space="preserve">   848299</v>
      </c>
      <c r="B5354" t="str">
        <f>T("   AUTRES")</f>
        <v xml:space="preserve">   AUTRES</v>
      </c>
      <c r="C5354" s="4">
        <v>164</v>
      </c>
      <c r="D5354" s="4">
        <v>1601496</v>
      </c>
    </row>
    <row r="5355" spans="1:4" x14ac:dyDescent="0.25">
      <c r="A5355" t="str">
        <f>T("   848310")</f>
        <v xml:space="preserve">   848310</v>
      </c>
      <c r="B5355" t="str">
        <f>T("   ARBRES DE TRANSMISSION (Y COMPRIS LES ARBRES A CAMES ET LES VILEBREQUINS) ET MANIVELL")</f>
        <v xml:space="preserve">   ARBRES DE TRANSMISSION (Y COMPRIS LES ARBRES A CAMES ET LES VILEBREQUINS) ET MANIVELL</v>
      </c>
      <c r="C5355" s="4">
        <v>1431.19</v>
      </c>
      <c r="D5355" s="4">
        <v>9450544</v>
      </c>
    </row>
    <row r="5356" spans="1:4" x14ac:dyDescent="0.25">
      <c r="A5356" t="str">
        <f>T("   848320")</f>
        <v xml:space="preserve">   848320</v>
      </c>
      <c r="B5356" t="str">
        <f>T("   PALIERS A ROULEMENTS INCORPORES")</f>
        <v xml:space="preserve">   PALIERS A ROULEMENTS INCORPORES</v>
      </c>
      <c r="C5356" s="4">
        <v>69</v>
      </c>
      <c r="D5356" s="4">
        <v>1292241</v>
      </c>
    </row>
    <row r="5357" spans="1:4" x14ac:dyDescent="0.25">
      <c r="A5357" t="str">
        <f>T("   848330")</f>
        <v xml:space="preserve">   848330</v>
      </c>
      <c r="B5357" t="str">
        <f>T("   PALIERS, AUTRES QU'A ROULEMENTS INCORPORES; COUSSINETS")</f>
        <v xml:space="preserve">   PALIERS, AUTRES QU'A ROULEMENTS INCORPORES; COUSSINETS</v>
      </c>
      <c r="C5357" s="4">
        <v>2240.54</v>
      </c>
      <c r="D5357" s="4">
        <v>20928391</v>
      </c>
    </row>
    <row r="5358" spans="1:4" x14ac:dyDescent="0.25">
      <c r="A5358" t="str">
        <f>T("   848340")</f>
        <v xml:space="preserve">   848340</v>
      </c>
      <c r="B5358" t="str">
        <f>T("   ENGRENAGES ET ROUES DE FRICTION, AUTRES QUE LES ROUES DENTEES ET AUTRES ORGANES ELEME")</f>
        <v xml:space="preserve">   ENGRENAGES ET ROUES DE FRICTION, AUTRES QUE LES ROUES DENTEES ET AUTRES ORGANES ELEME</v>
      </c>
      <c r="C5358" s="4">
        <v>11152.66</v>
      </c>
      <c r="D5358" s="4">
        <v>118928904</v>
      </c>
    </row>
    <row r="5359" spans="1:4" x14ac:dyDescent="0.25">
      <c r="A5359" t="str">
        <f>T("   848350")</f>
        <v xml:space="preserve">   848350</v>
      </c>
      <c r="B5359" t="str">
        <f>T("   VOLANTS ET POULIES, Y COMPRIS LES POULIES A MOUFLES")</f>
        <v xml:space="preserve">   VOLANTS ET POULIES, Y COMPRIS LES POULIES A MOUFLES</v>
      </c>
      <c r="C5359" s="4">
        <v>902</v>
      </c>
      <c r="D5359" s="4">
        <v>5780624</v>
      </c>
    </row>
    <row r="5360" spans="1:4" x14ac:dyDescent="0.25">
      <c r="A5360" t="str">
        <f>T("   848360")</f>
        <v xml:space="preserve">   848360</v>
      </c>
      <c r="B5360" t="str">
        <f>T("   EMBRAYAGES ET ORGANES D'ACCOUPLEMENT, Y COMPRIS LES JOINTS D'ARTICULATION")</f>
        <v xml:space="preserve">   EMBRAYAGES ET ORGANES D'ACCOUPLEMENT, Y COMPRIS LES JOINTS D'ARTICULATION</v>
      </c>
      <c r="C5360" s="4">
        <v>4816.2</v>
      </c>
      <c r="D5360" s="4">
        <v>80294000</v>
      </c>
    </row>
    <row r="5361" spans="1:4" x14ac:dyDescent="0.25">
      <c r="A5361" t="str">
        <f>T("   848390")</f>
        <v xml:space="preserve">   848390</v>
      </c>
      <c r="B5361" t="str">
        <f>T("   ROUES DENTEES ET AUTRES ORGANES ELEMENTAIRES DE TRANSMISSION PRESENTES SEPAREMENT; PA")</f>
        <v xml:space="preserve">   ROUES DENTEES ET AUTRES ORGANES ELEMENTAIRES DE TRANSMISSION PRESENTES SEPAREMENT; PA</v>
      </c>
      <c r="C5361" s="4">
        <v>4575.2</v>
      </c>
      <c r="D5361" s="4">
        <v>49510431</v>
      </c>
    </row>
    <row r="5362" spans="1:4" x14ac:dyDescent="0.25">
      <c r="A5362" t="str">
        <f>T("   848410")</f>
        <v xml:space="preserve">   848410</v>
      </c>
      <c r="B5362" t="str">
        <f>T("   JOINTS METALLOPLASTIQUES")</f>
        <v xml:space="preserve">   JOINTS METALLOPLASTIQUES</v>
      </c>
      <c r="C5362" s="4">
        <v>1878</v>
      </c>
      <c r="D5362" s="4">
        <v>5229971</v>
      </c>
    </row>
    <row r="5363" spans="1:4" x14ac:dyDescent="0.25">
      <c r="A5363" t="str">
        <f>T("   848420")</f>
        <v xml:space="preserve">   848420</v>
      </c>
      <c r="B5363" t="str">
        <f>T("   JOINTS D'ETANCHEITE MECANIQUES")</f>
        <v xml:space="preserve">   JOINTS D'ETANCHEITE MECANIQUES</v>
      </c>
      <c r="C5363" s="4">
        <v>264.60000000000002</v>
      </c>
      <c r="D5363" s="4">
        <v>6838580</v>
      </c>
    </row>
    <row r="5364" spans="1:4" x14ac:dyDescent="0.25">
      <c r="A5364" t="str">
        <f>T("   848490")</f>
        <v xml:space="preserve">   848490</v>
      </c>
      <c r="B5364" t="str">
        <f>T("   AUTRES")</f>
        <v xml:space="preserve">   AUTRES</v>
      </c>
      <c r="C5364" s="4">
        <v>7966.6</v>
      </c>
      <c r="D5364" s="4">
        <v>125314097</v>
      </c>
    </row>
    <row r="5365" spans="1:4" x14ac:dyDescent="0.25">
      <c r="A5365" t="str">
        <f>T("   848790")</f>
        <v xml:space="preserve">   848790</v>
      </c>
      <c r="B5365" t="str">
        <f>T("   AUTRES")</f>
        <v xml:space="preserve">   AUTRES</v>
      </c>
      <c r="C5365" s="4">
        <v>5</v>
      </c>
      <c r="D5365" s="4">
        <v>90884</v>
      </c>
    </row>
    <row r="5366" spans="1:4" x14ac:dyDescent="0.25">
      <c r="A5366" t="str">
        <f>T("   850110")</f>
        <v xml:space="preserve">   850110</v>
      </c>
      <c r="B5366" t="str">
        <f>T("   MOTEURS D'UNE PUISSANCE N'EXCEDANT PAS 37,5 W")</f>
        <v xml:space="preserve">   MOTEURS D'UNE PUISSANCE N'EXCEDANT PAS 37,5 W</v>
      </c>
      <c r="C5366" s="4">
        <v>11300</v>
      </c>
      <c r="D5366" s="4">
        <v>26067939</v>
      </c>
    </row>
    <row r="5367" spans="1:4" x14ac:dyDescent="0.25">
      <c r="A5367" t="str">
        <f>T("   850120")</f>
        <v xml:space="preserve">   850120</v>
      </c>
      <c r="B5367" t="str">
        <f>T("   MOTEURS UNIVERSELS D'UNE PUISSANCE EXCEDANT 37,5 W")</f>
        <v xml:space="preserve">   MOTEURS UNIVERSELS D'UNE PUISSANCE EXCEDANT 37,5 W</v>
      </c>
      <c r="C5367" s="4">
        <v>13</v>
      </c>
      <c r="D5367" s="4">
        <v>304759</v>
      </c>
    </row>
    <row r="5368" spans="1:4" x14ac:dyDescent="0.25">
      <c r="A5368" t="str">
        <f>T("   850131")</f>
        <v xml:space="preserve">   850131</v>
      </c>
      <c r="B5368" t="str">
        <f>T("   D'UNE PUISSANCE N'EXCEDANT PAS 750 W")</f>
        <v xml:space="preserve">   D'UNE PUISSANCE N'EXCEDANT PAS 750 W</v>
      </c>
      <c r="C5368" s="4">
        <v>60900</v>
      </c>
      <c r="D5368" s="4">
        <v>73631000</v>
      </c>
    </row>
    <row r="5369" spans="1:4" x14ac:dyDescent="0.25">
      <c r="A5369" t="str">
        <f>T("   850140")</f>
        <v xml:space="preserve">   850140</v>
      </c>
      <c r="B5369" t="str">
        <f>T("   AUTRES MOTEURS A COURANT ALTERNATIF, MONOPHASES")</f>
        <v xml:space="preserve">   AUTRES MOTEURS A COURANT ALTERNATIF, MONOPHASES</v>
      </c>
      <c r="C5369" s="4">
        <v>5141.24</v>
      </c>
      <c r="D5369" s="4">
        <v>38157351</v>
      </c>
    </row>
    <row r="5370" spans="1:4" x14ac:dyDescent="0.25">
      <c r="A5370" t="str">
        <f>T("   850151")</f>
        <v xml:space="preserve">   850151</v>
      </c>
      <c r="B5370" t="str">
        <f>T("   D'UNE PUISSANCE N'EXCEDANT PAS 750 W")</f>
        <v xml:space="preserve">   D'UNE PUISSANCE N'EXCEDANT PAS 750 W</v>
      </c>
      <c r="C5370" s="4">
        <v>203</v>
      </c>
      <c r="D5370" s="4">
        <v>8786971</v>
      </c>
    </row>
    <row r="5371" spans="1:4" x14ac:dyDescent="0.25">
      <c r="A5371" t="str">
        <f>T("   850152")</f>
        <v xml:space="preserve">   850152</v>
      </c>
      <c r="B5371" t="str">
        <f>T("   D'UNE PUISSANCE EXCEDANT 750 W MAIS N'EXCEDANT PAS 75 KW")</f>
        <v xml:space="preserve">   D'UNE PUISSANCE EXCEDANT 750 W MAIS N'EXCEDANT PAS 75 KW</v>
      </c>
      <c r="C5371" s="4">
        <v>1515</v>
      </c>
      <c r="D5371" s="4">
        <v>17208870</v>
      </c>
    </row>
    <row r="5372" spans="1:4" x14ac:dyDescent="0.25">
      <c r="A5372" t="str">
        <f>T("   850153")</f>
        <v xml:space="preserve">   850153</v>
      </c>
      <c r="B5372" t="str">
        <f>T("   D'UNE PUISSANCE EXCEDANT 75 KW")</f>
        <v xml:space="preserve">   D'UNE PUISSANCE EXCEDANT 75 KW</v>
      </c>
      <c r="C5372" s="4">
        <v>58</v>
      </c>
      <c r="D5372" s="4">
        <v>1231059</v>
      </c>
    </row>
    <row r="5373" spans="1:4" x14ac:dyDescent="0.25">
      <c r="A5373" t="str">
        <f>T("   850161")</f>
        <v xml:space="preserve">   850161</v>
      </c>
      <c r="B5373" t="str">
        <f>T("   D'UNE PUISSANCE N'EXCEDANT PAS 75 KVA")</f>
        <v xml:space="preserve">   D'UNE PUISSANCE N'EXCEDANT PAS 75 KVA</v>
      </c>
      <c r="C5373" s="4">
        <v>737</v>
      </c>
      <c r="D5373" s="4">
        <v>350000</v>
      </c>
    </row>
    <row r="5374" spans="1:4" x14ac:dyDescent="0.25">
      <c r="A5374" t="str">
        <f>T("   850162")</f>
        <v xml:space="preserve">   850162</v>
      </c>
      <c r="B5374" t="str">
        <f>T("   D'UNE PUISSANCE EXCEDANT 75 KVA MAIS N'EXCEDANT PAS 375 KVA")</f>
        <v xml:space="preserve">   D'UNE PUISSANCE EXCEDANT 75 KVA MAIS N'EXCEDANT PAS 375 KVA</v>
      </c>
      <c r="C5374" s="4">
        <v>12321</v>
      </c>
      <c r="D5374" s="4">
        <v>128311060</v>
      </c>
    </row>
    <row r="5375" spans="1:4" x14ac:dyDescent="0.25">
      <c r="A5375" t="str">
        <f>T("   850163")</f>
        <v xml:space="preserve">   850163</v>
      </c>
      <c r="B5375" t="str">
        <f>T("   D'UNE PUISSANCE EXCEDANT 375 KVA MAIS N'EXCEDANT PAS 750 KVA")</f>
        <v xml:space="preserve">   D'UNE PUISSANCE EXCEDANT 375 KVA MAIS N'EXCEDANT PAS 750 KVA</v>
      </c>
      <c r="C5375" s="4">
        <v>4311</v>
      </c>
      <c r="D5375" s="4">
        <v>12121485</v>
      </c>
    </row>
    <row r="5376" spans="1:4" x14ac:dyDescent="0.25">
      <c r="A5376" t="str">
        <f>T("   850164")</f>
        <v xml:space="preserve">   850164</v>
      </c>
      <c r="B5376" t="str">
        <f>T("   D'UNE PUISSANCE EXCEDANT 750 KVA")</f>
        <v xml:space="preserve">   D'UNE PUISSANCE EXCEDANT 750 KVA</v>
      </c>
      <c r="C5376" s="4">
        <v>302</v>
      </c>
      <c r="D5376" s="4">
        <v>10167635</v>
      </c>
    </row>
    <row r="5377" spans="1:4" x14ac:dyDescent="0.25">
      <c r="A5377" t="str">
        <f>T("   850211")</f>
        <v xml:space="preserve">   850211</v>
      </c>
      <c r="B5377" t="str">
        <f>T("   D'UNE PUISSANCE N'EXCEDANT PAS 75 KVA")</f>
        <v xml:space="preserve">   D'UNE PUISSANCE N'EXCEDANT PAS 75 KVA</v>
      </c>
      <c r="C5377" s="4">
        <v>138648.51999999999</v>
      </c>
      <c r="D5377" s="4">
        <v>695055241</v>
      </c>
    </row>
    <row r="5378" spans="1:4" x14ac:dyDescent="0.25">
      <c r="A5378" t="str">
        <f>T("   850212")</f>
        <v xml:space="preserve">   850212</v>
      </c>
      <c r="B5378" t="str">
        <f>T("   D'UNE PUISSANCE EXCEDANT 75 KVA MAIS N'EXCEDANT PAS 375 KVA")</f>
        <v xml:space="preserve">   D'UNE PUISSANCE EXCEDANT 75 KVA MAIS N'EXCEDANT PAS 375 KVA</v>
      </c>
      <c r="C5378" s="4">
        <v>88023</v>
      </c>
      <c r="D5378" s="4">
        <v>509068905</v>
      </c>
    </row>
    <row r="5379" spans="1:4" x14ac:dyDescent="0.25">
      <c r="A5379" t="str">
        <f>T("   850213")</f>
        <v xml:space="preserve">   850213</v>
      </c>
      <c r="B5379" t="str">
        <f>T("   D'UNE PUISSANCE EXCEDANT 375 KVA")</f>
        <v xml:space="preserve">   D'UNE PUISSANCE EXCEDANT 375 KVA</v>
      </c>
      <c r="C5379" s="4">
        <v>180382</v>
      </c>
      <c r="D5379" s="4">
        <v>1241067750</v>
      </c>
    </row>
    <row r="5380" spans="1:4" x14ac:dyDescent="0.25">
      <c r="A5380" t="str">
        <f>T("   850220")</f>
        <v xml:space="preserve">   850220</v>
      </c>
      <c r="B5380" t="str">
        <f>T("   GROUPES ELECTROGENES A MOTEUR A PISTON A ALLUMAGE PAR ETINCELLES (MOTEURS A EXPLOSION")</f>
        <v xml:space="preserve">   GROUPES ELECTROGENES A MOTEUR A PISTON A ALLUMAGE PAR ETINCELLES (MOTEURS A EXPLOSION</v>
      </c>
      <c r="C5380" s="4">
        <v>494</v>
      </c>
      <c r="D5380" s="4">
        <v>3092851</v>
      </c>
    </row>
    <row r="5381" spans="1:4" x14ac:dyDescent="0.25">
      <c r="A5381" t="str">
        <f>T("   850239")</f>
        <v xml:space="preserve">   850239</v>
      </c>
      <c r="B5381" t="str">
        <f>T("   AUTRES")</f>
        <v xml:space="preserve">   AUTRES</v>
      </c>
      <c r="C5381" s="4">
        <v>10751</v>
      </c>
      <c r="D5381" s="4">
        <v>36805304</v>
      </c>
    </row>
    <row r="5382" spans="1:4" x14ac:dyDescent="0.25">
      <c r="A5382" t="str">
        <f>T("   850240")</f>
        <v xml:space="preserve">   850240</v>
      </c>
      <c r="B5382" t="str">
        <f>T("   CONVERTISSEURS ROTATIFS ELECTRIQUES")</f>
        <v xml:space="preserve">   CONVERTISSEURS ROTATIFS ELECTRIQUES</v>
      </c>
      <c r="C5382" s="4">
        <v>431</v>
      </c>
      <c r="D5382" s="4">
        <v>293476</v>
      </c>
    </row>
    <row r="5383" spans="1:4" x14ac:dyDescent="0.25">
      <c r="A5383" t="str">
        <f>T("   850300")</f>
        <v xml:space="preserve">   850300</v>
      </c>
      <c r="B5383" t="str">
        <f>T("   PARTIES RECONNAISSABLES COMME ETANT EXCLUSIVEMENT OU PRINCIPALEMENT DESTINEES AUX MACHI")</f>
        <v xml:space="preserve">   PARTIES RECONNAISSABLES COMME ETANT EXCLUSIVEMENT OU PRINCIPALEMENT DESTINEES AUX MACHI</v>
      </c>
      <c r="C5383" s="4">
        <v>8178.9</v>
      </c>
      <c r="D5383" s="4">
        <v>113035457</v>
      </c>
    </row>
    <row r="5384" spans="1:4" x14ac:dyDescent="0.25">
      <c r="A5384" t="str">
        <f>T("   850421")</f>
        <v xml:space="preserve">   850421</v>
      </c>
      <c r="B5384" t="str">
        <f>T("   D'UNE PUISSANCE N'EXCEDANT PAS 650 KVA")</f>
        <v xml:space="preserve">   D'UNE PUISSANCE N'EXCEDANT PAS 650 KVA</v>
      </c>
      <c r="C5384" s="4">
        <v>3203</v>
      </c>
      <c r="D5384" s="4">
        <v>24585079</v>
      </c>
    </row>
    <row r="5385" spans="1:4" x14ac:dyDescent="0.25">
      <c r="A5385" t="str">
        <f>T("   850422")</f>
        <v xml:space="preserve">   850422</v>
      </c>
      <c r="B5385" t="str">
        <f>T("   D'UNE PUISSANCE EXCEDANT 650 KVA MAIS N'EXCEDANT PAS 10.000 KVA")</f>
        <v xml:space="preserve">   D'UNE PUISSANCE EXCEDANT 650 KVA MAIS N'EXCEDANT PAS 10.000 KVA</v>
      </c>
      <c r="C5385" s="4">
        <v>21143</v>
      </c>
      <c r="D5385" s="4">
        <v>78724384</v>
      </c>
    </row>
    <row r="5386" spans="1:4" x14ac:dyDescent="0.25">
      <c r="A5386" t="str">
        <f>T("   850423")</f>
        <v xml:space="preserve">   850423</v>
      </c>
      <c r="B5386" t="str">
        <f>T("   D'UNE PUISSANCE EXCEDANT 10.000 KVA")</f>
        <v xml:space="preserve">   D'UNE PUISSANCE EXCEDANT 10.000 KVA</v>
      </c>
      <c r="C5386" s="4">
        <v>149</v>
      </c>
      <c r="D5386" s="4">
        <v>500000</v>
      </c>
    </row>
    <row r="5387" spans="1:4" x14ac:dyDescent="0.25">
      <c r="A5387" t="str">
        <f>T("   850431")</f>
        <v xml:space="preserve">   850431</v>
      </c>
      <c r="B5387" t="str">
        <f>T("   D'UNE PUISSANCE N'EXCEDANT PAS 1 KVA")</f>
        <v xml:space="preserve">   D'UNE PUISSANCE N'EXCEDANT PAS 1 KVA</v>
      </c>
      <c r="C5387" s="4">
        <v>102</v>
      </c>
      <c r="D5387" s="4">
        <v>3650129</v>
      </c>
    </row>
    <row r="5388" spans="1:4" x14ac:dyDescent="0.25">
      <c r="A5388" t="str">
        <f>T("   850432")</f>
        <v xml:space="preserve">   850432</v>
      </c>
      <c r="B5388" t="str">
        <f>T("   D'UNE PUISSANCE EXCEDANT 1 KVA MAIS N'EXCEDANT PAS 16 KVA")</f>
        <v xml:space="preserve">   D'UNE PUISSANCE EXCEDANT 1 KVA MAIS N'EXCEDANT PAS 16 KVA</v>
      </c>
      <c r="C5388" s="4">
        <v>6991</v>
      </c>
      <c r="D5388" s="4">
        <v>51209000</v>
      </c>
    </row>
    <row r="5389" spans="1:4" x14ac:dyDescent="0.25">
      <c r="A5389" t="str">
        <f>T("   850433")</f>
        <v xml:space="preserve">   850433</v>
      </c>
      <c r="B5389" t="str">
        <f>T("   D'UNE PUISSANCE EXCEDANT 16 KVA MAIS N'EXCEDANT PAS 500 KVA")</f>
        <v xml:space="preserve">   D'UNE PUISSANCE EXCEDANT 16 KVA MAIS N'EXCEDANT PAS 500 KVA</v>
      </c>
      <c r="C5389" s="4">
        <v>10376</v>
      </c>
      <c r="D5389" s="4">
        <v>101279797</v>
      </c>
    </row>
    <row r="5390" spans="1:4" x14ac:dyDescent="0.25">
      <c r="A5390" t="str">
        <f>T("   850434")</f>
        <v xml:space="preserve">   850434</v>
      </c>
      <c r="B5390" t="str">
        <f>T("   D'UNE PUISSANCE EXCEDANT 500 KVA")</f>
        <v xml:space="preserve">   D'UNE PUISSANCE EXCEDANT 500 KVA</v>
      </c>
      <c r="C5390" s="4">
        <v>15080</v>
      </c>
      <c r="D5390" s="4">
        <v>154854700</v>
      </c>
    </row>
    <row r="5391" spans="1:4" x14ac:dyDescent="0.25">
      <c r="A5391" t="str">
        <f>T("   850440")</f>
        <v xml:space="preserve">   850440</v>
      </c>
      <c r="B5391" t="str">
        <f>T("   CONVERTISSEURS STATIQUES")</f>
        <v xml:space="preserve">   CONVERTISSEURS STATIQUES</v>
      </c>
      <c r="C5391" s="4">
        <v>31829.34</v>
      </c>
      <c r="D5391" s="4">
        <v>443553256</v>
      </c>
    </row>
    <row r="5392" spans="1:4" x14ac:dyDescent="0.25">
      <c r="A5392" t="str">
        <f>T("   850450")</f>
        <v xml:space="preserve">   850450</v>
      </c>
      <c r="B5392" t="str">
        <f>T("   AUTRES BOBINES DE REACTANCE ET AUTRES SELFS")</f>
        <v xml:space="preserve">   AUTRES BOBINES DE REACTANCE ET AUTRES SELFS</v>
      </c>
      <c r="C5392" s="4">
        <v>551.9</v>
      </c>
      <c r="D5392" s="4">
        <v>7352847</v>
      </c>
    </row>
    <row r="5393" spans="1:4" x14ac:dyDescent="0.25">
      <c r="A5393" t="str">
        <f>T("   850490")</f>
        <v xml:space="preserve">   850490</v>
      </c>
      <c r="B5393" t="str">
        <f>T("   PARTIES")</f>
        <v xml:space="preserve">   PARTIES</v>
      </c>
      <c r="C5393" s="4">
        <v>14941.32</v>
      </c>
      <c r="D5393" s="4">
        <v>163723214</v>
      </c>
    </row>
    <row r="5394" spans="1:4" x14ac:dyDescent="0.25">
      <c r="A5394" t="str">
        <f>T("   850519")</f>
        <v xml:space="preserve">   850519</v>
      </c>
      <c r="B5394" t="str">
        <f>T("   AUTRES")</f>
        <v xml:space="preserve">   AUTRES</v>
      </c>
      <c r="C5394" s="4">
        <v>24</v>
      </c>
      <c r="D5394" s="4">
        <v>546493</v>
      </c>
    </row>
    <row r="5395" spans="1:4" x14ac:dyDescent="0.25">
      <c r="A5395" t="str">
        <f>T("   850520")</f>
        <v xml:space="preserve">   850520</v>
      </c>
      <c r="B5395" t="str">
        <f>T("   ACCOUPLEMENTS, EMBRAYAGES, VARIATEURS DE VITESSE ET FREINS ELECTROMAGNETIQUES")</f>
        <v xml:space="preserve">   ACCOUPLEMENTS, EMBRAYAGES, VARIATEURS DE VITESSE ET FREINS ELECTROMAGNETIQUES</v>
      </c>
      <c r="C5395" s="4">
        <v>4</v>
      </c>
      <c r="D5395" s="4">
        <v>100185</v>
      </c>
    </row>
    <row r="5396" spans="1:4" x14ac:dyDescent="0.25">
      <c r="A5396" t="str">
        <f>T("   850590")</f>
        <v xml:space="preserve">   850590</v>
      </c>
      <c r="B5396" t="str">
        <f>T("   AUTRES, Y COMPRIS LES PARTIES")</f>
        <v xml:space="preserve">   AUTRES, Y COMPRIS LES PARTIES</v>
      </c>
      <c r="C5396" s="4">
        <v>37</v>
      </c>
      <c r="D5396" s="4">
        <v>967443</v>
      </c>
    </row>
    <row r="5397" spans="1:4" x14ac:dyDescent="0.25">
      <c r="A5397" t="str">
        <f>T("   850610")</f>
        <v xml:space="preserve">   850610</v>
      </c>
      <c r="B5397" t="str">
        <f>T("   AU BIOXYDE DE MANGANESE")</f>
        <v xml:space="preserve">   AU BIOXYDE DE MANGANESE</v>
      </c>
      <c r="C5397" s="4">
        <v>5204</v>
      </c>
      <c r="D5397" s="4">
        <v>17398028</v>
      </c>
    </row>
    <row r="5398" spans="1:4" x14ac:dyDescent="0.25">
      <c r="A5398" t="str">
        <f>T("   850650")</f>
        <v xml:space="preserve">   850650</v>
      </c>
      <c r="B5398" t="str">
        <f>T("   AU LITHIUM")</f>
        <v xml:space="preserve">   AU LITHIUM</v>
      </c>
      <c r="C5398" s="4">
        <v>138</v>
      </c>
      <c r="D5398" s="4">
        <v>4678203</v>
      </c>
    </row>
    <row r="5399" spans="1:4" x14ac:dyDescent="0.25">
      <c r="A5399" t="str">
        <f>T("   850680")</f>
        <v xml:space="preserve">   850680</v>
      </c>
      <c r="B5399" t="str">
        <f>T("   AUTRES PILES ET BATTERIES DE PILES")</f>
        <v xml:space="preserve">   AUTRES PILES ET BATTERIES DE PILES</v>
      </c>
      <c r="C5399" s="4">
        <v>392</v>
      </c>
      <c r="D5399" s="4">
        <v>2895552</v>
      </c>
    </row>
    <row r="5400" spans="1:4" x14ac:dyDescent="0.25">
      <c r="A5400" t="str">
        <f>T("   850690")</f>
        <v xml:space="preserve">   850690</v>
      </c>
      <c r="B5400" t="str">
        <f>T("   PARTIES")</f>
        <v xml:space="preserve">   PARTIES</v>
      </c>
      <c r="C5400" s="4">
        <v>26</v>
      </c>
      <c r="D5400" s="4">
        <v>1261970</v>
      </c>
    </row>
    <row r="5401" spans="1:4" x14ac:dyDescent="0.25">
      <c r="A5401" t="str">
        <f>T("   850710")</f>
        <v xml:space="preserve">   850710</v>
      </c>
      <c r="B5401" t="str">
        <f>T("   AU PLOMB, DES TYPES UTILISES POUR LE DEMARRAGE DES MOTEURS A PISTON")</f>
        <v xml:space="preserve">   AU PLOMB, DES TYPES UTILISES POUR LE DEMARRAGE DES MOTEURS A PISTON</v>
      </c>
      <c r="C5401" s="4">
        <v>9008</v>
      </c>
      <c r="D5401" s="4">
        <v>28602393</v>
      </c>
    </row>
    <row r="5402" spans="1:4" x14ac:dyDescent="0.25">
      <c r="A5402" t="str">
        <f>T("   850720")</f>
        <v xml:space="preserve">   850720</v>
      </c>
      <c r="B5402" t="str">
        <f>T("   AUTRES ACCUMULATEURS AU PLOMB")</f>
        <v xml:space="preserve">   AUTRES ACCUMULATEURS AU PLOMB</v>
      </c>
      <c r="C5402" s="4">
        <v>26011</v>
      </c>
      <c r="D5402" s="4">
        <v>34738688</v>
      </c>
    </row>
    <row r="5403" spans="1:4" x14ac:dyDescent="0.25">
      <c r="A5403" t="str">
        <f>T("   850780")</f>
        <v xml:space="preserve">   850780</v>
      </c>
      <c r="B5403" t="str">
        <f>T("   AUTRES ACCUMULATEURS")</f>
        <v xml:space="preserve">   AUTRES ACCUMULATEURS</v>
      </c>
      <c r="C5403" s="4">
        <v>21310.27</v>
      </c>
      <c r="D5403" s="4">
        <v>377758831</v>
      </c>
    </row>
    <row r="5404" spans="1:4" x14ac:dyDescent="0.25">
      <c r="A5404" t="str">
        <f>T("   850860")</f>
        <v xml:space="preserve">   850860</v>
      </c>
      <c r="B5404" t="str">
        <f>T("   AUTRES ASPIRATEURS")</f>
        <v xml:space="preserve">   AUTRES ASPIRATEURS</v>
      </c>
      <c r="C5404" s="4">
        <v>442</v>
      </c>
      <c r="D5404" s="4">
        <v>1745086</v>
      </c>
    </row>
    <row r="5405" spans="1:4" x14ac:dyDescent="0.25">
      <c r="A5405" t="str">
        <f>T("   850870")</f>
        <v xml:space="preserve">   850870</v>
      </c>
      <c r="B5405" t="str">
        <f>T("   PARTIES")</f>
        <v xml:space="preserve">   PARTIES</v>
      </c>
      <c r="C5405" s="4">
        <v>150</v>
      </c>
      <c r="D5405" s="4">
        <v>295182</v>
      </c>
    </row>
    <row r="5406" spans="1:4" x14ac:dyDescent="0.25">
      <c r="A5406" t="str">
        <f>T("   850940")</f>
        <v xml:space="preserve">   850940</v>
      </c>
      <c r="B5406" t="str">
        <f>T("   BROYEURS ET MELANGEURS POUR ALIMENTS; PRESSEFRUITS ET PRESSELEGUMES")</f>
        <v xml:space="preserve">   BROYEURS ET MELANGEURS POUR ALIMENTS; PRESSEFRUITS ET PRESSELEGUMES</v>
      </c>
      <c r="C5406" s="4">
        <v>3655</v>
      </c>
      <c r="D5406" s="4">
        <v>21024110</v>
      </c>
    </row>
    <row r="5407" spans="1:4" x14ac:dyDescent="0.25">
      <c r="A5407" t="str">
        <f>T("   850980")</f>
        <v xml:space="preserve">   850980</v>
      </c>
      <c r="B5407" t="str">
        <f>T("   AUTRES APPAREILS")</f>
        <v xml:space="preserve">   AUTRES APPAREILS</v>
      </c>
      <c r="C5407" s="4">
        <v>10039.790000000001</v>
      </c>
      <c r="D5407" s="4">
        <v>22395975</v>
      </c>
    </row>
    <row r="5408" spans="1:4" x14ac:dyDescent="0.25">
      <c r="A5408" t="str">
        <f>T("   850990")</f>
        <v xml:space="preserve">   850990</v>
      </c>
      <c r="B5408" t="str">
        <f>T("   PARTIES")</f>
        <v xml:space="preserve">   PARTIES</v>
      </c>
      <c r="C5408" s="4">
        <v>3</v>
      </c>
      <c r="D5408" s="4">
        <v>71945</v>
      </c>
    </row>
    <row r="5409" spans="1:4" x14ac:dyDescent="0.25">
      <c r="A5409" t="str">
        <f>T("   851010")</f>
        <v xml:space="preserve">   851010</v>
      </c>
      <c r="B5409" t="str">
        <f>T("   RASOIRS")</f>
        <v xml:space="preserve">   RASOIRS</v>
      </c>
      <c r="C5409" s="4">
        <v>554</v>
      </c>
      <c r="D5409" s="4">
        <v>379145</v>
      </c>
    </row>
    <row r="5410" spans="1:4" x14ac:dyDescent="0.25">
      <c r="A5410" t="str">
        <f>T("   851020")</f>
        <v xml:space="preserve">   851020</v>
      </c>
      <c r="B5410" t="str">
        <f>T("   TONDEUSES")</f>
        <v xml:space="preserve">   TONDEUSES</v>
      </c>
      <c r="C5410" s="4">
        <v>462</v>
      </c>
      <c r="D5410" s="4">
        <v>731396</v>
      </c>
    </row>
    <row r="5411" spans="1:4" x14ac:dyDescent="0.25">
      <c r="A5411" t="str">
        <f>T("   851110")</f>
        <v xml:space="preserve">   851110</v>
      </c>
      <c r="B5411" t="str">
        <f>T("   BOUGIES D'ALLUMAGE")</f>
        <v xml:space="preserve">   BOUGIES D'ALLUMAGE</v>
      </c>
      <c r="C5411" s="4">
        <v>212</v>
      </c>
      <c r="D5411" s="4">
        <v>1339791</v>
      </c>
    </row>
    <row r="5412" spans="1:4" x14ac:dyDescent="0.25">
      <c r="A5412" t="str">
        <f>T("   851120")</f>
        <v xml:space="preserve">   851120</v>
      </c>
      <c r="B5412" t="str">
        <f>T("   MAGNETOS; DYNAMOSMAGNETOS; VOLANTS MAGNETIQUES")</f>
        <v xml:space="preserve">   MAGNETOS; DYNAMOSMAGNETOS; VOLANTS MAGNETIQUES</v>
      </c>
      <c r="C5412" s="4">
        <v>2</v>
      </c>
      <c r="D5412" s="4">
        <v>122815</v>
      </c>
    </row>
    <row r="5413" spans="1:4" x14ac:dyDescent="0.25">
      <c r="A5413" t="str">
        <f>T("   851130")</f>
        <v xml:space="preserve">   851130</v>
      </c>
      <c r="B5413" t="str">
        <f>T("   DISTRIBUTEURS; BOBINES D'ALLUMAGE")</f>
        <v xml:space="preserve">   DISTRIBUTEURS; BOBINES D'ALLUMAGE</v>
      </c>
      <c r="C5413" s="4">
        <v>194</v>
      </c>
      <c r="D5413" s="4">
        <v>14774555</v>
      </c>
    </row>
    <row r="5414" spans="1:4" x14ac:dyDescent="0.25">
      <c r="A5414" t="str">
        <f>T("   851140")</f>
        <v xml:space="preserve">   851140</v>
      </c>
      <c r="B5414" t="str">
        <f>T("   Demarreurs, meme fonctionnant comme generatrices")</f>
        <v xml:space="preserve">   Demarreurs, meme fonctionnant comme generatrices</v>
      </c>
      <c r="C5414" s="4">
        <v>1011</v>
      </c>
      <c r="D5414" s="4">
        <v>21498141</v>
      </c>
    </row>
    <row r="5415" spans="1:4" x14ac:dyDescent="0.25">
      <c r="A5415" t="str">
        <f>T("   851150")</f>
        <v xml:space="preserve">   851150</v>
      </c>
      <c r="B5415" t="str">
        <f>T("   AUTRES GENERATRICES")</f>
        <v xml:space="preserve">   AUTRES GENERATRICES</v>
      </c>
      <c r="C5415" s="4">
        <v>636</v>
      </c>
      <c r="D5415" s="4">
        <v>9874609</v>
      </c>
    </row>
    <row r="5416" spans="1:4" x14ac:dyDescent="0.25">
      <c r="A5416" t="str">
        <f>T("   851180")</f>
        <v xml:space="preserve">   851180</v>
      </c>
      <c r="B5416" t="str">
        <f>T("   AUTRES APPAREILS ET DISPOSITIFS")</f>
        <v xml:space="preserve">   AUTRES APPAREILS ET DISPOSITIFS</v>
      </c>
      <c r="C5416" s="4">
        <v>281</v>
      </c>
      <c r="D5416" s="4">
        <v>5273640</v>
      </c>
    </row>
    <row r="5417" spans="1:4" x14ac:dyDescent="0.25">
      <c r="A5417" t="str">
        <f>T("   851190")</f>
        <v xml:space="preserve">   851190</v>
      </c>
      <c r="B5417" t="str">
        <f>T("   PARTIES")</f>
        <v xml:space="preserve">   PARTIES</v>
      </c>
      <c r="C5417" s="4">
        <v>86.8</v>
      </c>
      <c r="D5417" s="4">
        <v>1530001</v>
      </c>
    </row>
    <row r="5418" spans="1:4" x14ac:dyDescent="0.25">
      <c r="A5418" t="str">
        <f>T("   851220")</f>
        <v xml:space="preserve">   851220</v>
      </c>
      <c r="B5418" t="str">
        <f>T("   AUTRES APPAREILS D'ECLAIRAGE OU DE SIGNALISATION VISUELLE")</f>
        <v xml:space="preserve">   AUTRES APPAREILS D'ECLAIRAGE OU DE SIGNALISATION VISUELLE</v>
      </c>
      <c r="C5418" s="4">
        <v>1038</v>
      </c>
      <c r="D5418" s="4">
        <v>11195147</v>
      </c>
    </row>
    <row r="5419" spans="1:4" x14ac:dyDescent="0.25">
      <c r="A5419" t="str">
        <f>T("   851230")</f>
        <v xml:space="preserve">   851230</v>
      </c>
      <c r="B5419" t="str">
        <f>T("   APPAREILS DE SIGNALISATION ACOUSTIQUE")</f>
        <v xml:space="preserve">   APPAREILS DE SIGNALISATION ACOUSTIQUE</v>
      </c>
      <c r="C5419" s="4">
        <v>274</v>
      </c>
      <c r="D5419" s="4">
        <v>6847396</v>
      </c>
    </row>
    <row r="5420" spans="1:4" x14ac:dyDescent="0.25">
      <c r="A5420" t="str">
        <f>T("   851240")</f>
        <v xml:space="preserve">   851240</v>
      </c>
      <c r="B5420" t="str">
        <f>T("   ESSUIEGLACES, DEGIVREURS ET DISPOSITIFS ANTIBUEE")</f>
        <v xml:space="preserve">   ESSUIEGLACES, DEGIVREURS ET DISPOSITIFS ANTIBUEE</v>
      </c>
      <c r="C5420" s="4">
        <v>14</v>
      </c>
      <c r="D5420" s="4">
        <v>410028</v>
      </c>
    </row>
    <row r="5421" spans="1:4" x14ac:dyDescent="0.25">
      <c r="A5421" t="str">
        <f>T("   851290")</f>
        <v xml:space="preserve">   851290</v>
      </c>
      <c r="B5421" t="str">
        <f>T("   PARTIES")</f>
        <v xml:space="preserve">   PARTIES</v>
      </c>
      <c r="C5421" s="4">
        <v>502</v>
      </c>
      <c r="D5421" s="4">
        <v>1548408</v>
      </c>
    </row>
    <row r="5422" spans="1:4" x14ac:dyDescent="0.25">
      <c r="A5422" t="str">
        <f>T("   851310")</f>
        <v xml:space="preserve">   851310</v>
      </c>
      <c r="B5422" t="str">
        <f>T("   LAMPES")</f>
        <v xml:space="preserve">   LAMPES</v>
      </c>
      <c r="C5422" s="4">
        <v>650.29999999999995</v>
      </c>
      <c r="D5422" s="4">
        <v>5355262</v>
      </c>
    </row>
    <row r="5423" spans="1:4" x14ac:dyDescent="0.25">
      <c r="A5423" t="str">
        <f>T("   851410")</f>
        <v xml:space="preserve">   851410</v>
      </c>
      <c r="B5423" t="str">
        <f>T("   FOURS A RESISTANCE (A CHAUFFAGE INDIRECT)")</f>
        <v xml:space="preserve">   FOURS A RESISTANCE (A CHAUFFAGE INDIRECT)</v>
      </c>
      <c r="C5423" s="4">
        <v>150</v>
      </c>
      <c r="D5423" s="4">
        <v>2589967</v>
      </c>
    </row>
    <row r="5424" spans="1:4" x14ac:dyDescent="0.25">
      <c r="A5424" t="str">
        <f>T("   851430")</f>
        <v xml:space="preserve">   851430</v>
      </c>
      <c r="B5424" t="str">
        <f>T("   AUTRES FOURS")</f>
        <v xml:space="preserve">   AUTRES FOURS</v>
      </c>
      <c r="C5424" s="4">
        <v>56</v>
      </c>
      <c r="D5424" s="4">
        <v>299118</v>
      </c>
    </row>
    <row r="5425" spans="1:4" x14ac:dyDescent="0.25">
      <c r="A5425" t="str">
        <f>T("   851519")</f>
        <v xml:space="preserve">   851519</v>
      </c>
      <c r="B5425" t="str">
        <f>T("   AUTRES")</f>
        <v xml:space="preserve">   AUTRES</v>
      </c>
      <c r="C5425" s="4">
        <v>281</v>
      </c>
      <c r="D5425" s="4">
        <v>4715113</v>
      </c>
    </row>
    <row r="5426" spans="1:4" x14ac:dyDescent="0.25">
      <c r="A5426" t="str">
        <f>T("   851539")</f>
        <v xml:space="preserve">   851539</v>
      </c>
      <c r="B5426" t="str">
        <f>T("   AUTRES")</f>
        <v xml:space="preserve">   AUTRES</v>
      </c>
      <c r="C5426" s="4">
        <v>1951</v>
      </c>
      <c r="D5426" s="4">
        <v>9381191</v>
      </c>
    </row>
    <row r="5427" spans="1:4" x14ac:dyDescent="0.25">
      <c r="A5427" t="str">
        <f>T("   851580")</f>
        <v xml:space="preserve">   851580</v>
      </c>
      <c r="B5427" t="str">
        <f>T("   AUTRES MACHINES ET APPAREILS")</f>
        <v xml:space="preserve">   AUTRES MACHINES ET APPAREILS</v>
      </c>
      <c r="C5427" s="4">
        <v>19094</v>
      </c>
      <c r="D5427" s="4">
        <v>51220213</v>
      </c>
    </row>
    <row r="5428" spans="1:4" x14ac:dyDescent="0.25">
      <c r="A5428" t="str">
        <f>T("   851590")</f>
        <v xml:space="preserve">   851590</v>
      </c>
      <c r="B5428" t="str">
        <f>T("   PARTIES")</f>
        <v xml:space="preserve">   PARTIES</v>
      </c>
      <c r="C5428" s="4">
        <v>877.43</v>
      </c>
      <c r="D5428" s="4">
        <v>8145964</v>
      </c>
    </row>
    <row r="5429" spans="1:4" x14ac:dyDescent="0.25">
      <c r="A5429" t="str">
        <f>T("   851610")</f>
        <v xml:space="preserve">   851610</v>
      </c>
      <c r="B5429" t="str">
        <f>T("   CHAUFFEEAU ET THERMOPLONGEURS ELECTRIQUES")</f>
        <v xml:space="preserve">   CHAUFFEEAU ET THERMOPLONGEURS ELECTRIQUES</v>
      </c>
      <c r="C5429" s="4">
        <v>8370</v>
      </c>
      <c r="D5429" s="4">
        <v>15995904</v>
      </c>
    </row>
    <row r="5430" spans="1:4" x14ac:dyDescent="0.25">
      <c r="A5430" t="str">
        <f>T("   851629")</f>
        <v xml:space="preserve">   851629</v>
      </c>
      <c r="B5430" t="str">
        <f>T("   AUTRES")</f>
        <v xml:space="preserve">   AUTRES</v>
      </c>
      <c r="C5430" s="4">
        <v>24.1</v>
      </c>
      <c r="D5430" s="4">
        <v>1244690</v>
      </c>
    </row>
    <row r="5431" spans="1:4" x14ac:dyDescent="0.25">
      <c r="A5431" t="str">
        <f>T("   851631")</f>
        <v xml:space="preserve">   851631</v>
      </c>
      <c r="B5431" t="str">
        <f>T("   SECHECHEVEUX")</f>
        <v xml:space="preserve">   SECHECHEVEUX</v>
      </c>
      <c r="C5431" s="4">
        <v>528</v>
      </c>
      <c r="D5431" s="4">
        <v>3516602</v>
      </c>
    </row>
    <row r="5432" spans="1:4" x14ac:dyDescent="0.25">
      <c r="A5432" t="str">
        <f>T("   851632")</f>
        <v xml:space="preserve">   851632</v>
      </c>
      <c r="B5432" t="str">
        <f>T("   AUTRES APPAREILS POUR LA COIFFURE")</f>
        <v xml:space="preserve">   AUTRES APPAREILS POUR LA COIFFURE</v>
      </c>
      <c r="C5432" s="4">
        <v>79</v>
      </c>
      <c r="D5432" s="4">
        <v>335084</v>
      </c>
    </row>
    <row r="5433" spans="1:4" x14ac:dyDescent="0.25">
      <c r="A5433" t="str">
        <f>T("   851640")</f>
        <v xml:space="preserve">   851640</v>
      </c>
      <c r="B5433" t="str">
        <f>T("   Fers a repasser electriques")</f>
        <v xml:space="preserve">   Fers a repasser electriques</v>
      </c>
      <c r="C5433" s="4">
        <v>598</v>
      </c>
      <c r="D5433" s="4">
        <v>2988430</v>
      </c>
    </row>
    <row r="5434" spans="1:4" x14ac:dyDescent="0.25">
      <c r="A5434" t="str">
        <f>T("   851650")</f>
        <v xml:space="preserve">   851650</v>
      </c>
      <c r="B5434" t="str">
        <f>T("   FOURS A MICROONDES")</f>
        <v xml:space="preserve">   FOURS A MICROONDES</v>
      </c>
      <c r="C5434" s="4">
        <v>250</v>
      </c>
      <c r="D5434" s="4">
        <v>300000</v>
      </c>
    </row>
    <row r="5435" spans="1:4" x14ac:dyDescent="0.25">
      <c r="A5435" t="str">
        <f>T("   851660")</f>
        <v xml:space="preserve">   851660</v>
      </c>
      <c r="B5435" t="str">
        <f>T("   AUTRES FOURS; CUISINIERES, RECHAUDS (Y COMPRIS LES TABLES DE CUISSON), GRILS ET ROTIS")</f>
        <v xml:space="preserve">   AUTRES FOURS; CUISINIERES, RECHAUDS (Y COMPRIS LES TABLES DE CUISSON), GRILS ET ROTIS</v>
      </c>
      <c r="C5435" s="4">
        <v>9055.5</v>
      </c>
      <c r="D5435" s="4">
        <v>16100521</v>
      </c>
    </row>
    <row r="5436" spans="1:4" x14ac:dyDescent="0.25">
      <c r="A5436" t="str">
        <f>T("   851671")</f>
        <v xml:space="preserve">   851671</v>
      </c>
      <c r="B5436" t="str">
        <f>T("   APPAREILS POUR LA PREPARATION DU CAFE OU DU THE")</f>
        <v xml:space="preserve">   APPAREILS POUR LA PREPARATION DU CAFE OU DU THE</v>
      </c>
      <c r="C5436" s="4">
        <v>648</v>
      </c>
      <c r="D5436" s="4">
        <v>4219059</v>
      </c>
    </row>
    <row r="5437" spans="1:4" x14ac:dyDescent="0.25">
      <c r="A5437" t="str">
        <f>T("   851679")</f>
        <v xml:space="preserve">   851679</v>
      </c>
      <c r="B5437" t="str">
        <f>T("   AUTRES")</f>
        <v xml:space="preserve">   AUTRES</v>
      </c>
      <c r="C5437" s="4">
        <v>28774</v>
      </c>
      <c r="D5437" s="4">
        <v>24907288</v>
      </c>
    </row>
    <row r="5438" spans="1:4" x14ac:dyDescent="0.25">
      <c r="A5438" t="str">
        <f>T("   851680")</f>
        <v xml:space="preserve">   851680</v>
      </c>
      <c r="B5438" t="str">
        <f>T("   Resistances chauffantes")</f>
        <v xml:space="preserve">   Resistances chauffantes</v>
      </c>
      <c r="C5438" s="4">
        <v>260</v>
      </c>
      <c r="D5438" s="4">
        <v>15024586</v>
      </c>
    </row>
    <row r="5439" spans="1:4" x14ac:dyDescent="0.25">
      <c r="A5439" t="str">
        <f>T("   851690")</f>
        <v xml:space="preserve">   851690</v>
      </c>
      <c r="B5439" t="str">
        <f>T("   PARTIES")</f>
        <v xml:space="preserve">   PARTIES</v>
      </c>
      <c r="C5439" s="4">
        <v>301</v>
      </c>
      <c r="D5439" s="4">
        <v>2396944</v>
      </c>
    </row>
    <row r="5440" spans="1:4" x14ac:dyDescent="0.25">
      <c r="A5440" t="str">
        <f>T("   851711")</f>
        <v xml:space="preserve">   851711</v>
      </c>
      <c r="B5440" t="str">
        <f>T("   POSTES TELEPHONIQUES D'USAGERS PAR FIL A COMBINES SANS FIL")</f>
        <v xml:space="preserve">   POSTES TELEPHONIQUES D'USAGERS PAR FIL A COMBINES SANS FIL</v>
      </c>
      <c r="C5440" s="4">
        <v>13</v>
      </c>
      <c r="D5440" s="4">
        <v>236802</v>
      </c>
    </row>
    <row r="5441" spans="1:4" x14ac:dyDescent="0.25">
      <c r="A5441" t="str">
        <f>T("   851712")</f>
        <v xml:space="preserve">   851712</v>
      </c>
      <c r="B5441" t="str">
        <f>T("   TELEPHONES POUR RESEAUX CELLULAIRES ET POUR AUTRES RESEAUX SANS FIL")</f>
        <v xml:space="preserve">   TELEPHONES POUR RESEAUX CELLULAIRES ET POUR AUTRES RESEAUX SANS FIL</v>
      </c>
      <c r="C5441" s="4">
        <v>573.25</v>
      </c>
      <c r="D5441" s="4">
        <v>2082748</v>
      </c>
    </row>
    <row r="5442" spans="1:4" x14ac:dyDescent="0.25">
      <c r="A5442" t="str">
        <f>T("   851718")</f>
        <v xml:space="preserve">   851718</v>
      </c>
      <c r="B5442" t="str">
        <f>T("   AUTRES")</f>
        <v xml:space="preserve">   AUTRES</v>
      </c>
      <c r="C5442" s="4">
        <v>309</v>
      </c>
      <c r="D5442" s="4">
        <v>14281245</v>
      </c>
    </row>
    <row r="5443" spans="1:4" x14ac:dyDescent="0.25">
      <c r="A5443" t="str">
        <f>T("   851740")</f>
        <v xml:space="preserve">   851740</v>
      </c>
      <c r="B5443" t="str">
        <f>T("   AUTRES APPAREILS POUR LE TELECOMMUNICATION PAR COURANT PORTEUR")</f>
        <v xml:space="preserve">   AUTRES APPAREILS POUR LE TELECOMMUNICATION PAR COURANT PORTEUR</v>
      </c>
      <c r="C5443" s="4">
        <v>2</v>
      </c>
      <c r="D5443" s="4">
        <v>105875</v>
      </c>
    </row>
    <row r="5444" spans="1:4" x14ac:dyDescent="0.25">
      <c r="A5444" t="str">
        <f>T("   851761")</f>
        <v xml:space="preserve">   851761</v>
      </c>
      <c r="B5444" t="str">
        <f>T("   STATIONS DE BASE")</f>
        <v xml:space="preserve">   STATIONS DE BASE</v>
      </c>
      <c r="C5444" s="4">
        <v>1</v>
      </c>
      <c r="D5444" s="4">
        <v>20960</v>
      </c>
    </row>
    <row r="5445" spans="1:4" x14ac:dyDescent="0.25">
      <c r="A5445" t="str">
        <f>T("   851762")</f>
        <v xml:space="preserve">   851762</v>
      </c>
      <c r="B5445" t="str">
        <f>T("   APPAREILS POUR LA RECEPTION, LA CONVERSION ET L'EMISSION, LA TRANSMISSION OU LA REGE")</f>
        <v xml:space="preserve">   APPAREILS POUR LA RECEPTION, LA CONVERSION ET L'EMISSION, LA TRANSMISSION OU LA REGE</v>
      </c>
      <c r="C5445" s="4">
        <v>873.5</v>
      </c>
      <c r="D5445" s="4">
        <v>19513245</v>
      </c>
    </row>
    <row r="5446" spans="1:4" x14ac:dyDescent="0.25">
      <c r="A5446" t="str">
        <f>T("   851769")</f>
        <v xml:space="preserve">   851769</v>
      </c>
      <c r="B5446" t="str">
        <f>T("   AUTRES")</f>
        <v xml:space="preserve">   AUTRES</v>
      </c>
      <c r="C5446" s="4">
        <v>2266.5</v>
      </c>
      <c r="D5446" s="4">
        <v>93603785</v>
      </c>
    </row>
    <row r="5447" spans="1:4" x14ac:dyDescent="0.25">
      <c r="A5447" t="str">
        <f>T("   851770")</f>
        <v xml:space="preserve">   851770</v>
      </c>
      <c r="B5447" t="str">
        <f>T("   PARTIES")</f>
        <v xml:space="preserve">   PARTIES</v>
      </c>
      <c r="C5447" s="4">
        <v>1602.1</v>
      </c>
      <c r="D5447" s="4">
        <v>91149249</v>
      </c>
    </row>
    <row r="5448" spans="1:4" x14ac:dyDescent="0.25">
      <c r="A5448" t="str">
        <f>T("   851810")</f>
        <v xml:space="preserve">   851810</v>
      </c>
      <c r="B5448" t="str">
        <f>T("   MICROPHONES ET LEURS SUPPORTS")</f>
        <v xml:space="preserve">   MICROPHONES ET LEURS SUPPORTS</v>
      </c>
      <c r="C5448" s="4">
        <v>2.5</v>
      </c>
      <c r="D5448" s="4">
        <v>50000</v>
      </c>
    </row>
    <row r="5449" spans="1:4" x14ac:dyDescent="0.25">
      <c r="A5449" t="str">
        <f>T("   851829")</f>
        <v xml:space="preserve">   851829</v>
      </c>
      <c r="B5449" t="str">
        <f>T("   AUTRES")</f>
        <v xml:space="preserve">   AUTRES</v>
      </c>
      <c r="C5449" s="4">
        <v>324</v>
      </c>
      <c r="D5449" s="4">
        <v>230000</v>
      </c>
    </row>
    <row r="5450" spans="1:4" x14ac:dyDescent="0.25">
      <c r="A5450" t="str">
        <f>T("   851830")</f>
        <v xml:space="preserve">   851830</v>
      </c>
      <c r="B5450" t="str">
        <f>T("   CASQUES D'ECOUTE ET ECOUTEURS, MEME COMBINES AVEC UN MICROPHONE, ET ENSEMBLES OU ASSO")</f>
        <v xml:space="preserve">   CASQUES D'ECOUTE ET ECOUTEURS, MEME COMBINES AVEC UN MICROPHONE, ET ENSEMBLES OU ASSO</v>
      </c>
      <c r="C5450" s="4">
        <v>125</v>
      </c>
      <c r="D5450" s="4">
        <v>3964102</v>
      </c>
    </row>
    <row r="5451" spans="1:4" x14ac:dyDescent="0.25">
      <c r="A5451" t="str">
        <f>T("   851850")</f>
        <v xml:space="preserve">   851850</v>
      </c>
      <c r="B5451" t="str">
        <f>T("   APPAREILS ELECTRIQUES D'AMPLIFICATION DU SON")</f>
        <v xml:space="preserve">   APPAREILS ELECTRIQUES D'AMPLIFICATION DU SON</v>
      </c>
      <c r="C5451" s="4">
        <v>63</v>
      </c>
      <c r="D5451" s="4">
        <v>1172463</v>
      </c>
    </row>
    <row r="5452" spans="1:4" x14ac:dyDescent="0.25">
      <c r="A5452" t="str">
        <f>T("   851890")</f>
        <v xml:space="preserve">   851890</v>
      </c>
      <c r="B5452" t="str">
        <f>T("   PARTIES")</f>
        <v xml:space="preserve">   PARTIES</v>
      </c>
      <c r="C5452" s="4">
        <v>75</v>
      </c>
      <c r="D5452" s="4">
        <v>278562</v>
      </c>
    </row>
    <row r="5453" spans="1:4" x14ac:dyDescent="0.25">
      <c r="A5453" t="str">
        <f>T("   851989")</f>
        <v xml:space="preserve">   851989</v>
      </c>
      <c r="B5453" t="str">
        <f>T("   AUTRES")</f>
        <v xml:space="preserve">   AUTRES</v>
      </c>
      <c r="C5453" s="4">
        <v>1019</v>
      </c>
      <c r="D5453" s="4">
        <v>552996</v>
      </c>
    </row>
    <row r="5454" spans="1:4" x14ac:dyDescent="0.25">
      <c r="A5454" t="str">
        <f>T("   851991")</f>
        <v xml:space="preserve">   851991</v>
      </c>
      <c r="B5454" t="str">
        <f>T("   AUTRES APPAREILS DE REPRODUCTION DU SON A CASSETTES")</f>
        <v xml:space="preserve">   AUTRES APPAREILS DE REPRODUCTION DU SON A CASSETTES</v>
      </c>
      <c r="C5454" s="4">
        <v>25</v>
      </c>
      <c r="D5454" s="4">
        <v>129224</v>
      </c>
    </row>
    <row r="5455" spans="1:4" x14ac:dyDescent="0.25">
      <c r="A5455" t="str">
        <f>T("   852032")</f>
        <v xml:space="preserve">   852032</v>
      </c>
      <c r="B5455" t="str">
        <f>T("   APPAREILS D'ENREGISTREMENT ET DE REPRODUCTION DU SON A BANDES NUMERIQUES")</f>
        <v xml:space="preserve">   APPAREILS D'ENREGISTREMENT ET DE REPRODUCTION DU SON A BANDES NUMERIQUES</v>
      </c>
      <c r="C5455" s="4">
        <v>2</v>
      </c>
      <c r="D5455" s="4">
        <v>30900</v>
      </c>
    </row>
    <row r="5456" spans="1:4" x14ac:dyDescent="0.25">
      <c r="A5456" t="str">
        <f>T("   852090")</f>
        <v xml:space="preserve">   852090</v>
      </c>
      <c r="B5456" t="str">
        <f>T("   AUTRES APPAREILS DU N 85.20")</f>
        <v xml:space="preserve">   AUTRES APPAREILS DU N 85.20</v>
      </c>
      <c r="C5456" s="4">
        <v>1505</v>
      </c>
      <c r="D5456" s="4">
        <v>177912</v>
      </c>
    </row>
    <row r="5457" spans="1:4" x14ac:dyDescent="0.25">
      <c r="A5457" t="str">
        <f>T("   852110")</f>
        <v xml:space="preserve">   852110</v>
      </c>
      <c r="B5457" t="str">
        <f>T("   A BANDES MAGNETIQUES")</f>
        <v xml:space="preserve">   A BANDES MAGNETIQUES</v>
      </c>
      <c r="C5457" s="4">
        <v>3</v>
      </c>
      <c r="D5457" s="4">
        <v>1614728</v>
      </c>
    </row>
    <row r="5458" spans="1:4" x14ac:dyDescent="0.25">
      <c r="A5458" t="str">
        <f>T("   852190")</f>
        <v xml:space="preserve">   852190</v>
      </c>
      <c r="B5458" t="str">
        <f>T("   AUTRES")</f>
        <v xml:space="preserve">   AUTRES</v>
      </c>
      <c r="C5458" s="4">
        <v>1478</v>
      </c>
      <c r="D5458" s="4">
        <v>1387320</v>
      </c>
    </row>
    <row r="5459" spans="1:4" x14ac:dyDescent="0.25">
      <c r="A5459" t="str">
        <f>T("   852290")</f>
        <v xml:space="preserve">   852290</v>
      </c>
      <c r="B5459" t="str">
        <f>T("   AUTRES")</f>
        <v xml:space="preserve">   AUTRES</v>
      </c>
      <c r="C5459" s="4">
        <v>1652</v>
      </c>
      <c r="D5459" s="4">
        <v>2943753</v>
      </c>
    </row>
    <row r="5460" spans="1:4" x14ac:dyDescent="0.25">
      <c r="A5460" t="str">
        <f>T("   852321")</f>
        <v xml:space="preserve">   852321</v>
      </c>
      <c r="B5460" t="str">
        <f>T("   CARTES MUNIES D'UNE PISTE MAGNETIQUE")</f>
        <v xml:space="preserve">   CARTES MUNIES D'UNE PISTE MAGNETIQUE</v>
      </c>
      <c r="C5460" s="4">
        <v>6784.7</v>
      </c>
      <c r="D5460" s="4">
        <v>461964943</v>
      </c>
    </row>
    <row r="5461" spans="1:4" x14ac:dyDescent="0.25">
      <c r="A5461" t="str">
        <f>T("   852329")</f>
        <v xml:space="preserve">   852329</v>
      </c>
      <c r="B5461" t="str">
        <f>T("   AUTRES")</f>
        <v xml:space="preserve">   AUTRES</v>
      </c>
      <c r="C5461" s="4">
        <v>1318</v>
      </c>
      <c r="D5461" s="4">
        <v>58434226</v>
      </c>
    </row>
    <row r="5462" spans="1:4" x14ac:dyDescent="0.25">
      <c r="A5462" t="str">
        <f>T("   852340")</f>
        <v xml:space="preserve">   852340</v>
      </c>
      <c r="B5462" t="str">
        <f>T("   -AUTRES SUPPORTS OPTIQUES")</f>
        <v xml:space="preserve">   -AUTRES SUPPORTS OPTIQUES</v>
      </c>
      <c r="C5462" s="4">
        <v>7</v>
      </c>
      <c r="D5462" s="4">
        <v>20000</v>
      </c>
    </row>
    <row r="5463" spans="1:4" x14ac:dyDescent="0.25">
      <c r="A5463" t="str">
        <f>T("   852351")</f>
        <v xml:space="preserve">   852351</v>
      </c>
      <c r="B5463" t="str">
        <f>T("   DISPOSITIFS DE STOCKAGE REMANENT DES DONNEES A BASE DE SEMICONDUCTEURS")</f>
        <v xml:space="preserve">   DISPOSITIFS DE STOCKAGE REMANENT DES DONNEES A BASE DE SEMICONDUCTEURS</v>
      </c>
      <c r="C5463" s="4">
        <v>100</v>
      </c>
      <c r="D5463" s="4">
        <v>1069586</v>
      </c>
    </row>
    <row r="5464" spans="1:4" x14ac:dyDescent="0.25">
      <c r="A5464" t="str">
        <f>T("   852352")</f>
        <v xml:space="preserve">   852352</v>
      </c>
      <c r="B5464" t="str">
        <f>T("   «CARTES INTELLIGENTES»")</f>
        <v xml:space="preserve">   «CARTES INTELLIGENTES»</v>
      </c>
      <c r="C5464" s="4">
        <v>4255.5</v>
      </c>
      <c r="D5464" s="4">
        <v>259451180</v>
      </c>
    </row>
    <row r="5465" spans="1:4" x14ac:dyDescent="0.25">
      <c r="A5465" t="str">
        <f>T("   852359")</f>
        <v xml:space="preserve">   852359</v>
      </c>
      <c r="B5465" t="str">
        <f>T("   AUTRES")</f>
        <v xml:space="preserve">   AUTRES</v>
      </c>
      <c r="C5465" s="4">
        <v>12</v>
      </c>
      <c r="D5465" s="4">
        <v>188694</v>
      </c>
    </row>
    <row r="5466" spans="1:4" x14ac:dyDescent="0.25">
      <c r="A5466" t="str">
        <f>T("   852380")</f>
        <v xml:space="preserve">   852380</v>
      </c>
      <c r="B5466" t="str">
        <f>T("   AUTRES")</f>
        <v xml:space="preserve">   AUTRES</v>
      </c>
      <c r="C5466" s="4">
        <v>676</v>
      </c>
      <c r="D5466" s="4">
        <v>7242927</v>
      </c>
    </row>
    <row r="5467" spans="1:4" x14ac:dyDescent="0.25">
      <c r="A5467" t="str">
        <f>T("   852550")</f>
        <v xml:space="preserve">   852550</v>
      </c>
      <c r="B5467" t="str">
        <f>T("   APPAREILS D'EMISSION")</f>
        <v xml:space="preserve">   APPAREILS D'EMISSION</v>
      </c>
      <c r="C5467" s="4">
        <v>636.04999999999995</v>
      </c>
      <c r="D5467" s="4">
        <v>21158956</v>
      </c>
    </row>
    <row r="5468" spans="1:4" x14ac:dyDescent="0.25">
      <c r="A5468" t="str">
        <f>T("   852560")</f>
        <v xml:space="preserve">   852560</v>
      </c>
      <c r="B5468" t="str">
        <f>T("   APPAREILS D'EMISSION INCORPORANT UN APPAREIL DE RECEPTION")</f>
        <v xml:space="preserve">   APPAREILS D'EMISSION INCORPORANT UN APPAREIL DE RECEPTION</v>
      </c>
      <c r="C5468" s="4">
        <v>2327.5</v>
      </c>
      <c r="D5468" s="4">
        <v>137640248</v>
      </c>
    </row>
    <row r="5469" spans="1:4" x14ac:dyDescent="0.25">
      <c r="A5469" t="str">
        <f>T("   852580")</f>
        <v xml:space="preserve">   852580</v>
      </c>
      <c r="B5469" t="str">
        <f>T("   CAMERAS DE TELEVISION, APPAREILS PHOTOGRAPHIQUES NUMERIQUES ET CAMESCOPES")</f>
        <v xml:space="preserve">   CAMERAS DE TELEVISION, APPAREILS PHOTOGRAPHIQUES NUMERIQUES ET CAMESCOPES</v>
      </c>
      <c r="C5469" s="4">
        <v>352.8</v>
      </c>
      <c r="D5469" s="4">
        <v>84488124</v>
      </c>
    </row>
    <row r="5470" spans="1:4" x14ac:dyDescent="0.25">
      <c r="A5470" t="str">
        <f>T("   852610")</f>
        <v xml:space="preserve">   852610</v>
      </c>
      <c r="B5470" t="str">
        <f>T("   Appareils de radiodetection et de radiosondage (radar)")</f>
        <v xml:space="preserve">   Appareils de radiodetection et de radiosondage (radar)</v>
      </c>
      <c r="C5470" s="4">
        <v>10</v>
      </c>
      <c r="D5470" s="4">
        <v>499500</v>
      </c>
    </row>
    <row r="5471" spans="1:4" x14ac:dyDescent="0.25">
      <c r="A5471" t="str">
        <f>T("   852691")</f>
        <v xml:space="preserve">   852691</v>
      </c>
      <c r="B5471" t="str">
        <f>T("   Appareils de radionavigation")</f>
        <v xml:space="preserve">   Appareils de radionavigation</v>
      </c>
      <c r="C5471" s="4">
        <v>49.35</v>
      </c>
      <c r="D5471" s="4">
        <v>477526</v>
      </c>
    </row>
    <row r="5472" spans="1:4" x14ac:dyDescent="0.25">
      <c r="A5472" t="str">
        <f>T("   852692")</f>
        <v xml:space="preserve">   852692</v>
      </c>
      <c r="B5472" t="str">
        <f>T("   Appareils de radiotelecommande")</f>
        <v xml:space="preserve">   Appareils de radiotelecommande</v>
      </c>
      <c r="C5472" s="4">
        <v>161</v>
      </c>
      <c r="D5472" s="4">
        <v>427030</v>
      </c>
    </row>
    <row r="5473" spans="1:4" x14ac:dyDescent="0.25">
      <c r="A5473" t="str">
        <f>T("   852713")</f>
        <v xml:space="preserve">   852713</v>
      </c>
      <c r="B5473" t="str">
        <f>T("   AUTRES APPAREILS COMBINES A UN APPAREIL D'ENREGISTREMENT OU DE REPRODUCTION DU SON")</f>
        <v xml:space="preserve">   AUTRES APPAREILS COMBINES A UN APPAREIL D'ENREGISTREMENT OU DE REPRODUCTION DU SON</v>
      </c>
      <c r="C5473" s="4">
        <v>235</v>
      </c>
      <c r="D5473" s="4">
        <v>232798</v>
      </c>
    </row>
    <row r="5474" spans="1:4" x14ac:dyDescent="0.25">
      <c r="A5474" t="str">
        <f>T("   852719")</f>
        <v xml:space="preserve">   852719</v>
      </c>
      <c r="B5474" t="str">
        <f>T("   AUTRES")</f>
        <v xml:space="preserve">   AUTRES</v>
      </c>
      <c r="C5474" s="4">
        <v>1024</v>
      </c>
      <c r="D5474" s="4">
        <v>1252914</v>
      </c>
    </row>
    <row r="5475" spans="1:4" x14ac:dyDescent="0.25">
      <c r="A5475" t="str">
        <f>T("   852799")</f>
        <v xml:space="preserve">   852799</v>
      </c>
      <c r="B5475" t="str">
        <f>T("   AUTRES")</f>
        <v xml:space="preserve">   AUTRES</v>
      </c>
      <c r="C5475" s="4">
        <v>40</v>
      </c>
      <c r="D5475" s="4">
        <v>314861</v>
      </c>
    </row>
    <row r="5476" spans="1:4" x14ac:dyDescent="0.25">
      <c r="A5476" t="str">
        <f>T("   852810")</f>
        <v xml:space="preserve">   852810</v>
      </c>
      <c r="B5476" t="str">
        <f>T("   RECEPTEURS TV COULEUR MEME AVEC ENREGISTREMENT,REPRODUCTION DES SON,IMAGES")</f>
        <v xml:space="preserve">   RECEPTEURS TV COULEUR MEME AVEC ENREGISTREMENT,REPRODUCTION DES SON,IMAGES</v>
      </c>
      <c r="C5476" s="4">
        <v>147</v>
      </c>
      <c r="D5476" s="4">
        <v>147000</v>
      </c>
    </row>
    <row r="5477" spans="1:4" x14ac:dyDescent="0.25">
      <c r="A5477" t="str">
        <f>T("   852820")</f>
        <v xml:space="preserve">   852820</v>
      </c>
      <c r="B5477" t="str">
        <f>T("   RECEPTEURS TV NOIR/BLANC MEME AVEC ENREGISTR.,REPRODUCTION DES SON,IMAGES")</f>
        <v xml:space="preserve">   RECEPTEURS TV NOIR/BLANC MEME AVEC ENREGISTR.,REPRODUCTION DES SON,IMAGES</v>
      </c>
      <c r="C5477" s="4">
        <v>15</v>
      </c>
      <c r="D5477" s="4">
        <v>8376</v>
      </c>
    </row>
    <row r="5478" spans="1:4" x14ac:dyDescent="0.25">
      <c r="A5478" t="str">
        <f>T("   852849")</f>
        <v xml:space="preserve">   852849</v>
      </c>
      <c r="B5478" t="str">
        <f>T("   AUTRES")</f>
        <v xml:space="preserve">   AUTRES</v>
      </c>
      <c r="C5478" s="4">
        <v>9728.43</v>
      </c>
      <c r="D5478" s="4">
        <v>9766309</v>
      </c>
    </row>
    <row r="5479" spans="1:4" x14ac:dyDescent="0.25">
      <c r="A5479" t="str">
        <f>T("   852851")</f>
        <v xml:space="preserve">   852851</v>
      </c>
      <c r="B5479" t="str">
        <f>T("   DES TYPES UTILISES EXCLUSIVEMENT OU PRINCIPALEMENT DANS UN SYSTEME AUTOMATIQUE DE TR")</f>
        <v xml:space="preserve">   DES TYPES UTILISES EXCLUSIVEMENT OU PRINCIPALEMENT DANS UN SYSTEME AUTOMATIQUE DE TR</v>
      </c>
      <c r="C5479" s="4">
        <v>117</v>
      </c>
      <c r="D5479" s="4">
        <v>7798604</v>
      </c>
    </row>
    <row r="5480" spans="1:4" x14ac:dyDescent="0.25">
      <c r="A5480" t="str">
        <f>T("   852859")</f>
        <v xml:space="preserve">   852859</v>
      </c>
      <c r="B5480" t="str">
        <f>T("   AUTRES")</f>
        <v xml:space="preserve">   AUTRES</v>
      </c>
      <c r="C5480" s="4">
        <v>1385</v>
      </c>
      <c r="D5480" s="4">
        <v>1665633</v>
      </c>
    </row>
    <row r="5481" spans="1:4" x14ac:dyDescent="0.25">
      <c r="A5481" t="str">
        <f>T("   852861")</f>
        <v xml:space="preserve">   852861</v>
      </c>
      <c r="B5481" t="str">
        <f>T("   DES TYPES UTILISES EXCLUSIVEMENT OU PRINCIPALEMENT DANS UN SYSTEME AUTOMATIQUE DE TR")</f>
        <v xml:space="preserve">   DES TYPES UTILISES EXCLUSIVEMENT OU PRINCIPALEMENT DANS UN SYSTEME AUTOMATIQUE DE TR</v>
      </c>
      <c r="C5481" s="4">
        <v>241</v>
      </c>
      <c r="D5481" s="4">
        <v>429654</v>
      </c>
    </row>
    <row r="5482" spans="1:4" x14ac:dyDescent="0.25">
      <c r="A5482" t="str">
        <f>T("   852869")</f>
        <v xml:space="preserve">   852869</v>
      </c>
      <c r="B5482" t="str">
        <f>T("   AUTRES")</f>
        <v xml:space="preserve">   AUTRES</v>
      </c>
      <c r="C5482" s="4">
        <v>264</v>
      </c>
      <c r="D5482" s="4">
        <v>88634627</v>
      </c>
    </row>
    <row r="5483" spans="1:4" x14ac:dyDescent="0.25">
      <c r="A5483" t="str">
        <f>T("   852871")</f>
        <v xml:space="preserve">   852871</v>
      </c>
      <c r="B5483" t="str">
        <f>T("   NON CONCUS POUR INCORPORER UN DISPOSITIF D'AFFICHAGE OU UN ECRAN VIDEO")</f>
        <v xml:space="preserve">   NON CONCUS POUR INCORPORER UN DISPOSITIF D'AFFICHAGE OU UN ECRAN VIDEO</v>
      </c>
      <c r="C5483" s="4">
        <v>32785</v>
      </c>
      <c r="D5483" s="4">
        <v>288243256</v>
      </c>
    </row>
    <row r="5484" spans="1:4" x14ac:dyDescent="0.25">
      <c r="A5484" t="str">
        <f>T("   852872")</f>
        <v xml:space="preserve">   852872</v>
      </c>
      <c r="B5484" t="str">
        <f>T("   AUTRES, EN COULEURS")</f>
        <v xml:space="preserve">   AUTRES, EN COULEURS</v>
      </c>
      <c r="C5484" s="4">
        <v>80</v>
      </c>
      <c r="D5484" s="4">
        <v>196788</v>
      </c>
    </row>
    <row r="5485" spans="1:4" x14ac:dyDescent="0.25">
      <c r="A5485" t="str">
        <f>T("   852873")</f>
        <v xml:space="preserve">   852873</v>
      </c>
      <c r="B5485" t="str">
        <f>T("   AUTRES, EN MONOCHROMES")</f>
        <v xml:space="preserve">   AUTRES, EN MONOCHROMES</v>
      </c>
      <c r="C5485" s="4">
        <v>65</v>
      </c>
      <c r="D5485" s="4">
        <v>410631</v>
      </c>
    </row>
    <row r="5486" spans="1:4" x14ac:dyDescent="0.25">
      <c r="A5486" t="str">
        <f>T("   852910")</f>
        <v xml:space="preserve">   852910</v>
      </c>
      <c r="B5486" t="str">
        <f>T("   ANTENNES ET REFLECTEURS D’ANTENNES DE TOUS TYPES; PARTIES RECONNAISSABLES COMME ETANT")</f>
        <v xml:space="preserve">   ANTENNES ET REFLECTEURS D’ANTENNES DE TOUS TYPES; PARTIES RECONNAISSABLES COMME ETANT</v>
      </c>
      <c r="C5486" s="4">
        <v>17033.8</v>
      </c>
      <c r="D5486" s="4">
        <v>37903906</v>
      </c>
    </row>
    <row r="5487" spans="1:4" x14ac:dyDescent="0.25">
      <c r="A5487" t="str">
        <f>T("   852990")</f>
        <v xml:space="preserve">   852990</v>
      </c>
      <c r="B5487" t="str">
        <f>T("   AUTRES")</f>
        <v xml:space="preserve">   AUTRES</v>
      </c>
      <c r="C5487" s="4">
        <v>791</v>
      </c>
      <c r="D5487" s="4">
        <v>13190059</v>
      </c>
    </row>
    <row r="5488" spans="1:4" x14ac:dyDescent="0.25">
      <c r="A5488" t="str">
        <f>T("   853080")</f>
        <v xml:space="preserve">   853080</v>
      </c>
      <c r="B5488" t="str">
        <f>T("   AUTRES APPAREILS")</f>
        <v xml:space="preserve">   AUTRES APPAREILS</v>
      </c>
      <c r="C5488" s="4">
        <v>258</v>
      </c>
      <c r="D5488" s="4">
        <v>3067593</v>
      </c>
    </row>
    <row r="5489" spans="1:4" x14ac:dyDescent="0.25">
      <c r="A5489" t="str">
        <f>T("   853110")</f>
        <v xml:space="preserve">   853110</v>
      </c>
      <c r="B5489" t="str">
        <f>T("   AVERTISSEURS ELECTRIQUES POUR LA PROTECTION CONTRE LE VOL OU L'INCENDIE ET APPAREILS")</f>
        <v xml:space="preserve">   AVERTISSEURS ELECTRIQUES POUR LA PROTECTION CONTRE LE VOL OU L'INCENDIE ET APPAREILS</v>
      </c>
      <c r="C5489" s="4">
        <v>1343</v>
      </c>
      <c r="D5489" s="4">
        <v>28942319</v>
      </c>
    </row>
    <row r="5490" spans="1:4" x14ac:dyDescent="0.25">
      <c r="A5490" t="str">
        <f>T("   853120")</f>
        <v xml:space="preserve">   853120</v>
      </c>
      <c r="B5490" t="str">
        <f>T("   PANNEAUX INDICATEURS INCORPORANT DES DISPOSITIFS A CRISTAUX LIQUIDES (LCD) OU A DIODE")</f>
        <v xml:space="preserve">   PANNEAUX INDICATEURS INCORPORANT DES DISPOSITIFS A CRISTAUX LIQUIDES (LCD) OU A DIODE</v>
      </c>
      <c r="C5490" s="4">
        <v>355.5</v>
      </c>
      <c r="D5490" s="4">
        <v>1965418</v>
      </c>
    </row>
    <row r="5491" spans="1:4" x14ac:dyDescent="0.25">
      <c r="A5491" t="str">
        <f>T("   853180")</f>
        <v xml:space="preserve">   853180</v>
      </c>
      <c r="B5491" t="str">
        <f>T("   AUTRES APPAREILS")</f>
        <v xml:space="preserve">   AUTRES APPAREILS</v>
      </c>
      <c r="C5491" s="4">
        <v>622.6</v>
      </c>
      <c r="D5491" s="4">
        <v>14234734</v>
      </c>
    </row>
    <row r="5492" spans="1:4" x14ac:dyDescent="0.25">
      <c r="A5492" t="str">
        <f>T("   853190")</f>
        <v xml:space="preserve">   853190</v>
      </c>
      <c r="B5492" t="str">
        <f>T("   PARTIES")</f>
        <v xml:space="preserve">   PARTIES</v>
      </c>
      <c r="C5492" s="4">
        <v>196</v>
      </c>
      <c r="D5492" s="4">
        <v>3941644</v>
      </c>
    </row>
    <row r="5493" spans="1:4" x14ac:dyDescent="0.25">
      <c r="A5493" t="str">
        <f>T("   853210")</f>
        <v xml:space="preserve">   853210</v>
      </c>
      <c r="B5493" t="str">
        <f>T("   CONDENSATEURS FIXES CONCUS POUR LES RESEAUX ELECTRIQUES DE 50/60 HZ ET CAPABLES D’ABS")</f>
        <v xml:space="preserve">   CONDENSATEURS FIXES CONCUS POUR LES RESEAUX ELECTRIQUES DE 50/60 HZ ET CAPABLES D’ABS</v>
      </c>
      <c r="C5493" s="4">
        <v>324</v>
      </c>
      <c r="D5493" s="4">
        <v>6743269</v>
      </c>
    </row>
    <row r="5494" spans="1:4" x14ac:dyDescent="0.25">
      <c r="A5494" t="str">
        <f>T("   853222")</f>
        <v xml:space="preserve">   853222</v>
      </c>
      <c r="B5494" t="str">
        <f>T("   ELECTROLYTIQUES A L'ALUMINIUM")</f>
        <v xml:space="preserve">   ELECTROLYTIQUES A L'ALUMINIUM</v>
      </c>
      <c r="C5494" s="4">
        <v>180</v>
      </c>
      <c r="D5494" s="4">
        <v>2640896</v>
      </c>
    </row>
    <row r="5495" spans="1:4" x14ac:dyDescent="0.25">
      <c r="A5495" t="str">
        <f>T("   853229")</f>
        <v xml:space="preserve">   853229</v>
      </c>
      <c r="B5495" t="str">
        <f>T("   AUTRES")</f>
        <v xml:space="preserve">   AUTRES</v>
      </c>
      <c r="C5495" s="4">
        <v>241</v>
      </c>
      <c r="D5495" s="4">
        <v>65596</v>
      </c>
    </row>
    <row r="5496" spans="1:4" x14ac:dyDescent="0.25">
      <c r="A5496" t="str">
        <f>T("   853230")</f>
        <v xml:space="preserve">   853230</v>
      </c>
      <c r="B5496" t="str">
        <f>T("   Condensateurs variables ou ajustables")</f>
        <v xml:space="preserve">   Condensateurs variables ou ajustables</v>
      </c>
      <c r="C5496" s="4">
        <v>530</v>
      </c>
      <c r="D5496" s="4">
        <v>13921439</v>
      </c>
    </row>
    <row r="5497" spans="1:4" x14ac:dyDescent="0.25">
      <c r="A5497" t="str">
        <f>T("   853290")</f>
        <v xml:space="preserve">   853290</v>
      </c>
      <c r="B5497" t="str">
        <f>T("   PARTIES")</f>
        <v xml:space="preserve">   PARTIES</v>
      </c>
      <c r="C5497" s="4">
        <v>97</v>
      </c>
      <c r="D5497" s="4">
        <v>1655236</v>
      </c>
    </row>
    <row r="5498" spans="1:4" x14ac:dyDescent="0.25">
      <c r="A5498" t="str">
        <f>T("   853331")</f>
        <v xml:space="preserve">   853331</v>
      </c>
      <c r="B5498" t="str">
        <f>T("   POUR UNE PUISSANCE N'EXCEDANT PAS 20 W")</f>
        <v xml:space="preserve">   POUR UNE PUISSANCE N'EXCEDANT PAS 20 W</v>
      </c>
      <c r="C5498" s="4">
        <v>12</v>
      </c>
      <c r="D5498" s="4">
        <v>923703</v>
      </c>
    </row>
    <row r="5499" spans="1:4" x14ac:dyDescent="0.25">
      <c r="A5499" t="str">
        <f>T("   853339")</f>
        <v xml:space="preserve">   853339</v>
      </c>
      <c r="B5499" t="str">
        <f>T("   AUTRES")</f>
        <v xml:space="preserve">   AUTRES</v>
      </c>
      <c r="C5499" s="4">
        <v>244</v>
      </c>
      <c r="D5499" s="4">
        <v>883358</v>
      </c>
    </row>
    <row r="5500" spans="1:4" x14ac:dyDescent="0.25">
      <c r="A5500" t="str">
        <f>T("   853340")</f>
        <v xml:space="preserve">   853340</v>
      </c>
      <c r="B5500" t="str">
        <f>T("   AUTRES RESISTANCES VARIABLES (Y COMPRIS LES RHEOSTATS ET LES POTENTIOMETRES)")</f>
        <v xml:space="preserve">   AUTRES RESISTANCES VARIABLES (Y COMPRIS LES RHEOSTATS ET LES POTENTIOMETRES)</v>
      </c>
      <c r="C5500" s="4">
        <v>815.7</v>
      </c>
      <c r="D5500" s="4">
        <v>13483839</v>
      </c>
    </row>
    <row r="5501" spans="1:4" x14ac:dyDescent="0.25">
      <c r="A5501" t="str">
        <f>T("   853510")</f>
        <v xml:space="preserve">   853510</v>
      </c>
      <c r="B5501" t="str">
        <f>T("   FUSIBLES ET COUPECIRCUIT A FUSIBLES")</f>
        <v xml:space="preserve">   FUSIBLES ET COUPECIRCUIT A FUSIBLES</v>
      </c>
      <c r="C5501" s="4">
        <v>0.8</v>
      </c>
      <c r="D5501" s="4">
        <v>659937</v>
      </c>
    </row>
    <row r="5502" spans="1:4" x14ac:dyDescent="0.25">
      <c r="A5502" t="str">
        <f>T("   853529")</f>
        <v xml:space="preserve">   853529</v>
      </c>
      <c r="B5502" t="str">
        <f>T("   AUTRES")</f>
        <v xml:space="preserve">   AUTRES</v>
      </c>
      <c r="C5502" s="4">
        <v>3449</v>
      </c>
      <c r="D5502" s="4">
        <v>11388241</v>
      </c>
    </row>
    <row r="5503" spans="1:4" x14ac:dyDescent="0.25">
      <c r="A5503" t="str">
        <f>T("   853530")</f>
        <v xml:space="preserve">   853530</v>
      </c>
      <c r="B5503" t="str">
        <f>T("   SECTIONNEURS ET INTERRUPTEURS")</f>
        <v xml:space="preserve">   SECTIONNEURS ET INTERRUPTEURS</v>
      </c>
      <c r="C5503" s="4">
        <v>2388.4499999999998</v>
      </c>
      <c r="D5503" s="4">
        <v>7390056</v>
      </c>
    </row>
    <row r="5504" spans="1:4" x14ac:dyDescent="0.25">
      <c r="A5504" t="str">
        <f>T("   853540")</f>
        <v xml:space="preserve">   853540</v>
      </c>
      <c r="B5504" t="str">
        <f>T("   PARAFOUDRES, LIMITEURS DE TENSION ET PARASURTENSEURS")</f>
        <v xml:space="preserve">   PARAFOUDRES, LIMITEURS DE TENSION ET PARASURTENSEURS</v>
      </c>
      <c r="C5504" s="4">
        <v>4142</v>
      </c>
      <c r="D5504" s="4">
        <v>19237746</v>
      </c>
    </row>
    <row r="5505" spans="1:4" x14ac:dyDescent="0.25">
      <c r="A5505" t="str">
        <f>T("   853590")</f>
        <v xml:space="preserve">   853590</v>
      </c>
      <c r="B5505" t="str">
        <f>T("   AUTRES")</f>
        <v xml:space="preserve">   AUTRES</v>
      </c>
      <c r="C5505" s="4">
        <v>2613.12</v>
      </c>
      <c r="D5505" s="4">
        <v>17501705</v>
      </c>
    </row>
    <row r="5506" spans="1:4" x14ac:dyDescent="0.25">
      <c r="A5506" t="str">
        <f>T("   853610")</f>
        <v xml:space="preserve">   853610</v>
      </c>
      <c r="B5506" t="str">
        <f>T("   FUSIBLES ET COUPECIRCUIT A FUSIBLES")</f>
        <v xml:space="preserve">   FUSIBLES ET COUPECIRCUIT A FUSIBLES</v>
      </c>
      <c r="C5506" s="4">
        <v>82.7</v>
      </c>
      <c r="D5506" s="4">
        <v>1875792</v>
      </c>
    </row>
    <row r="5507" spans="1:4" x14ac:dyDescent="0.25">
      <c r="A5507" t="str">
        <f>T("   853620")</f>
        <v xml:space="preserve">   853620</v>
      </c>
      <c r="B5507" t="str">
        <f>T("   DISJONCTEURS")</f>
        <v xml:space="preserve">   DISJONCTEURS</v>
      </c>
      <c r="C5507" s="4">
        <v>10520.7</v>
      </c>
      <c r="D5507" s="4">
        <v>94469574</v>
      </c>
    </row>
    <row r="5508" spans="1:4" x14ac:dyDescent="0.25">
      <c r="A5508" t="str">
        <f>T("   853630")</f>
        <v xml:space="preserve">   853630</v>
      </c>
      <c r="B5508" t="str">
        <f>T("   AUTRES APPAREILS POUR LA PROTECTION DES CIRCUITS ELECTRIQUES")</f>
        <v xml:space="preserve">   AUTRES APPAREILS POUR LA PROTECTION DES CIRCUITS ELECTRIQUES</v>
      </c>
      <c r="C5508" s="4">
        <v>1662.5</v>
      </c>
      <c r="D5508" s="4">
        <v>16158461</v>
      </c>
    </row>
    <row r="5509" spans="1:4" x14ac:dyDescent="0.25">
      <c r="A5509" t="str">
        <f>T("   853649")</f>
        <v xml:space="preserve">   853649</v>
      </c>
      <c r="B5509" t="str">
        <f>T("   AUTRES")</f>
        <v xml:space="preserve">   AUTRES</v>
      </c>
      <c r="C5509" s="4">
        <v>1788.19</v>
      </c>
      <c r="D5509" s="4">
        <v>50838641</v>
      </c>
    </row>
    <row r="5510" spans="1:4" x14ac:dyDescent="0.25">
      <c r="A5510" t="str">
        <f>T("   853650")</f>
        <v xml:space="preserve">   853650</v>
      </c>
      <c r="B5510" t="str">
        <f>T("   AUTRES INTERRUPTEURS, SECTIONNEURS ET COMMUTATEURS")</f>
        <v xml:space="preserve">   AUTRES INTERRUPTEURS, SECTIONNEURS ET COMMUTATEURS</v>
      </c>
      <c r="C5510" s="4">
        <v>19436.38</v>
      </c>
      <c r="D5510" s="4">
        <v>91615741</v>
      </c>
    </row>
    <row r="5511" spans="1:4" x14ac:dyDescent="0.25">
      <c r="A5511" t="str">
        <f>T("   853661")</f>
        <v xml:space="preserve">   853661</v>
      </c>
      <c r="B5511" t="str">
        <f>T("   DOUILLES POUR LAMPES")</f>
        <v xml:space="preserve">   DOUILLES POUR LAMPES</v>
      </c>
      <c r="C5511" s="4">
        <v>573</v>
      </c>
      <c r="D5511" s="4">
        <v>1088894</v>
      </c>
    </row>
    <row r="5512" spans="1:4" x14ac:dyDescent="0.25">
      <c r="A5512" t="str">
        <f>T("   853669")</f>
        <v xml:space="preserve">   853669</v>
      </c>
      <c r="B5512" t="str">
        <f>T("   AUTRES")</f>
        <v xml:space="preserve">   AUTRES</v>
      </c>
      <c r="C5512" s="4">
        <v>23559</v>
      </c>
      <c r="D5512" s="4">
        <v>149341685</v>
      </c>
    </row>
    <row r="5513" spans="1:4" x14ac:dyDescent="0.25">
      <c r="A5513" t="str">
        <f>T("   853670")</f>
        <v xml:space="preserve">   853670</v>
      </c>
      <c r="B5513" t="str">
        <f>T("   CONNECTEURS POUR FIBRES OPTIQUES, FAISCEAUX OU CABLES DE FIBRES OPTIQUES")</f>
        <v xml:space="preserve">   CONNECTEURS POUR FIBRES OPTIQUES, FAISCEAUX OU CABLES DE FIBRES OPTIQUES</v>
      </c>
      <c r="C5513" s="4">
        <v>664.18</v>
      </c>
      <c r="D5513" s="4">
        <v>2845660</v>
      </c>
    </row>
    <row r="5514" spans="1:4" x14ac:dyDescent="0.25">
      <c r="A5514" t="str">
        <f>T("   853690")</f>
        <v xml:space="preserve">   853690</v>
      </c>
      <c r="B5514" t="str">
        <f>T("   AUTRES APPAREILS")</f>
        <v xml:space="preserve">   AUTRES APPAREILS</v>
      </c>
      <c r="C5514" s="4">
        <v>10356.57</v>
      </c>
      <c r="D5514" s="4">
        <v>179946437</v>
      </c>
    </row>
    <row r="5515" spans="1:4" x14ac:dyDescent="0.25">
      <c r="A5515" t="str">
        <f>T("   853710")</f>
        <v xml:space="preserve">   853710</v>
      </c>
      <c r="B5515" t="str">
        <f>T("   POUR UNE TENSION N'EXCEDANT PAS 1.000 V")</f>
        <v xml:space="preserve">   POUR UNE TENSION N'EXCEDANT PAS 1.000 V</v>
      </c>
      <c r="C5515" s="4">
        <v>63649.8</v>
      </c>
      <c r="D5515" s="4">
        <v>839808577</v>
      </c>
    </row>
    <row r="5516" spans="1:4" x14ac:dyDescent="0.25">
      <c r="A5516" t="str">
        <f>T("   853720")</f>
        <v xml:space="preserve">   853720</v>
      </c>
      <c r="B5516" t="str">
        <f>T("   POUR UNE TENSION EXCEDANT 1.000 V")</f>
        <v xml:space="preserve">   POUR UNE TENSION EXCEDANT 1.000 V</v>
      </c>
      <c r="C5516" s="4">
        <v>14659</v>
      </c>
      <c r="D5516" s="4">
        <v>112624423</v>
      </c>
    </row>
    <row r="5517" spans="1:4" x14ac:dyDescent="0.25">
      <c r="A5517" t="str">
        <f>T("   853810")</f>
        <v xml:space="preserve">   853810</v>
      </c>
      <c r="B5517" t="str">
        <f>T("   TABLEAUX, PANNEAUX, CONSOLES, PUPITRES, ARMOIRES ET AUTRES SUPPORTS DU N° 85.37, DEPO")</f>
        <v xml:space="preserve">   TABLEAUX, PANNEAUX, CONSOLES, PUPITRES, ARMOIRES ET AUTRES SUPPORTS DU N° 85.37, DEPO</v>
      </c>
      <c r="C5517" s="4">
        <v>4593.45</v>
      </c>
      <c r="D5517" s="4">
        <v>38960460</v>
      </c>
    </row>
    <row r="5518" spans="1:4" x14ac:dyDescent="0.25">
      <c r="A5518" t="str">
        <f>T("   853890")</f>
        <v xml:space="preserve">   853890</v>
      </c>
      <c r="B5518" t="str">
        <f>T("   AUTRES")</f>
        <v xml:space="preserve">   AUTRES</v>
      </c>
      <c r="C5518" s="4">
        <v>7128.5</v>
      </c>
      <c r="D5518" s="4">
        <v>103330947</v>
      </c>
    </row>
    <row r="5519" spans="1:4" x14ac:dyDescent="0.25">
      <c r="A5519" t="str">
        <f>T("   853910")</f>
        <v xml:space="preserve">   853910</v>
      </c>
      <c r="B5519" t="str">
        <f>T("   ARTICLES DITS «PHARES ET PROJECTEURS SCELLES»")</f>
        <v xml:space="preserve">   ARTICLES DITS «PHARES ET PROJECTEURS SCELLES»</v>
      </c>
      <c r="C5519" s="4">
        <v>357</v>
      </c>
      <c r="D5519" s="4">
        <v>3199045</v>
      </c>
    </row>
    <row r="5520" spans="1:4" x14ac:dyDescent="0.25">
      <c r="A5520" t="str">
        <f>T("   853921")</f>
        <v xml:space="preserve">   853921</v>
      </c>
      <c r="B5520" t="str">
        <f>T("   HALOGENES, AU TUNGSTENE")</f>
        <v xml:space="preserve">   HALOGENES, AU TUNGSTENE</v>
      </c>
      <c r="C5520" s="4">
        <v>13</v>
      </c>
      <c r="D5520" s="4">
        <v>400655</v>
      </c>
    </row>
    <row r="5521" spans="1:4" x14ac:dyDescent="0.25">
      <c r="A5521" t="str">
        <f>T("   853922")</f>
        <v xml:space="preserve">   853922</v>
      </c>
      <c r="B5521" t="str">
        <f>T("   AUTRES, D’UNE PUISSANCE N’EXCEDANT PAS 200 W ET D’UNE TENSION EXCEDANT 100 V")</f>
        <v xml:space="preserve">   AUTRES, D’UNE PUISSANCE N’EXCEDANT PAS 200 W ET D’UNE TENSION EXCEDANT 100 V</v>
      </c>
      <c r="C5521" s="4">
        <v>1637</v>
      </c>
      <c r="D5521" s="4">
        <v>3237837</v>
      </c>
    </row>
    <row r="5522" spans="1:4" x14ac:dyDescent="0.25">
      <c r="A5522" t="str">
        <f>T("   853929")</f>
        <v xml:space="preserve">   853929</v>
      </c>
      <c r="B5522" t="str">
        <f>T("   AUTRES")</f>
        <v xml:space="preserve">   AUTRES</v>
      </c>
      <c r="C5522" s="4">
        <v>4168.3</v>
      </c>
      <c r="D5522" s="4">
        <v>25726416</v>
      </c>
    </row>
    <row r="5523" spans="1:4" x14ac:dyDescent="0.25">
      <c r="A5523" t="str">
        <f>T("   853931")</f>
        <v xml:space="preserve">   853931</v>
      </c>
      <c r="B5523" t="str">
        <f>T("   FLUORESCENTS, A CATHODE CHAUDE")</f>
        <v xml:space="preserve">   FLUORESCENTS, A CATHODE CHAUDE</v>
      </c>
      <c r="C5523" s="4">
        <v>342</v>
      </c>
      <c r="D5523" s="4">
        <v>2833092</v>
      </c>
    </row>
    <row r="5524" spans="1:4" x14ac:dyDescent="0.25">
      <c r="A5524" t="str">
        <f>T("   853939")</f>
        <v xml:space="preserve">   853939</v>
      </c>
      <c r="B5524" t="str">
        <f>T("   AUTRES")</f>
        <v xml:space="preserve">   AUTRES</v>
      </c>
      <c r="C5524" s="4">
        <v>3656</v>
      </c>
      <c r="D5524" s="4">
        <v>17418029</v>
      </c>
    </row>
    <row r="5525" spans="1:4" x14ac:dyDescent="0.25">
      <c r="A5525" t="str">
        <f>T("   853949")</f>
        <v xml:space="preserve">   853949</v>
      </c>
      <c r="B5525" t="str">
        <f>T("   AUTRES")</f>
        <v xml:space="preserve">   AUTRES</v>
      </c>
      <c r="C5525" s="4">
        <v>372.7</v>
      </c>
      <c r="D5525" s="4">
        <v>7655204</v>
      </c>
    </row>
    <row r="5526" spans="1:4" x14ac:dyDescent="0.25">
      <c r="A5526" t="str">
        <f>T("   854089")</f>
        <v xml:space="preserve">   854089</v>
      </c>
      <c r="B5526" t="str">
        <f>T("   AUTRES")</f>
        <v xml:space="preserve">   AUTRES</v>
      </c>
      <c r="C5526" s="4">
        <v>70</v>
      </c>
      <c r="D5526" s="4">
        <v>350000</v>
      </c>
    </row>
    <row r="5527" spans="1:4" x14ac:dyDescent="0.25">
      <c r="A5527" t="str">
        <f>T("   854110")</f>
        <v xml:space="preserve">   854110</v>
      </c>
      <c r="B5527" t="str">
        <f>T("   DIODES, AUTRES QUE LES PHOTODIODES ET LES DIODES EMETTRICES DE LUMIERE")</f>
        <v xml:space="preserve">   DIODES, AUTRES QUE LES PHOTODIODES ET LES DIODES EMETTRICES DE LUMIERE</v>
      </c>
      <c r="C5527" s="4">
        <v>4</v>
      </c>
      <c r="D5527" s="4">
        <v>294356</v>
      </c>
    </row>
    <row r="5528" spans="1:4" x14ac:dyDescent="0.25">
      <c r="A5528" t="str">
        <f>T("   854129")</f>
        <v xml:space="preserve">   854129</v>
      </c>
      <c r="B5528" t="str">
        <f>T("   AUTRES")</f>
        <v xml:space="preserve">   AUTRES</v>
      </c>
      <c r="C5528" s="4">
        <v>110</v>
      </c>
      <c r="D5528" s="4">
        <v>19068065</v>
      </c>
    </row>
    <row r="5529" spans="1:4" x14ac:dyDescent="0.25">
      <c r="A5529" t="str">
        <f>T("   854140")</f>
        <v xml:space="preserve">   854140</v>
      </c>
      <c r="B5529" t="str">
        <f>T("   DISPOSITIFS PHOTOSENSIBLES A SEMICONDUCTEUR, Y COMPRIS LES CELLULES PHOTOVOLTAIQUES")</f>
        <v xml:space="preserve">   DISPOSITIFS PHOTOSENSIBLES A SEMICONDUCTEUR, Y COMPRIS LES CELLULES PHOTOVOLTAIQUES</v>
      </c>
      <c r="C5529" s="4">
        <v>10904</v>
      </c>
      <c r="D5529" s="4">
        <v>111527072</v>
      </c>
    </row>
    <row r="5530" spans="1:4" x14ac:dyDescent="0.25">
      <c r="A5530" t="str">
        <f>T("   854150")</f>
        <v xml:space="preserve">   854150</v>
      </c>
      <c r="B5530" t="str">
        <f>T("   AUTRES DISPOSITIFS A SEMICONDUCTEUR")</f>
        <v xml:space="preserve">   AUTRES DISPOSITIFS A SEMICONDUCTEUR</v>
      </c>
      <c r="C5530" s="4">
        <v>709</v>
      </c>
      <c r="D5530" s="4">
        <v>3555264</v>
      </c>
    </row>
    <row r="5531" spans="1:4" x14ac:dyDescent="0.25">
      <c r="A5531" t="str">
        <f>T("   854231")</f>
        <v xml:space="preserve">   854231</v>
      </c>
      <c r="B5531" t="str">
        <f>T("   PROCESSEURS ET CONTROLEURS, MEME COMBINES AVEC DES MEMOIRES, DES CONVERTISSEURS, DES")</f>
        <v xml:space="preserve">   PROCESSEURS ET CONTROLEURS, MEME COMBINES AVEC DES MEMOIRES, DES CONVERTISSEURS, DES</v>
      </c>
      <c r="C5531" s="4">
        <v>4</v>
      </c>
      <c r="D5531" s="4">
        <v>2606936</v>
      </c>
    </row>
    <row r="5532" spans="1:4" x14ac:dyDescent="0.25">
      <c r="A5532" t="str">
        <f>T("   854232")</f>
        <v xml:space="preserve">   854232</v>
      </c>
      <c r="B5532" t="str">
        <f>T("   MEMOIRES")</f>
        <v xml:space="preserve">   MEMOIRES</v>
      </c>
      <c r="C5532" s="4">
        <v>17</v>
      </c>
      <c r="D5532" s="4">
        <v>43000</v>
      </c>
    </row>
    <row r="5533" spans="1:4" x14ac:dyDescent="0.25">
      <c r="A5533" t="str">
        <f>T("   854233")</f>
        <v xml:space="preserve">   854233</v>
      </c>
      <c r="B5533" t="str">
        <f>T("   AMPLIFICATEURS")</f>
        <v xml:space="preserve">   AMPLIFICATEURS</v>
      </c>
      <c r="C5533" s="4">
        <v>24</v>
      </c>
      <c r="D5533" s="4">
        <v>1742636</v>
      </c>
    </row>
    <row r="5534" spans="1:4" x14ac:dyDescent="0.25">
      <c r="A5534" t="str">
        <f>T("   854239")</f>
        <v xml:space="preserve">   854239</v>
      </c>
      <c r="B5534" t="str">
        <f>T("   AUTRES")</f>
        <v xml:space="preserve">   AUTRES</v>
      </c>
      <c r="C5534" s="4">
        <v>172</v>
      </c>
      <c r="D5534" s="4">
        <v>32000107</v>
      </c>
    </row>
    <row r="5535" spans="1:4" x14ac:dyDescent="0.25">
      <c r="A5535" t="str">
        <f>T("   854320")</f>
        <v xml:space="preserve">   854320</v>
      </c>
      <c r="B5535" t="str">
        <f>T("   GENERATEURS DE SIGNAUX")</f>
        <v xml:space="preserve">   GENERATEURS DE SIGNAUX</v>
      </c>
      <c r="C5535" s="4">
        <v>3.6</v>
      </c>
      <c r="D5535" s="4">
        <v>95199</v>
      </c>
    </row>
    <row r="5536" spans="1:4" x14ac:dyDescent="0.25">
      <c r="A5536" t="str">
        <f>T("   854370")</f>
        <v xml:space="preserve">   854370</v>
      </c>
      <c r="B5536" t="str">
        <f>T("   AUTRES MACHINES ET APPAREILS")</f>
        <v xml:space="preserve">   AUTRES MACHINES ET APPAREILS</v>
      </c>
      <c r="C5536" s="4">
        <v>2865</v>
      </c>
      <c r="D5536" s="4">
        <v>41920332</v>
      </c>
    </row>
    <row r="5537" spans="1:4" x14ac:dyDescent="0.25">
      <c r="A5537" t="str">
        <f>T("   854390")</f>
        <v xml:space="preserve">   854390</v>
      </c>
      <c r="B5537" t="str">
        <f>T("   PARTIES")</f>
        <v xml:space="preserve">   PARTIES</v>
      </c>
      <c r="C5537" s="4">
        <v>0.4</v>
      </c>
      <c r="D5537" s="4">
        <v>177109</v>
      </c>
    </row>
    <row r="5538" spans="1:4" x14ac:dyDescent="0.25">
      <c r="A5538" t="str">
        <f>T("   854411")</f>
        <v xml:space="preserve">   854411</v>
      </c>
      <c r="B5538" t="str">
        <f>T("   EN CUIVRE")</f>
        <v xml:space="preserve">   EN CUIVRE</v>
      </c>
      <c r="C5538" s="4">
        <v>121</v>
      </c>
      <c r="D5538" s="4">
        <v>65596</v>
      </c>
    </row>
    <row r="5539" spans="1:4" x14ac:dyDescent="0.25">
      <c r="A5539" t="str">
        <f>T("   854419")</f>
        <v xml:space="preserve">   854419</v>
      </c>
      <c r="B5539" t="str">
        <f>T("   AUTRES")</f>
        <v xml:space="preserve">   AUTRES</v>
      </c>
      <c r="C5539" s="4">
        <v>82</v>
      </c>
      <c r="D5539" s="4">
        <v>2339784</v>
      </c>
    </row>
    <row r="5540" spans="1:4" x14ac:dyDescent="0.25">
      <c r="A5540" t="str">
        <f>T("   854420")</f>
        <v xml:space="preserve">   854420</v>
      </c>
      <c r="B5540" t="str">
        <f>T("   Cables coaxiaux et autres conducteurs electriques coaxiaux")</f>
        <v xml:space="preserve">   Cables coaxiaux et autres conducteurs electriques coaxiaux</v>
      </c>
      <c r="C5540" s="4">
        <v>53915</v>
      </c>
      <c r="D5540" s="4">
        <v>168352446</v>
      </c>
    </row>
    <row r="5541" spans="1:4" x14ac:dyDescent="0.25">
      <c r="A5541" t="str">
        <f>T("   854430")</f>
        <v xml:space="preserve">   854430</v>
      </c>
      <c r="B5541" t="str">
        <f>T("   JEUX DE FILS POUR BOUGIES D'ALLUMAGE ET AUTRES JEUX DE FILS DES TYPES UTILISES DANS L")</f>
        <v xml:space="preserve">   JEUX DE FILS POUR BOUGIES D'ALLUMAGE ET AUTRES JEUX DE FILS DES TYPES UTILISES DANS L</v>
      </c>
      <c r="C5541" s="4">
        <v>15</v>
      </c>
      <c r="D5541" s="4">
        <v>904241</v>
      </c>
    </row>
    <row r="5542" spans="1:4" x14ac:dyDescent="0.25">
      <c r="A5542" t="str">
        <f>T("   854442")</f>
        <v xml:space="preserve">   854442</v>
      </c>
      <c r="B5542" t="str">
        <f>T("   MUNIS DE PIECES DE CONNEXION")</f>
        <v xml:space="preserve">   MUNIS DE PIECES DE CONNEXION</v>
      </c>
      <c r="C5542" s="4">
        <v>6205</v>
      </c>
      <c r="D5542" s="4">
        <v>62548496</v>
      </c>
    </row>
    <row r="5543" spans="1:4" x14ac:dyDescent="0.25">
      <c r="A5543" t="str">
        <f>T("   854449")</f>
        <v xml:space="preserve">   854449</v>
      </c>
      <c r="B5543" t="str">
        <f>T("   AUTRES")</f>
        <v xml:space="preserve">   AUTRES</v>
      </c>
      <c r="C5543" s="4">
        <v>85213.5</v>
      </c>
      <c r="D5543" s="4">
        <v>306042769</v>
      </c>
    </row>
    <row r="5544" spans="1:4" x14ac:dyDescent="0.25">
      <c r="A5544" t="str">
        <f>T("   854460")</f>
        <v xml:space="preserve">   854460</v>
      </c>
      <c r="B5544" t="str">
        <f>T("   AUTRES CONDUCTEURS ELECTRIQUES, POUR TENSIONS EXCEDANT 1.000 V")</f>
        <v xml:space="preserve">   AUTRES CONDUCTEURS ELECTRIQUES, POUR TENSIONS EXCEDANT 1.000 V</v>
      </c>
      <c r="C5544" s="4">
        <v>8789.5</v>
      </c>
      <c r="D5544" s="4">
        <v>13320764</v>
      </c>
    </row>
    <row r="5545" spans="1:4" x14ac:dyDescent="0.25">
      <c r="A5545" t="str">
        <f>T("   854470")</f>
        <v xml:space="preserve">   854470</v>
      </c>
      <c r="B5545" t="str">
        <f>T("   Cables de fibres optiques")</f>
        <v xml:space="preserve">   Cables de fibres optiques</v>
      </c>
      <c r="C5545" s="4">
        <v>25775.45</v>
      </c>
      <c r="D5545" s="4">
        <v>88071274</v>
      </c>
    </row>
    <row r="5546" spans="1:4" x14ac:dyDescent="0.25">
      <c r="A5546" t="str">
        <f>T("   854519")</f>
        <v xml:space="preserve">   854519</v>
      </c>
      <c r="B5546" t="str">
        <f>T("   AUTRES")</f>
        <v xml:space="preserve">   AUTRES</v>
      </c>
      <c r="C5546" s="4">
        <v>5</v>
      </c>
      <c r="D5546" s="4">
        <v>140297</v>
      </c>
    </row>
    <row r="5547" spans="1:4" x14ac:dyDescent="0.25">
      <c r="A5547" t="str">
        <f>T("   854520")</f>
        <v xml:space="preserve">   854520</v>
      </c>
      <c r="B5547" t="str">
        <f>T("   BALAIS")</f>
        <v xml:space="preserve">   BALAIS</v>
      </c>
      <c r="C5547" s="4">
        <v>230.36</v>
      </c>
      <c r="D5547" s="4">
        <v>15638492</v>
      </c>
    </row>
    <row r="5548" spans="1:4" x14ac:dyDescent="0.25">
      <c r="A5548" t="str">
        <f>T("   854590")</f>
        <v xml:space="preserve">   854590</v>
      </c>
      <c r="B5548" t="str">
        <f>T("   AUTRES")</f>
        <v xml:space="preserve">   AUTRES</v>
      </c>
      <c r="C5548" s="4">
        <v>1332</v>
      </c>
      <c r="D5548" s="4">
        <v>8662170</v>
      </c>
    </row>
    <row r="5549" spans="1:4" x14ac:dyDescent="0.25">
      <c r="A5549" t="str">
        <f>T("   854720")</f>
        <v xml:space="preserve">   854720</v>
      </c>
      <c r="B5549" t="str">
        <f>T("   Pieces isolantes en matieres plastiques")</f>
        <v xml:space="preserve">   Pieces isolantes en matieres plastiques</v>
      </c>
      <c r="C5549" s="4">
        <v>16</v>
      </c>
      <c r="D5549" s="4">
        <v>218251</v>
      </c>
    </row>
    <row r="5550" spans="1:4" x14ac:dyDescent="0.25">
      <c r="A5550" t="str">
        <f>T("   854790")</f>
        <v xml:space="preserve">   854790</v>
      </c>
      <c r="B5550" t="str">
        <f>T("   AUTRES")</f>
        <v xml:space="preserve">   AUTRES</v>
      </c>
      <c r="C5550" s="4">
        <v>1935.79</v>
      </c>
      <c r="D5550" s="4">
        <v>2958349</v>
      </c>
    </row>
    <row r="5551" spans="1:4" x14ac:dyDescent="0.25">
      <c r="A5551" t="str">
        <f>T("   854810")</f>
        <v xml:space="preserve">   854810</v>
      </c>
      <c r="B5551" t="str">
        <f>T("   DECHETS ET DEBRIS DE PILES, DE BATTERIES DE PILES ET D'ACCUMULATEURS ELECTRIQUES; PIL")</f>
        <v xml:space="preserve">   DECHETS ET DEBRIS DE PILES, DE BATTERIES DE PILES ET D'ACCUMULATEURS ELECTRIQUES; PIL</v>
      </c>
      <c r="C5551" s="4">
        <v>104</v>
      </c>
      <c r="D5551" s="4">
        <v>469011</v>
      </c>
    </row>
    <row r="5552" spans="1:4" x14ac:dyDescent="0.25">
      <c r="A5552" t="str">
        <f>T("   854890")</f>
        <v xml:space="preserve">   854890</v>
      </c>
      <c r="B5552" t="str">
        <f>T("   AUTRES")</f>
        <v xml:space="preserve">   AUTRES</v>
      </c>
      <c r="C5552" s="4">
        <v>46</v>
      </c>
      <c r="D5552" s="4">
        <v>272742</v>
      </c>
    </row>
    <row r="5553" spans="1:4" x14ac:dyDescent="0.25">
      <c r="A5553" t="str">
        <f>T("   860800")</f>
        <v xml:space="preserve">   860800</v>
      </c>
      <c r="B5553" t="str">
        <f>T("   MATERIEL FIXE DE VOIES FERREES OU SIMILAIRES; APPAREILS MECANIQUES (Y COMPRIS ELECTROME")</f>
        <v xml:space="preserve">   MATERIEL FIXE DE VOIES FERREES OU SIMILAIRES; APPAREILS MECANIQUES (Y COMPRIS ELECTROME</v>
      </c>
      <c r="C5553" s="4">
        <v>898</v>
      </c>
      <c r="D5553" s="4">
        <v>9533317</v>
      </c>
    </row>
    <row r="5554" spans="1:4" x14ac:dyDescent="0.25">
      <c r="A5554" t="str">
        <f>T("   860900")</f>
        <v xml:space="preserve">   860900</v>
      </c>
      <c r="B5554" t="str">
        <f>T("   CADRES ET CONTENEURS (Y COMPRIS LES CONTENEURSCITERNES ET LES CONTENEURSRESERVOIRS) S")</f>
        <v xml:space="preserve">   CADRES ET CONTENEURS (Y COMPRIS LES CONTENEURSCITERNES ET LES CONTENEURSRESERVOIRS) S</v>
      </c>
      <c r="C5554" s="4">
        <v>7055</v>
      </c>
      <c r="D5554" s="4">
        <v>8557020</v>
      </c>
    </row>
    <row r="5555" spans="1:4" x14ac:dyDescent="0.25">
      <c r="A5555" t="str">
        <f>T("   870110")</f>
        <v xml:space="preserve">   870110</v>
      </c>
      <c r="B5555" t="str">
        <f>T("   Motoculteurs")</f>
        <v xml:space="preserve">   Motoculteurs</v>
      </c>
      <c r="C5555" s="4">
        <v>28500</v>
      </c>
      <c r="D5555" s="4">
        <v>7271688</v>
      </c>
    </row>
    <row r="5556" spans="1:4" x14ac:dyDescent="0.25">
      <c r="A5556" t="str">
        <f>T("   870120")</f>
        <v xml:space="preserve">   870120</v>
      </c>
      <c r="B5556" t="str">
        <f>T("   TRACTEURS ROUTIERS POUR SEMIREMORQUES")</f>
        <v xml:space="preserve">   TRACTEURS ROUTIERS POUR SEMIREMORQUES</v>
      </c>
      <c r="C5556" s="4">
        <v>5045327.5</v>
      </c>
      <c r="D5556" s="4">
        <v>1345080450</v>
      </c>
    </row>
    <row r="5557" spans="1:4" x14ac:dyDescent="0.25">
      <c r="A5557" t="str">
        <f>T("   870130")</f>
        <v xml:space="preserve">   870130</v>
      </c>
      <c r="B5557" t="str">
        <f>T("   TRACTEURS A CHENILLES")</f>
        <v xml:space="preserve">   TRACTEURS A CHENILLES</v>
      </c>
      <c r="C5557" s="4">
        <v>6000</v>
      </c>
      <c r="D5557" s="4">
        <v>4435760</v>
      </c>
    </row>
    <row r="5558" spans="1:4" x14ac:dyDescent="0.25">
      <c r="A5558" t="str">
        <f>T("   870190")</f>
        <v xml:space="preserve">   870190</v>
      </c>
      <c r="B5558" t="str">
        <f>T("   AUTRES")</f>
        <v xml:space="preserve">   AUTRES</v>
      </c>
      <c r="C5558" s="4">
        <v>109420</v>
      </c>
      <c r="D5558" s="4">
        <v>42085343</v>
      </c>
    </row>
    <row r="5559" spans="1:4" x14ac:dyDescent="0.25">
      <c r="A5559" t="str">
        <f>T("   870210")</f>
        <v xml:space="preserve">   870210</v>
      </c>
      <c r="B5559" t="str">
        <f>T("   A MOTEUR A PISTON A ALLUMAGE PAR COMPRESSION (DIESEL OU SEMIDIESEL)")</f>
        <v xml:space="preserve">   A MOTEUR A PISTON A ALLUMAGE PAR COMPRESSION (DIESEL OU SEMIDIESEL)</v>
      </c>
      <c r="C5559" s="4">
        <v>336040</v>
      </c>
      <c r="D5559" s="4">
        <v>150506555</v>
      </c>
    </row>
    <row r="5560" spans="1:4" x14ac:dyDescent="0.25">
      <c r="A5560" t="str">
        <f>T("   870290")</f>
        <v xml:space="preserve">   870290</v>
      </c>
      <c r="B5560" t="str">
        <f>T("   AUTRES")</f>
        <v xml:space="preserve">   AUTRES</v>
      </c>
      <c r="C5560" s="4">
        <v>78960</v>
      </c>
      <c r="D5560" s="4">
        <v>65414610</v>
      </c>
    </row>
    <row r="5561" spans="1:4" x14ac:dyDescent="0.25">
      <c r="A5561" t="str">
        <f>T("   870321")</f>
        <v xml:space="preserve">   870321</v>
      </c>
      <c r="B5561" t="str">
        <f>T("   D’UNE CYLINDREE N’EXCEDANT PAS 1.000 CM³")</f>
        <v xml:space="preserve">   D’UNE CYLINDREE N’EXCEDANT PAS 1.000 CM³</v>
      </c>
      <c r="C5561" s="4">
        <v>1725</v>
      </c>
      <c r="D5561" s="4">
        <v>2400000</v>
      </c>
    </row>
    <row r="5562" spans="1:4" x14ac:dyDescent="0.25">
      <c r="A5562" t="str">
        <f>T("   870322")</f>
        <v xml:space="preserve">   870322</v>
      </c>
      <c r="B5562" t="str">
        <f>T("   D’UNE CYLINDREE EXCEDANT 1.000 CM³ MAIS N’EXCEDANT PAS 1.500 CM³")</f>
        <v xml:space="preserve">   D’UNE CYLINDREE EXCEDANT 1.000 CM³ MAIS N’EXCEDANT PAS 1.500 CM³</v>
      </c>
      <c r="C5562" s="4">
        <v>212284</v>
      </c>
      <c r="D5562" s="4">
        <v>749232936</v>
      </c>
    </row>
    <row r="5563" spans="1:4" x14ac:dyDescent="0.25">
      <c r="A5563" t="str">
        <f>T("   870323")</f>
        <v xml:space="preserve">   870323</v>
      </c>
      <c r="B5563" t="str">
        <f>T("   D’UNE CYLINDREE EXCEDANT 1.500 CM³ MAIS N’EXCEDANT PAS 3.000 CM³")</f>
        <v xml:space="preserve">   D’UNE CYLINDREE EXCEDANT 1.500 CM³ MAIS N’EXCEDANT PAS 3.000 CM³</v>
      </c>
      <c r="C5563" s="4">
        <v>426049</v>
      </c>
      <c r="D5563" s="4">
        <v>970602161</v>
      </c>
    </row>
    <row r="5564" spans="1:4" x14ac:dyDescent="0.25">
      <c r="A5564" t="str">
        <f>T("   870324")</f>
        <v xml:space="preserve">   870324</v>
      </c>
      <c r="B5564" t="str">
        <f>T("   D’UNE CYLINDREE EXCEDANT 3.000 CM³")</f>
        <v xml:space="preserve">   D’UNE CYLINDREE EXCEDANT 3.000 CM³</v>
      </c>
      <c r="C5564" s="4">
        <v>18200</v>
      </c>
      <c r="D5564" s="4">
        <v>60338491</v>
      </c>
    </row>
    <row r="5565" spans="1:4" x14ac:dyDescent="0.25">
      <c r="A5565" t="str">
        <f>T("   870331")</f>
        <v xml:space="preserve">   870331</v>
      </c>
      <c r="B5565" t="str">
        <f>T("   D'UNE CYLINDREE N'EXCEDANT PAS 1.500 CM³")</f>
        <v xml:space="preserve">   D'UNE CYLINDREE N'EXCEDANT PAS 1.500 CM³</v>
      </c>
      <c r="C5565" s="4">
        <v>4275</v>
      </c>
      <c r="D5565" s="4">
        <v>9222386</v>
      </c>
    </row>
    <row r="5566" spans="1:4" x14ac:dyDescent="0.25">
      <c r="A5566" t="str">
        <f>T("   870332")</f>
        <v xml:space="preserve">   870332</v>
      </c>
      <c r="B5566" t="str">
        <f>T("   D'UNE CYLINDREE EXCEDANT 1.500 CM³ MAIS N'EXCEDANT PAS 2.500 CM³")</f>
        <v xml:space="preserve">   D'UNE CYLINDREE EXCEDANT 1.500 CM³ MAIS N'EXCEDANT PAS 2.500 CM³</v>
      </c>
      <c r="C5566" s="4">
        <v>92831</v>
      </c>
      <c r="D5566" s="4">
        <v>128407521</v>
      </c>
    </row>
    <row r="5567" spans="1:4" x14ac:dyDescent="0.25">
      <c r="A5567" t="str">
        <f>T("   870333")</f>
        <v xml:space="preserve">   870333</v>
      </c>
      <c r="B5567" t="str">
        <f>T("   D'UNE CYLINDREE EXCEDANT 2.500 CM³")</f>
        <v xml:space="preserve">   D'UNE CYLINDREE EXCEDANT 2.500 CM³</v>
      </c>
      <c r="C5567" s="4">
        <v>53625</v>
      </c>
      <c r="D5567" s="4">
        <v>264526973</v>
      </c>
    </row>
    <row r="5568" spans="1:4" x14ac:dyDescent="0.25">
      <c r="A5568" t="str">
        <f>T("   870421")</f>
        <v xml:space="preserve">   870421</v>
      </c>
      <c r="B5568" t="str">
        <f>T("   D'UN POIDS EN CHARGE MAXIMAL N'EXCEDANT PAS 5 TONNES")</f>
        <v xml:space="preserve">   D'UN POIDS EN CHARGE MAXIMAL N'EXCEDANT PAS 5 TONNES</v>
      </c>
      <c r="C5568" s="4">
        <v>310482</v>
      </c>
      <c r="D5568" s="4">
        <v>324632406</v>
      </c>
    </row>
    <row r="5569" spans="1:4" x14ac:dyDescent="0.25">
      <c r="A5569" t="str">
        <f>T("   870422")</f>
        <v xml:space="preserve">   870422</v>
      </c>
      <c r="B5569" t="str">
        <f>T("   D'UN POIDS EN CHARGE MAXIMAL EXCEDANT 5 TONNES MAIS N'EXCEDANT PAS 20 TONNES")</f>
        <v xml:space="preserve">   D'UN POIDS EN CHARGE MAXIMAL EXCEDANT 5 TONNES MAIS N'EXCEDANT PAS 20 TONNES</v>
      </c>
      <c r="C5569" s="4">
        <v>1721528</v>
      </c>
      <c r="D5569" s="4">
        <v>622285753</v>
      </c>
    </row>
    <row r="5570" spans="1:4" x14ac:dyDescent="0.25">
      <c r="A5570" t="str">
        <f>T("   870423")</f>
        <v xml:space="preserve">   870423</v>
      </c>
      <c r="B5570" t="str">
        <f>T("   D'UN POIDS EN CHARGE MAXIMAL EXCEDANT 20 TONNES")</f>
        <v xml:space="preserve">   D'UN POIDS EN CHARGE MAXIMAL EXCEDANT 20 TONNES</v>
      </c>
      <c r="C5570" s="4">
        <v>678080</v>
      </c>
      <c r="D5570" s="4">
        <v>282363520</v>
      </c>
    </row>
    <row r="5571" spans="1:4" x14ac:dyDescent="0.25">
      <c r="A5571" t="str">
        <f>T("   870431")</f>
        <v xml:space="preserve">   870431</v>
      </c>
      <c r="B5571" t="str">
        <f>T("   D'UN POIDS EN CHARGE MAXIMAL N'EXCEDANT PAS 5 TONNES")</f>
        <v xml:space="preserve">   D'UN POIDS EN CHARGE MAXIMAL N'EXCEDANT PAS 5 TONNES</v>
      </c>
      <c r="C5571" s="4">
        <v>298397</v>
      </c>
      <c r="D5571" s="4">
        <v>163323563</v>
      </c>
    </row>
    <row r="5572" spans="1:4" x14ac:dyDescent="0.25">
      <c r="A5572" t="str">
        <f>T("   870432")</f>
        <v xml:space="preserve">   870432</v>
      </c>
      <c r="B5572" t="str">
        <f>T("   D'UN POIDS EN CHARGE MAXIMAL EXCEDANT 5 TONNES")</f>
        <v xml:space="preserve">   D'UN POIDS EN CHARGE MAXIMAL EXCEDANT 5 TONNES</v>
      </c>
      <c r="C5572" s="4">
        <v>50180</v>
      </c>
      <c r="D5572" s="4">
        <v>10000000</v>
      </c>
    </row>
    <row r="5573" spans="1:4" x14ac:dyDescent="0.25">
      <c r="A5573" t="str">
        <f>T("   870490")</f>
        <v xml:space="preserve">   870490</v>
      </c>
      <c r="B5573" t="str">
        <f>T("   AUTRES")</f>
        <v xml:space="preserve">   AUTRES</v>
      </c>
      <c r="C5573" s="4">
        <v>66020</v>
      </c>
      <c r="D5573" s="4">
        <v>13962114</v>
      </c>
    </row>
    <row r="5574" spans="1:4" x14ac:dyDescent="0.25">
      <c r="A5574" t="str">
        <f>T("   870510")</f>
        <v xml:space="preserve">   870510</v>
      </c>
      <c r="B5574" t="str">
        <f>T("   CAMIONSGRUES")</f>
        <v xml:space="preserve">   CAMIONSGRUES</v>
      </c>
      <c r="C5574" s="4">
        <v>10860</v>
      </c>
      <c r="D5574" s="4">
        <v>1438186</v>
      </c>
    </row>
    <row r="5575" spans="1:4" x14ac:dyDescent="0.25">
      <c r="A5575" t="str">
        <f>T("   870530")</f>
        <v xml:space="preserve">   870530</v>
      </c>
      <c r="B5575" t="str">
        <f>T("   VOITURES DE LUTTE CONTRE L'INCENDIE")</f>
        <v xml:space="preserve">   VOITURES DE LUTTE CONTRE L'INCENDIE</v>
      </c>
      <c r="C5575" s="4">
        <v>11000</v>
      </c>
      <c r="D5575" s="4">
        <v>123832129</v>
      </c>
    </row>
    <row r="5576" spans="1:4" x14ac:dyDescent="0.25">
      <c r="A5576" t="str">
        <f>T("   870590")</f>
        <v xml:space="preserve">   870590</v>
      </c>
      <c r="B5576" t="str">
        <f>T("   AUTRES")</f>
        <v xml:space="preserve">   AUTRES</v>
      </c>
      <c r="C5576" s="4">
        <v>57910</v>
      </c>
      <c r="D5576" s="4">
        <v>157574757</v>
      </c>
    </row>
    <row r="5577" spans="1:4" x14ac:dyDescent="0.25">
      <c r="A5577" t="str">
        <f>T("   870710")</f>
        <v xml:space="preserve">   870710</v>
      </c>
      <c r="B5577" t="str">
        <f>T("   DES VEHICULES DU N° 87.03")</f>
        <v xml:space="preserve">   DES VEHICULES DU N° 87.03</v>
      </c>
      <c r="C5577" s="4">
        <v>1162</v>
      </c>
      <c r="D5577" s="4">
        <v>10204114</v>
      </c>
    </row>
    <row r="5578" spans="1:4" x14ac:dyDescent="0.25">
      <c r="A5578" t="str">
        <f>T("   870790")</f>
        <v xml:space="preserve">   870790</v>
      </c>
      <c r="B5578" t="str">
        <f>T("   AUTRES")</f>
        <v xml:space="preserve">   AUTRES</v>
      </c>
      <c r="C5578" s="4">
        <v>1395</v>
      </c>
      <c r="D5578" s="4">
        <v>7603888</v>
      </c>
    </row>
    <row r="5579" spans="1:4" x14ac:dyDescent="0.25">
      <c r="A5579" t="str">
        <f>T("   870810")</f>
        <v xml:space="preserve">   870810</v>
      </c>
      <c r="B5579" t="str">
        <f>T("   PARECHOCS ET LEURS PARTIES")</f>
        <v xml:space="preserve">   PARECHOCS ET LEURS PARTIES</v>
      </c>
      <c r="C5579" s="4">
        <v>155</v>
      </c>
      <c r="D5579" s="4">
        <v>1842087</v>
      </c>
    </row>
    <row r="5580" spans="1:4" x14ac:dyDescent="0.25">
      <c r="A5580" t="str">
        <f>T("   870821")</f>
        <v xml:space="preserve">   870821</v>
      </c>
      <c r="B5580" t="str">
        <f>T("   Ceintures de securite")</f>
        <v xml:space="preserve">   Ceintures de securite</v>
      </c>
      <c r="C5580" s="4">
        <v>187</v>
      </c>
      <c r="D5580" s="4">
        <v>4139258</v>
      </c>
    </row>
    <row r="5581" spans="1:4" x14ac:dyDescent="0.25">
      <c r="A5581" t="str">
        <f>T("   870829")</f>
        <v xml:space="preserve">   870829</v>
      </c>
      <c r="B5581" t="str">
        <f>T("   AUTRES")</f>
        <v xml:space="preserve">   AUTRES</v>
      </c>
      <c r="C5581" s="4">
        <v>930</v>
      </c>
      <c r="D5581" s="4">
        <v>9220595</v>
      </c>
    </row>
    <row r="5582" spans="1:4" x14ac:dyDescent="0.25">
      <c r="A5582" t="str">
        <f>T("   870830")</f>
        <v xml:space="preserve">   870830</v>
      </c>
      <c r="B5582" t="str">
        <f>T("   FREINS ET SERVOFREINS, ET LEURS PARTIES")</f>
        <v xml:space="preserve">   FREINS ET SERVOFREINS, ET LEURS PARTIES</v>
      </c>
      <c r="C5582" s="4">
        <v>3</v>
      </c>
      <c r="D5582" s="4">
        <v>697285</v>
      </c>
    </row>
    <row r="5583" spans="1:4" x14ac:dyDescent="0.25">
      <c r="A5583" t="str">
        <f>T("   870840")</f>
        <v xml:space="preserve">   870840</v>
      </c>
      <c r="B5583" t="str">
        <f>T("   BOITES DE VITESSES ET LEURS PARTIES")</f>
        <v xml:space="preserve">   BOITES DE VITESSES ET LEURS PARTIES</v>
      </c>
      <c r="C5583" s="4">
        <v>300</v>
      </c>
      <c r="D5583" s="4">
        <v>7694429</v>
      </c>
    </row>
    <row r="5584" spans="1:4" x14ac:dyDescent="0.25">
      <c r="A5584" t="str">
        <f>T("   870870")</f>
        <v xml:space="preserve">   870870</v>
      </c>
      <c r="B5584" t="str">
        <f>T("   Roues, leurs parties et accessoires")</f>
        <v xml:space="preserve">   Roues, leurs parties et accessoires</v>
      </c>
      <c r="C5584" s="4">
        <v>493</v>
      </c>
      <c r="D5584" s="4">
        <v>9598251</v>
      </c>
    </row>
    <row r="5585" spans="1:4" x14ac:dyDescent="0.25">
      <c r="A5585" t="str">
        <f>T("   870880")</f>
        <v xml:space="preserve">   870880</v>
      </c>
      <c r="B5585" t="str">
        <f>T("   SYSTEMES DE SUSPENSION ET LEURS PARTIES (Y COMPRIS LES AMORTISSEURS DE SUSPENSION)")</f>
        <v xml:space="preserve">   SYSTEMES DE SUSPENSION ET LEURS PARTIES (Y COMPRIS LES AMORTISSEURS DE SUSPENSION)</v>
      </c>
      <c r="C5585" s="4">
        <v>138</v>
      </c>
      <c r="D5585" s="4">
        <v>2692690</v>
      </c>
    </row>
    <row r="5586" spans="1:4" x14ac:dyDescent="0.25">
      <c r="A5586" t="str">
        <f>T("   870891")</f>
        <v xml:space="preserve">   870891</v>
      </c>
      <c r="B5586" t="str">
        <f>T("   RADIATEURS ET LEURS PARTIES")</f>
        <v xml:space="preserve">   RADIATEURS ET LEURS PARTIES</v>
      </c>
      <c r="C5586" s="4">
        <v>685</v>
      </c>
      <c r="D5586" s="4">
        <v>23561894</v>
      </c>
    </row>
    <row r="5587" spans="1:4" x14ac:dyDescent="0.25">
      <c r="A5587" t="str">
        <f>T("   870892")</f>
        <v xml:space="preserve">   870892</v>
      </c>
      <c r="B5587" t="str">
        <f>T("   SILENCIEUX ET TUYAUX D'ECHAPPEMENT; LEURS PARTIES")</f>
        <v xml:space="preserve">   SILENCIEUX ET TUYAUX D'ECHAPPEMENT; LEURS PARTIES</v>
      </c>
      <c r="C5587" s="4">
        <v>30</v>
      </c>
      <c r="D5587" s="4">
        <v>444104</v>
      </c>
    </row>
    <row r="5588" spans="1:4" x14ac:dyDescent="0.25">
      <c r="A5588" t="str">
        <f>T("   870893")</f>
        <v xml:space="preserve">   870893</v>
      </c>
      <c r="B5588" t="str">
        <f>T("   Embrayages et leurs parties")</f>
        <v xml:space="preserve">   Embrayages et leurs parties</v>
      </c>
      <c r="C5588" s="4">
        <v>131</v>
      </c>
      <c r="D5588" s="4">
        <v>3366125</v>
      </c>
    </row>
    <row r="5589" spans="1:4" x14ac:dyDescent="0.25">
      <c r="A5589" t="str">
        <f>T("   870894")</f>
        <v xml:space="preserve">   870894</v>
      </c>
      <c r="B5589" t="str">
        <f>T("   VOLANTS, COLONNES ET BOITIERS DE DIRECTION; LEURS PARTIES")</f>
        <v xml:space="preserve">   VOLANTS, COLONNES ET BOITIERS DE DIRECTION; LEURS PARTIES</v>
      </c>
      <c r="C5589" s="4">
        <v>3</v>
      </c>
      <c r="D5589" s="4">
        <v>78518</v>
      </c>
    </row>
    <row r="5590" spans="1:4" x14ac:dyDescent="0.25">
      <c r="A5590" t="str">
        <f>T("   870899")</f>
        <v xml:space="preserve">   870899</v>
      </c>
      <c r="B5590" t="str">
        <f>T("   AUTRES")</f>
        <v xml:space="preserve">   AUTRES</v>
      </c>
      <c r="C5590" s="4">
        <v>494558.42</v>
      </c>
      <c r="D5590" s="4">
        <v>915349894</v>
      </c>
    </row>
    <row r="5591" spans="1:4" x14ac:dyDescent="0.25">
      <c r="A5591" t="str">
        <f>T("   870919")</f>
        <v xml:space="preserve">   870919</v>
      </c>
      <c r="B5591" t="str">
        <f>T("   AUTRES")</f>
        <v xml:space="preserve">   AUTRES</v>
      </c>
      <c r="C5591" s="4">
        <v>14140</v>
      </c>
      <c r="D5591" s="4">
        <v>14781375</v>
      </c>
    </row>
    <row r="5592" spans="1:4" x14ac:dyDescent="0.25">
      <c r="A5592" t="str">
        <f>T("   870990")</f>
        <v xml:space="preserve">   870990</v>
      </c>
      <c r="B5592" t="str">
        <f>T("   PARTIES")</f>
        <v xml:space="preserve">   PARTIES</v>
      </c>
      <c r="C5592" s="4">
        <v>810</v>
      </c>
      <c r="D5592" s="4">
        <v>2670584</v>
      </c>
    </row>
    <row r="5593" spans="1:4" x14ac:dyDescent="0.25">
      <c r="A5593" t="str">
        <f>T("   871110")</f>
        <v xml:space="preserve">   871110</v>
      </c>
      <c r="B5593" t="str">
        <f>T("   A MOTEUR A PISTON ALTERNATIF, D'UNE CYLINDREE N'EXCEDANT PAS 50 CM³")</f>
        <v xml:space="preserve">   A MOTEUR A PISTON ALTERNATIF, D'UNE CYLINDREE N'EXCEDANT PAS 50 CM³</v>
      </c>
      <c r="C5593" s="4">
        <v>29255</v>
      </c>
      <c r="D5593" s="4">
        <v>121283355</v>
      </c>
    </row>
    <row r="5594" spans="1:4" x14ac:dyDescent="0.25">
      <c r="A5594" t="str">
        <f>T("   871120")</f>
        <v xml:space="preserve">   871120</v>
      </c>
      <c r="B5594" t="str">
        <f>T("   A MOTEUR A PISTON ALTERNATIF, D'UNE CYLINDREE EXCEDANT 50 CM³ MAIS N'EXCEDANT PAS 250")</f>
        <v xml:space="preserve">   A MOTEUR A PISTON ALTERNATIF, D'UNE CYLINDREE EXCEDANT 50 CM³ MAIS N'EXCEDANT PAS 250</v>
      </c>
      <c r="C5594" s="4">
        <v>84430</v>
      </c>
      <c r="D5594" s="4">
        <v>236024705</v>
      </c>
    </row>
    <row r="5595" spans="1:4" x14ac:dyDescent="0.25">
      <c r="A5595" t="str">
        <f>T("   871130")</f>
        <v xml:space="preserve">   871130</v>
      </c>
      <c r="B5595" t="str">
        <f>T("   A MOTEUR A PISTON ALTERNATIF, D'UNE CYLINDREE EXCEDANT 250 CM³ MAIS N'EXCEDANT PAS 50")</f>
        <v xml:space="preserve">   A MOTEUR A PISTON ALTERNATIF, D'UNE CYLINDREE EXCEDANT 250 CM³ MAIS N'EXCEDANT PAS 50</v>
      </c>
      <c r="C5595" s="4">
        <v>30694</v>
      </c>
      <c r="D5595" s="4">
        <v>66824007</v>
      </c>
    </row>
    <row r="5596" spans="1:4" x14ac:dyDescent="0.25">
      <c r="A5596" t="str">
        <f>T("   871140")</f>
        <v xml:space="preserve">   871140</v>
      </c>
      <c r="B5596" t="str">
        <f>T("   A MOTEUR A PISTON ALTERNATIF, D'UNE CYLINDREE EXCEDANT 500 CM³ MAIS N'EXCEDANT PAS 80")</f>
        <v xml:space="preserve">   A MOTEUR A PISTON ALTERNATIF, D'UNE CYLINDREE EXCEDANT 500 CM³ MAIS N'EXCEDANT PAS 80</v>
      </c>
      <c r="C5596" s="4">
        <v>5600</v>
      </c>
      <c r="D5596" s="4">
        <v>5288770</v>
      </c>
    </row>
    <row r="5597" spans="1:4" x14ac:dyDescent="0.25">
      <c r="A5597" t="str">
        <f>T("   871150")</f>
        <v xml:space="preserve">   871150</v>
      </c>
      <c r="B5597" t="str">
        <f>T("   A MOTEUR A PISTON ALTERNATIF, D'UNE CYLINDREE EXCEDANT 800 CM³")</f>
        <v xml:space="preserve">   A MOTEUR A PISTON ALTERNATIF, D'UNE CYLINDREE EXCEDANT 800 CM³</v>
      </c>
      <c r="C5597" s="4">
        <v>1000</v>
      </c>
      <c r="D5597" s="4">
        <v>900000</v>
      </c>
    </row>
    <row r="5598" spans="1:4" x14ac:dyDescent="0.25">
      <c r="A5598" t="str">
        <f>T("   871190")</f>
        <v xml:space="preserve">   871190</v>
      </c>
      <c r="B5598" t="str">
        <f>T("   AUTRES")</f>
        <v xml:space="preserve">   AUTRES</v>
      </c>
      <c r="C5598" s="4">
        <v>66114</v>
      </c>
      <c r="D5598" s="4">
        <v>25609818</v>
      </c>
    </row>
    <row r="5599" spans="1:4" x14ac:dyDescent="0.25">
      <c r="A5599" t="str">
        <f>T("   871200")</f>
        <v xml:space="preserve">   871200</v>
      </c>
      <c r="B5599" t="str">
        <f>T("   BICYCLETTES ET AUTRES CYCLES (Y COMPRIS LES TRIPORTEURS), SANS MOTEUR.")</f>
        <v xml:space="preserve">   BICYCLETTES ET AUTRES CYCLES (Y COMPRIS LES TRIPORTEURS), SANS MOTEUR.</v>
      </c>
      <c r="C5599" s="4">
        <v>37444.43</v>
      </c>
      <c r="D5599" s="4">
        <v>14641233</v>
      </c>
    </row>
    <row r="5600" spans="1:4" x14ac:dyDescent="0.25">
      <c r="A5600" t="str">
        <f>T("   871310")</f>
        <v xml:space="preserve">   871310</v>
      </c>
      <c r="B5600" t="str">
        <f>T("   SANS MECANISME DE PROPULSION")</f>
        <v xml:space="preserve">   SANS MECANISME DE PROPULSION</v>
      </c>
      <c r="C5600" s="4">
        <v>3302</v>
      </c>
      <c r="D5600" s="4">
        <v>2463858</v>
      </c>
    </row>
    <row r="5601" spans="1:4" x14ac:dyDescent="0.25">
      <c r="A5601" t="str">
        <f>T("   871390")</f>
        <v xml:space="preserve">   871390</v>
      </c>
      <c r="B5601" t="str">
        <f>T("   AUTRES")</f>
        <v xml:space="preserve">   AUTRES</v>
      </c>
      <c r="C5601" s="4">
        <v>9980</v>
      </c>
      <c r="D5601" s="4">
        <v>2164693</v>
      </c>
    </row>
    <row r="5602" spans="1:4" x14ac:dyDescent="0.25">
      <c r="A5602" t="str">
        <f>T("   871411")</f>
        <v xml:space="preserve">   871411</v>
      </c>
      <c r="B5602" t="str">
        <f>T("   SELLES")</f>
        <v xml:space="preserve">   SELLES</v>
      </c>
      <c r="C5602" s="4">
        <v>75</v>
      </c>
      <c r="D5602" s="4">
        <v>1613163</v>
      </c>
    </row>
    <row r="5603" spans="1:4" x14ac:dyDescent="0.25">
      <c r="A5603" t="str">
        <f>T("   871419")</f>
        <v xml:space="preserve">   871419</v>
      </c>
      <c r="B5603" t="str">
        <f>T("   AUTRES PARTIES ET ACCESSOIRES DE MOTOCYCLES")</f>
        <v xml:space="preserve">   AUTRES PARTIES ET ACCESSOIRES DE MOTOCYCLES</v>
      </c>
      <c r="C5603" s="4">
        <v>270</v>
      </c>
      <c r="D5603" s="4">
        <v>1289081</v>
      </c>
    </row>
    <row r="5604" spans="1:4" x14ac:dyDescent="0.25">
      <c r="A5604" t="str">
        <f>T("   871420")</f>
        <v xml:space="preserve">   871420</v>
      </c>
      <c r="B5604" t="str">
        <f>T("   DE FAUTEUILS ROULANTS OU D'AUTRES VEHICULES POUR INVALIDES")</f>
        <v xml:space="preserve">   DE FAUTEUILS ROULANTS OU D'AUTRES VEHICULES POUR INVALIDES</v>
      </c>
      <c r="C5604" s="4">
        <v>1700</v>
      </c>
      <c r="D5604" s="4">
        <v>5674054</v>
      </c>
    </row>
    <row r="5605" spans="1:4" x14ac:dyDescent="0.25">
      <c r="A5605" t="str">
        <f>T("   871493")</f>
        <v xml:space="preserve">   871493</v>
      </c>
      <c r="B5605" t="str">
        <f>T("   MOYEUX (AUTRES QUE LES MOYEUX A FREINS) ET PIGNONS DE ROUES LIBRES")</f>
        <v xml:space="preserve">   MOYEUX (AUTRES QUE LES MOYEUX A FREINS) ET PIGNONS DE ROUES LIBRES</v>
      </c>
      <c r="C5605" s="4">
        <v>85</v>
      </c>
      <c r="D5605" s="4">
        <v>1001940</v>
      </c>
    </row>
    <row r="5606" spans="1:4" x14ac:dyDescent="0.25">
      <c r="A5606" t="str">
        <f>T("   871499")</f>
        <v xml:space="preserve">   871499</v>
      </c>
      <c r="B5606" t="str">
        <f>T("   AUTRES")</f>
        <v xml:space="preserve">   AUTRES</v>
      </c>
      <c r="C5606" s="4">
        <v>17</v>
      </c>
      <c r="D5606" s="4">
        <v>178927</v>
      </c>
    </row>
    <row r="5607" spans="1:4" x14ac:dyDescent="0.25">
      <c r="A5607" t="str">
        <f>T("   871620")</f>
        <v xml:space="preserve">   871620</v>
      </c>
      <c r="B5607" t="str">
        <f>T("   REMORQUES ET SEMIREMORQUES AUTOCHARGEUSES OU AUTODECHARGEUSES, POUR USAGES AGRICOLES")</f>
        <v xml:space="preserve">   REMORQUES ET SEMIREMORQUES AUTOCHARGEUSES OU AUTODECHARGEUSES, POUR USAGES AGRICOLES</v>
      </c>
      <c r="C5607" s="4">
        <v>231255</v>
      </c>
      <c r="D5607" s="4">
        <v>56370670</v>
      </c>
    </row>
    <row r="5608" spans="1:4" x14ac:dyDescent="0.25">
      <c r="A5608" t="str">
        <f>T("   871631")</f>
        <v xml:space="preserve">   871631</v>
      </c>
      <c r="B5608" t="str">
        <f>T("   CITERNES")</f>
        <v xml:space="preserve">   CITERNES</v>
      </c>
      <c r="C5608" s="4">
        <v>20050</v>
      </c>
      <c r="D5608" s="4">
        <v>4400000</v>
      </c>
    </row>
    <row r="5609" spans="1:4" x14ac:dyDescent="0.25">
      <c r="A5609" t="str">
        <f>T("   871639")</f>
        <v xml:space="preserve">   871639</v>
      </c>
      <c r="B5609" t="str">
        <f>T("   AUTRES")</f>
        <v xml:space="preserve">   AUTRES</v>
      </c>
      <c r="C5609" s="4">
        <v>1284166</v>
      </c>
      <c r="D5609" s="4">
        <v>384191050</v>
      </c>
    </row>
    <row r="5610" spans="1:4" x14ac:dyDescent="0.25">
      <c r="A5610" t="str">
        <f>T("   871640")</f>
        <v xml:space="preserve">   871640</v>
      </c>
      <c r="B5610" t="str">
        <f>T("   AUTRES REMORQUES ET SEMIREMORQUES")</f>
        <v xml:space="preserve">   AUTRES REMORQUES ET SEMIREMORQUES</v>
      </c>
      <c r="C5610" s="4">
        <v>1650350.5</v>
      </c>
      <c r="D5610" s="4">
        <v>520815922</v>
      </c>
    </row>
    <row r="5611" spans="1:4" x14ac:dyDescent="0.25">
      <c r="A5611" t="str">
        <f>T("   871680")</f>
        <v xml:space="preserve">   871680</v>
      </c>
      <c r="B5611" t="str">
        <f>T("   AUTRES VEHICULES")</f>
        <v xml:space="preserve">   AUTRES VEHICULES</v>
      </c>
      <c r="C5611" s="4">
        <v>610</v>
      </c>
      <c r="D5611" s="4">
        <v>1471259</v>
      </c>
    </row>
    <row r="5612" spans="1:4" x14ac:dyDescent="0.25">
      <c r="A5612" t="str">
        <f>T("   871690")</f>
        <v xml:space="preserve">   871690</v>
      </c>
      <c r="B5612" t="str">
        <f>T("   PARTIES")</f>
        <v xml:space="preserve">   PARTIES</v>
      </c>
      <c r="C5612" s="4">
        <v>34</v>
      </c>
      <c r="D5612" s="4">
        <v>760257</v>
      </c>
    </row>
    <row r="5613" spans="1:4" x14ac:dyDescent="0.25">
      <c r="A5613" t="str">
        <f>T("   880190")</f>
        <v xml:space="preserve">   880190</v>
      </c>
      <c r="B5613" t="str">
        <f>T("   BALLONS,DIRIGEABLES ET AUTRES NON CONCUS POUR LA PROPULSION A MOTEUR")</f>
        <v xml:space="preserve">   BALLONS,DIRIGEABLES ET AUTRES NON CONCUS POUR LA PROPULSION A MOTEUR</v>
      </c>
      <c r="C5613" s="4">
        <v>6</v>
      </c>
      <c r="D5613" s="4">
        <v>590364</v>
      </c>
    </row>
    <row r="5614" spans="1:4" x14ac:dyDescent="0.25">
      <c r="A5614" t="str">
        <f>T("   880330")</f>
        <v xml:space="preserve">   880330</v>
      </c>
      <c r="B5614" t="str">
        <f>T("   AUTRES PARTIES D'AVIONS OU D'HELICOPTERES")</f>
        <v xml:space="preserve">   AUTRES PARTIES D'AVIONS OU D'HELICOPTERES</v>
      </c>
      <c r="C5614" s="4">
        <v>13.99</v>
      </c>
      <c r="D5614" s="4">
        <v>9952599</v>
      </c>
    </row>
    <row r="5615" spans="1:4" x14ac:dyDescent="0.25">
      <c r="A5615" t="str">
        <f>T("   880510")</f>
        <v xml:space="preserve">   880510</v>
      </c>
      <c r="B5615" t="str">
        <f>T("   APPAREILS ET DISPOSITIFS POUR LE LANCEMENT DE VEHICULES AERIENS ET LEURS PARTIES; APP")</f>
        <v xml:space="preserve">   APPAREILS ET DISPOSITIFS POUR LE LANCEMENT DE VEHICULES AERIENS ET LEURS PARTIES; APP</v>
      </c>
      <c r="C5615" s="4">
        <v>16</v>
      </c>
      <c r="D5615" s="4">
        <v>289560</v>
      </c>
    </row>
    <row r="5616" spans="1:4" x14ac:dyDescent="0.25">
      <c r="A5616" t="str">
        <f>T("   890110")</f>
        <v xml:space="preserve">   890110</v>
      </c>
      <c r="B5616" t="str">
        <f>T("   PAQUEBOTS, BATEAUX DE CROISIERES ET BATEAUX SIMILAIRES PRINCIPALEMENT CONCUS POUR LE")</f>
        <v xml:space="preserve">   PAQUEBOTS, BATEAUX DE CROISIERES ET BATEAUX SIMILAIRES PRINCIPALEMENT CONCUS POUR LE</v>
      </c>
      <c r="C5616" s="4">
        <v>8000</v>
      </c>
      <c r="D5616" s="4">
        <v>162514090</v>
      </c>
    </row>
    <row r="5617" spans="1:4" x14ac:dyDescent="0.25">
      <c r="A5617" t="str">
        <f>T("   890190")</f>
        <v xml:space="preserve">   890190</v>
      </c>
      <c r="B5617" t="str">
        <f>T("   AUTRES BATEAUX POUR LE TRANSPORT DE MARCHANDISES ET AUTRES BATEAUX CONCUS A LA FOIS P")</f>
        <v xml:space="preserve">   AUTRES BATEAUX POUR LE TRANSPORT DE MARCHANDISES ET AUTRES BATEAUX CONCUS A LA FOIS P</v>
      </c>
      <c r="C5617" s="4">
        <v>8.6</v>
      </c>
      <c r="D5617" s="4">
        <v>14937</v>
      </c>
    </row>
    <row r="5618" spans="1:4" x14ac:dyDescent="0.25">
      <c r="A5618" t="str">
        <f>T("   890200")</f>
        <v xml:space="preserve">   890200</v>
      </c>
      <c r="B5618" t="str">
        <f>T("   BATEAUX DE PECHE; NAVIRESUSINES ET AUTRES BATEAUX POUR LE TRAITEMENT OU LA MISE EN CON")</f>
        <v xml:space="preserve">   BATEAUX DE PECHE; NAVIRESUSINES ET AUTRES BATEAUX POUR LE TRAITEMENT OU LA MISE EN CON</v>
      </c>
      <c r="C5618" s="4">
        <v>809</v>
      </c>
      <c r="D5618" s="4">
        <v>994036</v>
      </c>
    </row>
    <row r="5619" spans="1:4" x14ac:dyDescent="0.25">
      <c r="A5619" t="str">
        <f>T("   890310")</f>
        <v xml:space="preserve">   890310</v>
      </c>
      <c r="B5619" t="str">
        <f>T("   BATEAUX GONFLABLES")</f>
        <v xml:space="preserve">   BATEAUX GONFLABLES</v>
      </c>
      <c r="C5619" s="4">
        <v>144</v>
      </c>
      <c r="D5619" s="4">
        <v>1475910</v>
      </c>
    </row>
    <row r="5620" spans="1:4" x14ac:dyDescent="0.25">
      <c r="A5620" t="str">
        <f>T("   890399")</f>
        <v xml:space="preserve">   890399</v>
      </c>
      <c r="B5620" t="str">
        <f>T("   AUTRES")</f>
        <v xml:space="preserve">   AUTRES</v>
      </c>
      <c r="C5620" s="4">
        <v>8844</v>
      </c>
      <c r="D5620" s="4">
        <v>123583801</v>
      </c>
    </row>
    <row r="5621" spans="1:4" x14ac:dyDescent="0.25">
      <c r="A5621" t="str">
        <f>T("   890590")</f>
        <v xml:space="preserve">   890590</v>
      </c>
      <c r="B5621" t="str">
        <f>T("   AUTRES")</f>
        <v xml:space="preserve">   AUTRES</v>
      </c>
      <c r="C5621" s="4">
        <v>18000</v>
      </c>
      <c r="D5621" s="4">
        <v>9577016</v>
      </c>
    </row>
    <row r="5622" spans="1:4" x14ac:dyDescent="0.25">
      <c r="A5622" t="str">
        <f>T("   890710")</f>
        <v xml:space="preserve">   890710</v>
      </c>
      <c r="B5622" t="str">
        <f>T("   RADEAUX GONFLABLES")</f>
        <v xml:space="preserve">   RADEAUX GONFLABLES</v>
      </c>
      <c r="C5622" s="4">
        <v>40</v>
      </c>
      <c r="D5622" s="4">
        <v>3330117</v>
      </c>
    </row>
    <row r="5623" spans="1:4" x14ac:dyDescent="0.25">
      <c r="A5623" t="str">
        <f>T("   890790")</f>
        <v xml:space="preserve">   890790</v>
      </c>
      <c r="B5623" t="str">
        <f>T("   AUTRES")</f>
        <v xml:space="preserve">   AUTRES</v>
      </c>
      <c r="C5623" s="4">
        <v>56</v>
      </c>
      <c r="D5623" s="4">
        <v>994434</v>
      </c>
    </row>
    <row r="5624" spans="1:4" x14ac:dyDescent="0.25">
      <c r="A5624" t="str">
        <f>T("   890800")</f>
        <v xml:space="preserve">   890800</v>
      </c>
      <c r="B5624" t="str">
        <f>T("   BATEAUX ET AUTRES ENGINS FLOTTANTS A DEPECER.")</f>
        <v xml:space="preserve">   BATEAUX ET AUTRES ENGINS FLOTTANTS A DEPECER.</v>
      </c>
      <c r="C5624" s="4">
        <v>250</v>
      </c>
      <c r="D5624" s="4">
        <v>400000</v>
      </c>
    </row>
    <row r="5625" spans="1:4" x14ac:dyDescent="0.25">
      <c r="A5625" t="str">
        <f>T("   900110")</f>
        <v xml:space="preserve">   900110</v>
      </c>
      <c r="B5625" t="str">
        <f>T("   FIBRES OPTIQUES, FAISCEAUX ET CABLES DE FIBRES OPTIQUES")</f>
        <v xml:space="preserve">   FIBRES OPTIQUES, FAISCEAUX ET CABLES DE FIBRES OPTIQUES</v>
      </c>
      <c r="C5625" s="4">
        <v>55</v>
      </c>
      <c r="D5625" s="4">
        <v>1318092</v>
      </c>
    </row>
    <row r="5626" spans="1:4" x14ac:dyDescent="0.25">
      <c r="A5626" t="str">
        <f>T("   900140")</f>
        <v xml:space="preserve">   900140</v>
      </c>
      <c r="B5626" t="str">
        <f>T("   Verres de lunetterie en verre")</f>
        <v xml:space="preserve">   Verres de lunetterie en verre</v>
      </c>
      <c r="C5626" s="4">
        <v>0.5</v>
      </c>
      <c r="D5626" s="4">
        <v>470000</v>
      </c>
    </row>
    <row r="5627" spans="1:4" x14ac:dyDescent="0.25">
      <c r="A5627" t="str">
        <f>T("   900190")</f>
        <v xml:space="preserve">   900190</v>
      </c>
      <c r="B5627" t="str">
        <f>T("   AUTRES")</f>
        <v xml:space="preserve">   AUTRES</v>
      </c>
      <c r="C5627" s="4">
        <v>19</v>
      </c>
      <c r="D5627" s="4">
        <v>87638</v>
      </c>
    </row>
    <row r="5628" spans="1:4" x14ac:dyDescent="0.25">
      <c r="A5628" t="str">
        <f>T("   900211")</f>
        <v xml:space="preserve">   900211</v>
      </c>
      <c r="B5628" t="str">
        <f>T("   POUR APPAREILS DE PRISE DE VUES, POUR PROJECTEURS OU POUR APPAREILS PHOTOGRAPHIQUES")</f>
        <v xml:space="preserve">   POUR APPAREILS DE PRISE DE VUES, POUR PROJECTEURS OU POUR APPAREILS PHOTOGRAPHIQUES</v>
      </c>
      <c r="C5628" s="4">
        <v>1</v>
      </c>
      <c r="D5628" s="4">
        <v>40420</v>
      </c>
    </row>
    <row r="5629" spans="1:4" x14ac:dyDescent="0.25">
      <c r="A5629" t="str">
        <f>T("   900219")</f>
        <v xml:space="preserve">   900219</v>
      </c>
      <c r="B5629" t="str">
        <f>T("   AUTRES")</f>
        <v xml:space="preserve">   AUTRES</v>
      </c>
      <c r="C5629" s="4">
        <v>2</v>
      </c>
      <c r="D5629" s="4">
        <v>41948</v>
      </c>
    </row>
    <row r="5630" spans="1:4" x14ac:dyDescent="0.25">
      <c r="A5630" t="str">
        <f>T("   900290")</f>
        <v xml:space="preserve">   900290</v>
      </c>
      <c r="B5630" t="str">
        <f>T("   AUTRES")</f>
        <v xml:space="preserve">   AUTRES</v>
      </c>
      <c r="C5630" s="4">
        <v>26</v>
      </c>
      <c r="D5630" s="4">
        <v>3102947</v>
      </c>
    </row>
    <row r="5631" spans="1:4" x14ac:dyDescent="0.25">
      <c r="A5631" t="str">
        <f>T("   900319")</f>
        <v xml:space="preserve">   900319</v>
      </c>
      <c r="B5631" t="str">
        <f>T("   EN AUTRES MATIERES")</f>
        <v xml:space="preserve">   EN AUTRES MATIERES</v>
      </c>
      <c r="C5631" s="4">
        <v>10</v>
      </c>
      <c r="D5631" s="4">
        <v>20000</v>
      </c>
    </row>
    <row r="5632" spans="1:4" x14ac:dyDescent="0.25">
      <c r="A5632" t="str">
        <f>T("   900410")</f>
        <v xml:space="preserve">   900410</v>
      </c>
      <c r="B5632" t="str">
        <f>T("   Lunettes solaires")</f>
        <v xml:space="preserve">   Lunettes solaires</v>
      </c>
      <c r="C5632" s="4">
        <v>15</v>
      </c>
      <c r="D5632" s="4">
        <v>40000</v>
      </c>
    </row>
    <row r="5633" spans="1:4" x14ac:dyDescent="0.25">
      <c r="A5633" t="str">
        <f>T("   900490")</f>
        <v xml:space="preserve">   900490</v>
      </c>
      <c r="B5633" t="str">
        <f>T("   AUTRES")</f>
        <v xml:space="preserve">   AUTRES</v>
      </c>
      <c r="C5633" s="4">
        <v>462</v>
      </c>
      <c r="D5633" s="4">
        <v>3531627</v>
      </c>
    </row>
    <row r="5634" spans="1:4" x14ac:dyDescent="0.25">
      <c r="A5634" t="str">
        <f>T("   900651")</f>
        <v xml:space="preserve">   900651</v>
      </c>
      <c r="B5634" t="str">
        <f>T("   A VISEE A TRAVERS L'OBJECTIF, POUR PELLICULES EN ROULEAUX D'UNE LARGEUR N'EXCEDANT P")</f>
        <v xml:space="preserve">   A VISEE A TRAVERS L'OBJECTIF, POUR PELLICULES EN ROULEAUX D'UNE LARGEUR N'EXCEDANT P</v>
      </c>
      <c r="C5634" s="4">
        <v>165.5</v>
      </c>
      <c r="D5634" s="4">
        <v>366815</v>
      </c>
    </row>
    <row r="5635" spans="1:4" x14ac:dyDescent="0.25">
      <c r="A5635" t="str">
        <f>T("   900659")</f>
        <v xml:space="preserve">   900659</v>
      </c>
      <c r="B5635" t="str">
        <f>T("   AUTRES")</f>
        <v xml:space="preserve">   AUTRES</v>
      </c>
      <c r="C5635" s="4">
        <v>10000</v>
      </c>
      <c r="D5635" s="4">
        <v>3277000</v>
      </c>
    </row>
    <row r="5636" spans="1:4" x14ac:dyDescent="0.25">
      <c r="A5636" t="str">
        <f>T("   900661")</f>
        <v xml:space="preserve">   900661</v>
      </c>
      <c r="B5636" t="str">
        <f>T("   APPAREILS A TUBE A DECHARGE POUR LA PRODUCTION DE LA LUMIEREECLAIR (DITS «FLASHES E")</f>
        <v xml:space="preserve">   APPAREILS A TUBE A DECHARGE POUR LA PRODUCTION DE LA LUMIEREECLAIR (DITS «FLASHES E</v>
      </c>
      <c r="C5636" s="4">
        <v>150</v>
      </c>
      <c r="D5636" s="4">
        <v>377177</v>
      </c>
    </row>
    <row r="5637" spans="1:4" x14ac:dyDescent="0.25">
      <c r="A5637" t="str">
        <f>T("   900719")</f>
        <v xml:space="preserve">   900719</v>
      </c>
      <c r="B5637" t="str">
        <f>T("   AUTRES CAMERAS MEME AVEC PRISE ET REPRODUCTION DU SON")</f>
        <v xml:space="preserve">   AUTRES CAMERAS MEME AVEC PRISE ET REPRODUCTION DU SON</v>
      </c>
      <c r="C5637" s="4">
        <v>477</v>
      </c>
      <c r="D5637" s="4">
        <v>7531153</v>
      </c>
    </row>
    <row r="5638" spans="1:4" x14ac:dyDescent="0.25">
      <c r="A5638" t="str">
        <f>T("   900720")</f>
        <v xml:space="preserve">   900720</v>
      </c>
      <c r="B5638" t="str">
        <f>T("   PROJECTEURS")</f>
        <v xml:space="preserve">   PROJECTEURS</v>
      </c>
      <c r="C5638" s="4">
        <v>153</v>
      </c>
      <c r="D5638" s="4">
        <v>1706152</v>
      </c>
    </row>
    <row r="5639" spans="1:4" x14ac:dyDescent="0.25">
      <c r="A5639" t="str">
        <f>T("   900791")</f>
        <v xml:space="preserve">   900791</v>
      </c>
      <c r="B5639" t="str">
        <f>T("   DE CAMERAS")</f>
        <v xml:space="preserve">   DE CAMERAS</v>
      </c>
      <c r="C5639" s="4">
        <v>16</v>
      </c>
      <c r="D5639" s="4">
        <v>2951387</v>
      </c>
    </row>
    <row r="5640" spans="1:4" x14ac:dyDescent="0.25">
      <c r="A5640" t="str">
        <f>T("   900820")</f>
        <v xml:space="preserve">   900820</v>
      </c>
      <c r="B5640" t="str">
        <f>T("   LECTEURS DE MICROFILMS,MICROFICHES OU AUTRES MICROFORMATS,MEME AVEC TIRAGE")</f>
        <v xml:space="preserve">   LECTEURS DE MICROFILMS,MICROFICHES OU AUTRES MICROFORMATS,MEME AVEC TIRAGE</v>
      </c>
      <c r="C5640" s="4">
        <v>455</v>
      </c>
      <c r="D5640" s="4">
        <v>3889843</v>
      </c>
    </row>
    <row r="5641" spans="1:4" x14ac:dyDescent="0.25">
      <c r="A5641" t="str">
        <f>T("   901010")</f>
        <v xml:space="preserve">   901010</v>
      </c>
      <c r="B5641" t="str">
        <f>T("   APPAREILS ET MATERIEL POUR LE DEVELOPPEMENT AUTOMATIQUE DES PELLICULES PHOTOGRAPHIQUE")</f>
        <v xml:space="preserve">   APPAREILS ET MATERIEL POUR LE DEVELOPPEMENT AUTOMATIQUE DES PELLICULES PHOTOGRAPHIQUE</v>
      </c>
      <c r="C5641" s="4">
        <v>1378</v>
      </c>
      <c r="D5641" s="4">
        <v>8711385</v>
      </c>
    </row>
    <row r="5642" spans="1:4" x14ac:dyDescent="0.25">
      <c r="A5642" t="str">
        <f>T("   901042")</f>
        <v xml:space="preserve">   901042</v>
      </c>
      <c r="B5642" t="str">
        <f>T("   PHOTOREPETEURS")</f>
        <v xml:space="preserve">   PHOTOREPETEURS</v>
      </c>
      <c r="C5642" s="4">
        <v>5525</v>
      </c>
      <c r="D5642" s="4">
        <v>4627063</v>
      </c>
    </row>
    <row r="5643" spans="1:4" x14ac:dyDescent="0.25">
      <c r="A5643" t="str">
        <f>T("   901050")</f>
        <v xml:space="preserve">   901050</v>
      </c>
      <c r="B5643" t="str">
        <f>T("   AUTRES APPAREILS ET MATERIEL POUR LABORATOIRES PHOTOGRAPHIQUES OU CINEMATOGRAPHIQUES;")</f>
        <v xml:space="preserve">   AUTRES APPAREILS ET MATERIEL POUR LABORATOIRES PHOTOGRAPHIQUES OU CINEMATOGRAPHIQUES;</v>
      </c>
      <c r="C5643" s="4">
        <v>184</v>
      </c>
      <c r="D5643" s="4">
        <v>9945665</v>
      </c>
    </row>
    <row r="5644" spans="1:4" x14ac:dyDescent="0.25">
      <c r="A5644" t="str">
        <f>T("   901060")</f>
        <v xml:space="preserve">   901060</v>
      </c>
      <c r="B5644" t="str">
        <f>T("   ECRANS POUR PROJECTIONS")</f>
        <v xml:space="preserve">   ECRANS POUR PROJECTIONS</v>
      </c>
      <c r="C5644" s="4">
        <v>22</v>
      </c>
      <c r="D5644" s="4">
        <v>194243</v>
      </c>
    </row>
    <row r="5645" spans="1:4" x14ac:dyDescent="0.25">
      <c r="A5645" t="str">
        <f>T("   901090")</f>
        <v xml:space="preserve">   901090</v>
      </c>
      <c r="B5645" t="str">
        <f>T("   PARTIES ET ACCESSOIRES")</f>
        <v xml:space="preserve">   PARTIES ET ACCESSOIRES</v>
      </c>
      <c r="C5645" s="4">
        <v>1672</v>
      </c>
      <c r="D5645" s="4">
        <v>2073882</v>
      </c>
    </row>
    <row r="5646" spans="1:4" x14ac:dyDescent="0.25">
      <c r="A5646" t="str">
        <f>T("   901180")</f>
        <v xml:space="preserve">   901180</v>
      </c>
      <c r="B5646" t="str">
        <f>T("   Autres microscopes")</f>
        <v xml:space="preserve">   Autres microscopes</v>
      </c>
      <c r="C5646" s="4">
        <v>2716</v>
      </c>
      <c r="D5646" s="4">
        <v>7311255</v>
      </c>
    </row>
    <row r="5647" spans="1:4" x14ac:dyDescent="0.25">
      <c r="A5647" t="str">
        <f>T("   901190")</f>
        <v xml:space="preserve">   901190</v>
      </c>
      <c r="B5647" t="str">
        <f>T("   PARTIES ET ACCESSOIRES")</f>
        <v xml:space="preserve">   PARTIES ET ACCESSOIRES</v>
      </c>
      <c r="C5647" s="4">
        <v>25</v>
      </c>
      <c r="D5647" s="4">
        <v>718814</v>
      </c>
    </row>
    <row r="5648" spans="1:4" x14ac:dyDescent="0.25">
      <c r="A5648" t="str">
        <f>T("   901290")</f>
        <v xml:space="preserve">   901290</v>
      </c>
      <c r="B5648" t="str">
        <f>T("   PARTIES ET ACCESSOIRES")</f>
        <v xml:space="preserve">   PARTIES ET ACCESSOIRES</v>
      </c>
      <c r="C5648" s="4">
        <v>377</v>
      </c>
      <c r="D5648" s="4">
        <v>2040088</v>
      </c>
    </row>
    <row r="5649" spans="1:4" x14ac:dyDescent="0.25">
      <c r="A5649" t="str">
        <f>T("   901480")</f>
        <v xml:space="preserve">   901480</v>
      </c>
      <c r="B5649" t="str">
        <f>T("   AUTRES INSTRUMENTS ET APPAREILS")</f>
        <v xml:space="preserve">   AUTRES INSTRUMENTS ET APPAREILS</v>
      </c>
      <c r="C5649" s="4">
        <v>760</v>
      </c>
      <c r="D5649" s="4">
        <v>644809</v>
      </c>
    </row>
    <row r="5650" spans="1:4" x14ac:dyDescent="0.25">
      <c r="A5650" t="str">
        <f>T("   901510")</f>
        <v xml:space="preserve">   901510</v>
      </c>
      <c r="B5650" t="str">
        <f>T("   TELEMETRES")</f>
        <v xml:space="preserve">   TELEMETRES</v>
      </c>
      <c r="C5650" s="4">
        <v>47</v>
      </c>
      <c r="D5650" s="4">
        <v>382170</v>
      </c>
    </row>
    <row r="5651" spans="1:4" x14ac:dyDescent="0.25">
      <c r="A5651" t="str">
        <f>T("   901580")</f>
        <v xml:space="preserve">   901580</v>
      </c>
      <c r="B5651" t="str">
        <f>T("   AUTRES INSTRUMENTS ET APPAREILS")</f>
        <v xml:space="preserve">   AUTRES INSTRUMENTS ET APPAREILS</v>
      </c>
      <c r="C5651" s="4">
        <v>5612</v>
      </c>
      <c r="D5651" s="4">
        <v>307194354</v>
      </c>
    </row>
    <row r="5652" spans="1:4" x14ac:dyDescent="0.25">
      <c r="A5652" t="str">
        <f>T("   901590")</f>
        <v xml:space="preserve">   901590</v>
      </c>
      <c r="B5652" t="str">
        <f>T("   PARTIES ET ACCESSOIRES")</f>
        <v xml:space="preserve">   PARTIES ET ACCESSOIRES</v>
      </c>
      <c r="C5652" s="4">
        <v>17</v>
      </c>
      <c r="D5652" s="4">
        <v>511567</v>
      </c>
    </row>
    <row r="5653" spans="1:4" x14ac:dyDescent="0.25">
      <c r="A5653" t="str">
        <f>T("   901600")</f>
        <v xml:space="preserve">   901600</v>
      </c>
      <c r="B5653" t="str">
        <f>T("   BALANCES SENSIBLES A UN POIDS DE 5 CG OU MOINS, AVEC OU SANS POIDS.")</f>
        <v xml:space="preserve">   BALANCES SENSIBLES A UN POIDS DE 5 CG OU MOINS, AVEC OU SANS POIDS.</v>
      </c>
      <c r="C5653" s="4">
        <v>30</v>
      </c>
      <c r="D5653" s="4">
        <v>4173197</v>
      </c>
    </row>
    <row r="5654" spans="1:4" x14ac:dyDescent="0.25">
      <c r="A5654" t="str">
        <f>T("   901720")</f>
        <v xml:space="preserve">   901720</v>
      </c>
      <c r="B5654" t="str">
        <f>T("   AUTRES INSTRUMENTS DE DESSIN, DE TRACAGE OU DE CALCUL")</f>
        <v xml:space="preserve">   AUTRES INSTRUMENTS DE DESSIN, DE TRACAGE OU DE CALCUL</v>
      </c>
      <c r="C5654" s="4">
        <v>220</v>
      </c>
      <c r="D5654" s="4">
        <v>5002397</v>
      </c>
    </row>
    <row r="5655" spans="1:4" x14ac:dyDescent="0.25">
      <c r="A5655" t="str">
        <f>T("   901730")</f>
        <v xml:space="preserve">   901730</v>
      </c>
      <c r="B5655" t="str">
        <f>T("   MICROMETRES, PIEDS A COULISSE, CALIBRES ET JAUGES")</f>
        <v xml:space="preserve">   MICROMETRES, PIEDS A COULISSE, CALIBRES ET JAUGES</v>
      </c>
      <c r="C5655" s="4">
        <v>76</v>
      </c>
      <c r="D5655" s="4">
        <v>2815932</v>
      </c>
    </row>
    <row r="5656" spans="1:4" x14ac:dyDescent="0.25">
      <c r="A5656" t="str">
        <f>T("   901780")</f>
        <v xml:space="preserve">   901780</v>
      </c>
      <c r="B5656" t="str">
        <f>T("   AUTRES INSTRUMENTS")</f>
        <v xml:space="preserve">   AUTRES INSTRUMENTS</v>
      </c>
      <c r="C5656" s="4">
        <v>2802</v>
      </c>
      <c r="D5656" s="4">
        <v>7171434</v>
      </c>
    </row>
    <row r="5657" spans="1:4" x14ac:dyDescent="0.25">
      <c r="A5657" t="str">
        <f>T("   901811")</f>
        <v xml:space="preserve">   901811</v>
      </c>
      <c r="B5657" t="str">
        <f>T("   ELECTROCARDIOGRAPHES")</f>
        <v xml:space="preserve">   ELECTROCARDIOGRAPHES</v>
      </c>
      <c r="C5657" s="4">
        <v>15.4</v>
      </c>
      <c r="D5657" s="4">
        <v>1468478</v>
      </c>
    </row>
    <row r="5658" spans="1:4" x14ac:dyDescent="0.25">
      <c r="A5658" t="str">
        <f>T("   901812")</f>
        <v xml:space="preserve">   901812</v>
      </c>
      <c r="B5658" t="str">
        <f>T("   APPAREILS DE DIAGNOSTIC PAR BALAYAGE ULTRASONIQUE (SCANNERS)")</f>
        <v xml:space="preserve">   APPAREILS DE DIAGNOSTIC PAR BALAYAGE ULTRASONIQUE (SCANNERS)</v>
      </c>
      <c r="C5658" s="4">
        <v>583</v>
      </c>
      <c r="D5658" s="4">
        <v>24843911</v>
      </c>
    </row>
    <row r="5659" spans="1:4" x14ac:dyDescent="0.25">
      <c r="A5659" t="str">
        <f>T("   901819")</f>
        <v xml:space="preserve">   901819</v>
      </c>
      <c r="B5659" t="str">
        <f>T("   AUTRES")</f>
        <v xml:space="preserve">   AUTRES</v>
      </c>
      <c r="C5659" s="4">
        <v>3249.7</v>
      </c>
      <c r="D5659" s="4">
        <v>49580254</v>
      </c>
    </row>
    <row r="5660" spans="1:4" x14ac:dyDescent="0.25">
      <c r="A5660" t="str">
        <f>T("   901820")</f>
        <v xml:space="preserve">   901820</v>
      </c>
      <c r="B5660" t="str">
        <f>T("   APPAREILS A RAYONS ULTRAVIOLETS OU INFRAROUGES")</f>
        <v xml:space="preserve">   APPAREILS A RAYONS ULTRAVIOLETS OU INFRAROUGES</v>
      </c>
      <c r="C5660" s="4">
        <v>11.3</v>
      </c>
      <c r="D5660" s="4">
        <v>30000</v>
      </c>
    </row>
    <row r="5661" spans="1:4" x14ac:dyDescent="0.25">
      <c r="A5661" t="str">
        <f>T("   901831")</f>
        <v xml:space="preserve">   901831</v>
      </c>
      <c r="B5661" t="str">
        <f>T("   SERINGUES, AVEC OU SANS AIGUILLES")</f>
        <v xml:space="preserve">   SERINGUES, AVEC OU SANS AIGUILLES</v>
      </c>
      <c r="C5661" s="4">
        <v>1082</v>
      </c>
      <c r="D5661" s="4">
        <v>12645916</v>
      </c>
    </row>
    <row r="5662" spans="1:4" x14ac:dyDescent="0.25">
      <c r="A5662" t="str">
        <f>T("   901832")</f>
        <v xml:space="preserve">   901832</v>
      </c>
      <c r="B5662" t="str">
        <f>T("   AIGUILLES TUBULAIRES EN METAL ET AIGUILLES A SUTURES")</f>
        <v xml:space="preserve">   AIGUILLES TUBULAIRES EN METAL ET AIGUILLES A SUTURES</v>
      </c>
      <c r="C5662" s="4">
        <v>186</v>
      </c>
      <c r="D5662" s="4">
        <v>2062337</v>
      </c>
    </row>
    <row r="5663" spans="1:4" x14ac:dyDescent="0.25">
      <c r="A5663" t="str">
        <f>T("   901839")</f>
        <v xml:space="preserve">   901839</v>
      </c>
      <c r="B5663" t="str">
        <f>T("   AUTRES")</f>
        <v xml:space="preserve">   AUTRES</v>
      </c>
      <c r="C5663" s="4">
        <v>11326</v>
      </c>
      <c r="D5663" s="4">
        <v>18051549</v>
      </c>
    </row>
    <row r="5664" spans="1:4" x14ac:dyDescent="0.25">
      <c r="A5664" t="str">
        <f>T("   901850")</f>
        <v xml:space="preserve">   901850</v>
      </c>
      <c r="B5664" t="str">
        <f>T("   Autres instruments et appareils d'ophtalmologie")</f>
        <v xml:space="preserve">   Autres instruments et appareils d'ophtalmologie</v>
      </c>
      <c r="C5664" s="4">
        <v>5.5</v>
      </c>
      <c r="D5664" s="4">
        <v>537200</v>
      </c>
    </row>
    <row r="5665" spans="1:4" x14ac:dyDescent="0.25">
      <c r="A5665" t="str">
        <f>T("   901890")</f>
        <v xml:space="preserve">   901890</v>
      </c>
      <c r="B5665" t="str">
        <f>T("   AUTRES INSTRUMENTS ET APPAREILS")</f>
        <v xml:space="preserve">   AUTRES INSTRUMENTS ET APPAREILS</v>
      </c>
      <c r="C5665" s="4">
        <v>81110.429999999993</v>
      </c>
      <c r="D5665" s="4">
        <v>231734366</v>
      </c>
    </row>
    <row r="5666" spans="1:4" x14ac:dyDescent="0.25">
      <c r="A5666" t="str">
        <f>T("   901910")</f>
        <v xml:space="preserve">   901910</v>
      </c>
      <c r="B5666" t="str">
        <f>T("   APPAREILS DE MECANOTHERAPIE; APPAREILS DE MASSAGE; APPAREILS DE PSYCHOTECHNIE")</f>
        <v xml:space="preserve">   APPAREILS DE MECANOTHERAPIE; APPAREILS DE MASSAGE; APPAREILS DE PSYCHOTECHNIE</v>
      </c>
      <c r="C5666" s="4">
        <v>21</v>
      </c>
      <c r="D5666" s="4">
        <v>268996</v>
      </c>
    </row>
    <row r="5667" spans="1:4" x14ac:dyDescent="0.25">
      <c r="A5667" t="str">
        <f>T("   901920")</f>
        <v xml:space="preserve">   901920</v>
      </c>
      <c r="B5667" t="str">
        <f>T("   APPAREILS D'OZONOTHERAPIE, D'OXYGENOTHERAPIE, D'AEROSOLTHERAPIE, APPAREILS RESPIRATOI")</f>
        <v xml:space="preserve">   APPAREILS D'OZONOTHERAPIE, D'OXYGENOTHERAPIE, D'AEROSOLTHERAPIE, APPAREILS RESPIRATOI</v>
      </c>
      <c r="C5667" s="4">
        <v>18673.5</v>
      </c>
      <c r="D5667" s="4">
        <v>702643278</v>
      </c>
    </row>
    <row r="5668" spans="1:4" x14ac:dyDescent="0.25">
      <c r="A5668" t="str">
        <f>T("   902000")</f>
        <v xml:space="preserve">   902000</v>
      </c>
      <c r="B5668" t="str">
        <f>T("   AUTRES APPAREILS RESPIRATOIRES ET MASQUES A GAZ, A L'EXCLUSION DES MASQUES DE PROTECTIO")</f>
        <v xml:space="preserve">   AUTRES APPAREILS RESPIRATOIRES ET MASQUES A GAZ, A L'EXCLUSION DES MASQUES DE PROTECTIO</v>
      </c>
      <c r="C5668" s="4">
        <v>270</v>
      </c>
      <c r="D5668" s="4">
        <v>1717303</v>
      </c>
    </row>
    <row r="5669" spans="1:4" x14ac:dyDescent="0.25">
      <c r="A5669" t="str">
        <f>T("   902110")</f>
        <v xml:space="preserve">   902110</v>
      </c>
      <c r="B5669" t="str">
        <f>T("   ARTICLES ET APPAREILS D’ORTHOPEDIE OU POUR FRACTURES")</f>
        <v xml:space="preserve">   ARTICLES ET APPAREILS D’ORTHOPEDIE OU POUR FRACTURES</v>
      </c>
      <c r="C5669" s="4">
        <v>985.9</v>
      </c>
      <c r="D5669" s="4">
        <v>14398467</v>
      </c>
    </row>
    <row r="5670" spans="1:4" x14ac:dyDescent="0.25">
      <c r="A5670" t="str">
        <f>T("   902129")</f>
        <v xml:space="preserve">   902129</v>
      </c>
      <c r="B5670" t="str">
        <f>T("   AUTRES")</f>
        <v xml:space="preserve">   AUTRES</v>
      </c>
      <c r="C5670" s="4">
        <v>1243</v>
      </c>
      <c r="D5670" s="4">
        <v>10236137</v>
      </c>
    </row>
    <row r="5671" spans="1:4" x14ac:dyDescent="0.25">
      <c r="A5671" t="str">
        <f>T("   902139")</f>
        <v xml:space="preserve">   902139</v>
      </c>
      <c r="B5671" t="str">
        <f>T("   AUTRES")</f>
        <v xml:space="preserve">   AUTRES</v>
      </c>
      <c r="C5671" s="4">
        <v>165.5</v>
      </c>
      <c r="D5671" s="4">
        <v>5527086</v>
      </c>
    </row>
    <row r="5672" spans="1:4" x14ac:dyDescent="0.25">
      <c r="A5672" t="str">
        <f>T("   902140")</f>
        <v xml:space="preserve">   902140</v>
      </c>
      <c r="B5672" t="str">
        <f>T("   APPAREILS POUR FACILITER L'AUDITION AUX SOURDS, A L'EXCLUSION DES PARTIES ET ACCESSOI")</f>
        <v xml:space="preserve">   APPAREILS POUR FACILITER L'AUDITION AUX SOURDS, A L'EXCLUSION DES PARTIES ET ACCESSOI</v>
      </c>
      <c r="C5672" s="4">
        <v>2.5</v>
      </c>
      <c r="D5672" s="4">
        <v>1426057</v>
      </c>
    </row>
    <row r="5673" spans="1:4" x14ac:dyDescent="0.25">
      <c r="A5673" t="str">
        <f>T("   902190")</f>
        <v xml:space="preserve">   902190</v>
      </c>
      <c r="B5673" t="str">
        <f>T("   AUTRES")</f>
        <v xml:space="preserve">   AUTRES</v>
      </c>
      <c r="C5673" s="4">
        <v>1590.4</v>
      </c>
      <c r="D5673" s="4">
        <v>10173131</v>
      </c>
    </row>
    <row r="5674" spans="1:4" x14ac:dyDescent="0.25">
      <c r="A5674" t="str">
        <f>T("   902212")</f>
        <v xml:space="preserve">   902212</v>
      </c>
      <c r="B5674" t="str">
        <f>T("   APPAREILS DE TOMOGRAPHIE PILOTES PAR UNE MACHINE AUTOMATIQUE DE TRAITEMENT DE L'INFO")</f>
        <v xml:space="preserve">   APPAREILS DE TOMOGRAPHIE PILOTES PAR UNE MACHINE AUTOMATIQUE DE TRAITEMENT DE L'INFO</v>
      </c>
      <c r="C5674" s="4">
        <v>25</v>
      </c>
      <c r="D5674" s="4">
        <v>568061</v>
      </c>
    </row>
    <row r="5675" spans="1:4" x14ac:dyDescent="0.25">
      <c r="A5675" t="str">
        <f>T("   902214")</f>
        <v xml:space="preserve">   902214</v>
      </c>
      <c r="B5675" t="str">
        <f>T("   AUTRES, POUR USAGES MEDICAUX, CHIRURGICAUX OU VETERINAIRES")</f>
        <v xml:space="preserve">   AUTRES, POUR USAGES MEDICAUX, CHIRURGICAUX OU VETERINAIRES</v>
      </c>
      <c r="C5675" s="4">
        <v>13049</v>
      </c>
      <c r="D5675" s="4">
        <v>3859574</v>
      </c>
    </row>
    <row r="5676" spans="1:4" x14ac:dyDescent="0.25">
      <c r="A5676" t="str">
        <f>T("   902219")</f>
        <v xml:space="preserve">   902219</v>
      </c>
      <c r="B5676" t="str">
        <f>T("   POUR AUTRES USAGES")</f>
        <v xml:space="preserve">   POUR AUTRES USAGES</v>
      </c>
      <c r="C5676" s="4">
        <v>2300</v>
      </c>
      <c r="D5676" s="4">
        <v>38622269</v>
      </c>
    </row>
    <row r="5677" spans="1:4" x14ac:dyDescent="0.25">
      <c r="A5677" t="str">
        <f>T("   902221")</f>
        <v xml:space="preserve">   902221</v>
      </c>
      <c r="B5677" t="str">
        <f>T("   A USAGE MEDICAL, CHIRURGICAL, DENTAIRE OU VETERINAIRE")</f>
        <v xml:space="preserve">   A USAGE MEDICAL, CHIRURGICAL, DENTAIRE OU VETERINAIRE</v>
      </c>
      <c r="C5677" s="4">
        <v>207</v>
      </c>
      <c r="D5677" s="4">
        <v>2248225</v>
      </c>
    </row>
    <row r="5678" spans="1:4" x14ac:dyDescent="0.25">
      <c r="A5678" t="str">
        <f>T("   902290")</f>
        <v xml:space="preserve">   902290</v>
      </c>
      <c r="B5678" t="str">
        <f>T("   AUTRES, Y COMPRIS LES PARTIES ET ACCESSOIRES")</f>
        <v xml:space="preserve">   AUTRES, Y COMPRIS LES PARTIES ET ACCESSOIRES</v>
      </c>
      <c r="C5678" s="4">
        <v>161.19999999999999</v>
      </c>
      <c r="D5678" s="4">
        <v>9988183</v>
      </c>
    </row>
    <row r="5679" spans="1:4" x14ac:dyDescent="0.25">
      <c r="A5679" t="str">
        <f>T("   902300")</f>
        <v xml:space="preserve">   902300</v>
      </c>
      <c r="B5679" t="str">
        <f>T("   INSTRUMENTS, APPAREILS ET MODELES CONCUS POUR LA DEMONSTRATION (DANS L'ENSEIGNEMENT OU")</f>
        <v xml:space="preserve">   INSTRUMENTS, APPAREILS ET MODELES CONCUS POUR LA DEMONSTRATION (DANS L'ENSEIGNEMENT OU</v>
      </c>
      <c r="C5679" s="4">
        <v>1575</v>
      </c>
      <c r="D5679" s="4">
        <v>21277518</v>
      </c>
    </row>
    <row r="5680" spans="1:4" x14ac:dyDescent="0.25">
      <c r="A5680" t="str">
        <f>T("   902480")</f>
        <v xml:space="preserve">   902480</v>
      </c>
      <c r="B5680" t="str">
        <f>T("   AUTRES MACHINES ET APPAREILS")</f>
        <v xml:space="preserve">   AUTRES MACHINES ET APPAREILS</v>
      </c>
      <c r="C5680" s="4">
        <v>1392</v>
      </c>
      <c r="D5680" s="4">
        <v>46434382</v>
      </c>
    </row>
    <row r="5681" spans="1:4" x14ac:dyDescent="0.25">
      <c r="A5681" t="str">
        <f>T("   902490")</f>
        <v xml:space="preserve">   902490</v>
      </c>
      <c r="B5681" t="str">
        <f>T("   PARTIES ET ACCESSOIRES")</f>
        <v xml:space="preserve">   PARTIES ET ACCESSOIRES</v>
      </c>
      <c r="C5681" s="4">
        <v>25.4</v>
      </c>
      <c r="D5681" s="4">
        <v>9928515</v>
      </c>
    </row>
    <row r="5682" spans="1:4" x14ac:dyDescent="0.25">
      <c r="A5682" t="str">
        <f>T("   902511")</f>
        <v xml:space="preserve">   902511</v>
      </c>
      <c r="B5682" t="str">
        <f>T("   A LIQUIDE, A LECTURE DIRECTE")</f>
        <v xml:space="preserve">   A LIQUIDE, A LECTURE DIRECTE</v>
      </c>
      <c r="C5682" s="4">
        <v>277</v>
      </c>
      <c r="D5682" s="4">
        <v>3990472</v>
      </c>
    </row>
    <row r="5683" spans="1:4" x14ac:dyDescent="0.25">
      <c r="A5683" t="str">
        <f>T("   902519")</f>
        <v xml:space="preserve">   902519</v>
      </c>
      <c r="B5683" t="str">
        <f>T("   AUTRES")</f>
        <v xml:space="preserve">   AUTRES</v>
      </c>
      <c r="C5683" s="4">
        <v>413.98</v>
      </c>
      <c r="D5683" s="4">
        <v>9830966</v>
      </c>
    </row>
    <row r="5684" spans="1:4" x14ac:dyDescent="0.25">
      <c r="A5684" t="str">
        <f>T("   902580")</f>
        <v xml:space="preserve">   902580</v>
      </c>
      <c r="B5684" t="str">
        <f>T("   AUTRES INSTRUMENTS")</f>
        <v xml:space="preserve">   AUTRES INSTRUMENTS</v>
      </c>
      <c r="C5684" s="4">
        <v>195</v>
      </c>
      <c r="D5684" s="4">
        <v>19162493</v>
      </c>
    </row>
    <row r="5685" spans="1:4" x14ac:dyDescent="0.25">
      <c r="A5685" t="str">
        <f>T("   902590")</f>
        <v xml:space="preserve">   902590</v>
      </c>
      <c r="B5685" t="str">
        <f>T("   PARTIES ET ACCESSOIRES")</f>
        <v xml:space="preserve">   PARTIES ET ACCESSOIRES</v>
      </c>
      <c r="C5685" s="4">
        <v>18</v>
      </c>
      <c r="D5685" s="4">
        <v>3413841</v>
      </c>
    </row>
    <row r="5686" spans="1:4" x14ac:dyDescent="0.25">
      <c r="A5686" t="str">
        <f>T("   902610")</f>
        <v xml:space="preserve">   902610</v>
      </c>
      <c r="B5686" t="str">
        <f>T("   POUR LA MESURE OU LE CONTROLE DU DEBIT OU DU NIVEAU DES LIQUIDES")</f>
        <v xml:space="preserve">   POUR LA MESURE OU LE CONTROLE DU DEBIT OU DU NIVEAU DES LIQUIDES</v>
      </c>
      <c r="C5686" s="4">
        <v>591.78</v>
      </c>
      <c r="D5686" s="4">
        <v>23734874</v>
      </c>
    </row>
    <row r="5687" spans="1:4" x14ac:dyDescent="0.25">
      <c r="A5687" t="str">
        <f>T("   902620")</f>
        <v xml:space="preserve">   902620</v>
      </c>
      <c r="B5687" t="str">
        <f>T("   POUR LA MESURE OU LE CONTROLE DE LA PRESSION")</f>
        <v xml:space="preserve">   POUR LA MESURE OU LE CONTROLE DE LA PRESSION</v>
      </c>
      <c r="C5687" s="4">
        <v>259</v>
      </c>
      <c r="D5687" s="4">
        <v>19418728</v>
      </c>
    </row>
    <row r="5688" spans="1:4" x14ac:dyDescent="0.25">
      <c r="A5688" t="str">
        <f>T("   902680")</f>
        <v xml:space="preserve">   902680</v>
      </c>
      <c r="B5688" t="str">
        <f>T("   AUTRES INSTRUMENTS ET APPAREILS")</f>
        <v xml:space="preserve">   AUTRES INSTRUMENTS ET APPAREILS</v>
      </c>
      <c r="C5688" s="4">
        <v>1854.8</v>
      </c>
      <c r="D5688" s="4">
        <v>18123905</v>
      </c>
    </row>
    <row r="5689" spans="1:4" x14ac:dyDescent="0.25">
      <c r="A5689" t="str">
        <f>T("   902690")</f>
        <v xml:space="preserve">   902690</v>
      </c>
      <c r="B5689" t="str">
        <f>T("   PARTIES ET ACCESSOIRES")</f>
        <v xml:space="preserve">   PARTIES ET ACCESSOIRES</v>
      </c>
      <c r="C5689" s="4">
        <v>428</v>
      </c>
      <c r="D5689" s="4">
        <v>13049430</v>
      </c>
    </row>
    <row r="5690" spans="1:4" x14ac:dyDescent="0.25">
      <c r="A5690" t="str">
        <f>T("   902710")</f>
        <v xml:space="preserve">   902710</v>
      </c>
      <c r="B5690" t="str">
        <f>T("   ANALYSEURS DE GAZ OU DE FUMEES")</f>
        <v xml:space="preserve">   ANALYSEURS DE GAZ OU DE FUMEES</v>
      </c>
      <c r="C5690" s="4">
        <v>313</v>
      </c>
      <c r="D5690" s="4">
        <v>23728242</v>
      </c>
    </row>
    <row r="5691" spans="1:4" x14ac:dyDescent="0.25">
      <c r="A5691" t="str">
        <f>T("   902730")</f>
        <v xml:space="preserve">   902730</v>
      </c>
      <c r="B5691" t="str">
        <f>T("   SPECTROMETRES, SPECTROPHOTOMETRES ET SPECTROGRAPHES UTILISANT LES RAYONNEMENTS OPTIQU")</f>
        <v xml:space="preserve">   SPECTROMETRES, SPECTROPHOTOMETRES ET SPECTROGRAPHES UTILISANT LES RAYONNEMENTS OPTIQU</v>
      </c>
      <c r="C5691" s="4">
        <v>290.89999999999998</v>
      </c>
      <c r="D5691" s="4">
        <v>12981594</v>
      </c>
    </row>
    <row r="5692" spans="1:4" x14ac:dyDescent="0.25">
      <c r="A5692" t="str">
        <f>T("   902750")</f>
        <v xml:space="preserve">   902750</v>
      </c>
      <c r="B5692" t="str">
        <f>T("   AUTRES INSTRUMENTS ET APPAREILS UTILISANT LES RAYONNEMENTS OPTIQUES (UV, VISIBLES, IR")</f>
        <v xml:space="preserve">   AUTRES INSTRUMENTS ET APPAREILS UTILISANT LES RAYONNEMENTS OPTIQUES (UV, VISIBLES, IR</v>
      </c>
      <c r="C5692" s="4">
        <v>469.3</v>
      </c>
      <c r="D5692" s="4">
        <v>56782656</v>
      </c>
    </row>
    <row r="5693" spans="1:4" x14ac:dyDescent="0.25">
      <c r="A5693" t="str">
        <f>T("   902780")</f>
        <v xml:space="preserve">   902780</v>
      </c>
      <c r="B5693" t="str">
        <f>T("   AUTRES INSTRUMENTS ET APPAREILS")</f>
        <v xml:space="preserve">   AUTRES INSTRUMENTS ET APPAREILS</v>
      </c>
      <c r="C5693" s="4">
        <v>4171.6000000000004</v>
      </c>
      <c r="D5693" s="4">
        <v>19585440</v>
      </c>
    </row>
    <row r="5694" spans="1:4" x14ac:dyDescent="0.25">
      <c r="A5694" t="str">
        <f>T("   902790")</f>
        <v xml:space="preserve">   902790</v>
      </c>
      <c r="B5694" t="str">
        <f>T("   MICROTOMES; PARTIES ET ACCESSOIRES")</f>
        <v xml:space="preserve">   MICROTOMES; PARTIES ET ACCESSOIRES</v>
      </c>
      <c r="C5694" s="4">
        <v>244.59</v>
      </c>
      <c r="D5694" s="4">
        <v>19127505</v>
      </c>
    </row>
    <row r="5695" spans="1:4" x14ac:dyDescent="0.25">
      <c r="A5695" t="str">
        <f>T("   902810")</f>
        <v xml:space="preserve">   902810</v>
      </c>
      <c r="B5695" t="str">
        <f>T("   Compteurs de gaz")</f>
        <v xml:space="preserve">   Compteurs de gaz</v>
      </c>
      <c r="C5695" s="4">
        <v>8</v>
      </c>
      <c r="D5695" s="4">
        <v>2718108</v>
      </c>
    </row>
    <row r="5696" spans="1:4" x14ac:dyDescent="0.25">
      <c r="A5696" t="str">
        <f>T("   902820")</f>
        <v xml:space="preserve">   902820</v>
      </c>
      <c r="B5696" t="str">
        <f>T("   Compteurs de liquides")</f>
        <v xml:space="preserve">   Compteurs de liquides</v>
      </c>
      <c r="C5696" s="4">
        <v>1913</v>
      </c>
      <c r="D5696" s="4">
        <v>12589942</v>
      </c>
    </row>
    <row r="5697" spans="1:4" x14ac:dyDescent="0.25">
      <c r="A5697" t="str">
        <f>T("   902830")</f>
        <v xml:space="preserve">   902830</v>
      </c>
      <c r="B5697" t="str">
        <f>T("   COMPTEURS D'ELECTRICITE")</f>
        <v xml:space="preserve">   COMPTEURS D'ELECTRICITE</v>
      </c>
      <c r="C5697" s="4">
        <v>1981</v>
      </c>
      <c r="D5697" s="4">
        <v>67645742</v>
      </c>
    </row>
    <row r="5698" spans="1:4" x14ac:dyDescent="0.25">
      <c r="A5698" t="str">
        <f>T("   902890")</f>
        <v xml:space="preserve">   902890</v>
      </c>
      <c r="B5698" t="str">
        <f>T("   PARTIES ET ACCESSOIRES")</f>
        <v xml:space="preserve">   PARTIES ET ACCESSOIRES</v>
      </c>
      <c r="C5698" s="4">
        <v>377.3</v>
      </c>
      <c r="D5698" s="4">
        <v>2099944</v>
      </c>
    </row>
    <row r="5699" spans="1:4" x14ac:dyDescent="0.25">
      <c r="A5699" t="str">
        <f>T("   902910")</f>
        <v xml:space="preserve">   902910</v>
      </c>
      <c r="B5699" t="str">
        <f>T("   COMPTEURS DE TOURS OU DE PRODUCTION, TAXIMETRES, TOTALISATEURS DE CHEMIN PARCOURU, PO")</f>
        <v xml:space="preserve">   COMPTEURS DE TOURS OU DE PRODUCTION, TAXIMETRES, TOTALISATEURS DE CHEMIN PARCOURU, PO</v>
      </c>
      <c r="C5699" s="4">
        <v>53.7</v>
      </c>
      <c r="D5699" s="4">
        <v>3483987</v>
      </c>
    </row>
    <row r="5700" spans="1:4" x14ac:dyDescent="0.25">
      <c r="A5700" t="str">
        <f>T("   903020")</f>
        <v xml:space="preserve">   903020</v>
      </c>
      <c r="B5700" t="str">
        <f>T("   OSCILLOSCOPES ET OSCILLOGRAPHES")</f>
        <v xml:space="preserve">   OSCILLOSCOPES ET OSCILLOGRAPHES</v>
      </c>
      <c r="C5700" s="4">
        <v>11</v>
      </c>
      <c r="D5700" s="4">
        <v>3152373</v>
      </c>
    </row>
    <row r="5701" spans="1:4" x14ac:dyDescent="0.25">
      <c r="A5701" t="str">
        <f>T("   903031")</f>
        <v xml:space="preserve">   903031</v>
      </c>
      <c r="B5701" t="str">
        <f>T("   MULTIMETRES, SANS DISPOSITIF ENREGISTREUR")</f>
        <v xml:space="preserve">   MULTIMETRES, SANS DISPOSITIF ENREGISTREUR</v>
      </c>
      <c r="C5701" s="4">
        <v>631.37</v>
      </c>
      <c r="D5701" s="4">
        <v>4936426</v>
      </c>
    </row>
    <row r="5702" spans="1:4" x14ac:dyDescent="0.25">
      <c r="A5702" t="str">
        <f>T("   903033")</f>
        <v xml:space="preserve">   903033</v>
      </c>
      <c r="B5702" t="str">
        <f>T("   AUTRES, SANS DISPOSITIF ENREGISTREUR")</f>
        <v xml:space="preserve">   AUTRES, SANS DISPOSITIF ENREGISTREUR</v>
      </c>
      <c r="C5702" s="4">
        <v>1363</v>
      </c>
      <c r="D5702" s="4">
        <v>6749790</v>
      </c>
    </row>
    <row r="5703" spans="1:4" x14ac:dyDescent="0.25">
      <c r="A5703" t="str">
        <f>T("   903039")</f>
        <v xml:space="preserve">   903039</v>
      </c>
      <c r="B5703" t="str">
        <f>T("   AUTRES, AVEC DISPOSITIF ENREGISTREUR")</f>
        <v xml:space="preserve">   AUTRES, AVEC DISPOSITIF ENREGISTREUR</v>
      </c>
      <c r="C5703" s="4">
        <v>51</v>
      </c>
      <c r="D5703" s="4">
        <v>3069132</v>
      </c>
    </row>
    <row r="5704" spans="1:4" x14ac:dyDescent="0.25">
      <c r="A5704" t="str">
        <f>T("   903040")</f>
        <v xml:space="preserve">   903040</v>
      </c>
      <c r="B5704" t="str">
        <f>T("   AUTRES INSTRUMENTS ET APPAREILS, SPECIALEMENT CONCUS POUR LES TECHNIQUES DE LA TELECO")</f>
        <v xml:space="preserve">   AUTRES INSTRUMENTS ET APPAREILS, SPECIALEMENT CONCUS POUR LES TECHNIQUES DE LA TELECO</v>
      </c>
      <c r="C5704" s="4">
        <v>883.2</v>
      </c>
      <c r="D5704" s="4">
        <v>2193142</v>
      </c>
    </row>
    <row r="5705" spans="1:4" x14ac:dyDescent="0.25">
      <c r="A5705" t="str">
        <f>T("   903084")</f>
        <v xml:space="preserve">   903084</v>
      </c>
      <c r="B5705" t="str">
        <f>T("   AUTRES, AVEC DISPOSITIF ENREGISTREUR")</f>
        <v xml:space="preserve">   AUTRES, AVEC DISPOSITIF ENREGISTREUR</v>
      </c>
      <c r="C5705" s="4">
        <v>4525</v>
      </c>
      <c r="D5705" s="4">
        <v>4529404</v>
      </c>
    </row>
    <row r="5706" spans="1:4" x14ac:dyDescent="0.25">
      <c r="A5706" t="str">
        <f>T("   903089")</f>
        <v xml:space="preserve">   903089</v>
      </c>
      <c r="B5706" t="str">
        <f>T("   AUTRES")</f>
        <v xml:space="preserve">   AUTRES</v>
      </c>
      <c r="C5706" s="4">
        <v>19</v>
      </c>
      <c r="D5706" s="4">
        <v>4178232</v>
      </c>
    </row>
    <row r="5707" spans="1:4" x14ac:dyDescent="0.25">
      <c r="A5707" t="str">
        <f>T("   903149")</f>
        <v xml:space="preserve">   903149</v>
      </c>
      <c r="B5707" t="str">
        <f>T("   AUTRES")</f>
        <v xml:space="preserve">   AUTRES</v>
      </c>
      <c r="C5707" s="4">
        <v>1788</v>
      </c>
      <c r="D5707" s="4">
        <v>110317119</v>
      </c>
    </row>
    <row r="5708" spans="1:4" x14ac:dyDescent="0.25">
      <c r="A5708" t="str">
        <f>T("   903180")</f>
        <v xml:space="preserve">   903180</v>
      </c>
      <c r="B5708" t="str">
        <f>T("   AUTRES INSTRUMENTS, APPAREILS ET MACHINES")</f>
        <v xml:space="preserve">   AUTRES INSTRUMENTS, APPAREILS ET MACHINES</v>
      </c>
      <c r="C5708" s="4">
        <v>1360</v>
      </c>
      <c r="D5708" s="4">
        <v>95768216</v>
      </c>
    </row>
    <row r="5709" spans="1:4" x14ac:dyDescent="0.25">
      <c r="A5709" t="str">
        <f>T("   903190")</f>
        <v xml:space="preserve">   903190</v>
      </c>
      <c r="B5709" t="str">
        <f>T("   PARTIES ET ACCESSOIRES")</f>
        <v xml:space="preserve">   PARTIES ET ACCESSOIRES</v>
      </c>
      <c r="C5709" s="4">
        <v>29.3</v>
      </c>
      <c r="D5709" s="4">
        <v>3412304</v>
      </c>
    </row>
    <row r="5710" spans="1:4" x14ac:dyDescent="0.25">
      <c r="A5710" t="str">
        <f>T("   903210")</f>
        <v xml:space="preserve">   903210</v>
      </c>
      <c r="B5710" t="str">
        <f>T("   THERMOSTATS")</f>
        <v xml:space="preserve">   THERMOSTATS</v>
      </c>
      <c r="C5710" s="4">
        <v>266.5</v>
      </c>
      <c r="D5710" s="4">
        <v>5525502</v>
      </c>
    </row>
    <row r="5711" spans="1:4" x14ac:dyDescent="0.25">
      <c r="A5711" t="str">
        <f>T("   903220")</f>
        <v xml:space="preserve">   903220</v>
      </c>
      <c r="B5711" t="str">
        <f>T("   MANOSTATS (PRESSOSTATS)")</f>
        <v xml:space="preserve">   MANOSTATS (PRESSOSTATS)</v>
      </c>
      <c r="C5711" s="4">
        <v>73</v>
      </c>
      <c r="D5711" s="4">
        <v>10180632</v>
      </c>
    </row>
    <row r="5712" spans="1:4" x14ac:dyDescent="0.25">
      <c r="A5712" t="str">
        <f>T("   903281")</f>
        <v xml:space="preserve">   903281</v>
      </c>
      <c r="B5712" t="str">
        <f>T("   HYDRAULIQUES OU PNEUMATIQUES")</f>
        <v xml:space="preserve">   HYDRAULIQUES OU PNEUMATIQUES</v>
      </c>
      <c r="C5712" s="4">
        <v>266</v>
      </c>
      <c r="D5712" s="4">
        <v>13092477</v>
      </c>
    </row>
    <row r="5713" spans="1:4" x14ac:dyDescent="0.25">
      <c r="A5713" t="str">
        <f>T("   903289")</f>
        <v xml:space="preserve">   903289</v>
      </c>
      <c r="B5713" t="str">
        <f>T("   AUTRES")</f>
        <v xml:space="preserve">   AUTRES</v>
      </c>
      <c r="C5713" s="4">
        <v>83.24</v>
      </c>
      <c r="D5713" s="4">
        <v>22707063</v>
      </c>
    </row>
    <row r="5714" spans="1:4" x14ac:dyDescent="0.25">
      <c r="A5714" t="str">
        <f>T("   903290")</f>
        <v xml:space="preserve">   903290</v>
      </c>
      <c r="B5714" t="str">
        <f>T("   PARTIES ET ACCESSOIRES")</f>
        <v xml:space="preserve">   PARTIES ET ACCESSOIRES</v>
      </c>
      <c r="C5714" s="4">
        <v>19</v>
      </c>
      <c r="D5714" s="4">
        <v>4641069</v>
      </c>
    </row>
    <row r="5715" spans="1:4" x14ac:dyDescent="0.25">
      <c r="A5715" t="str">
        <f>T("   903300")</f>
        <v xml:space="preserve">   903300</v>
      </c>
      <c r="B5715" t="str">
        <f>T("   PARTIES ET ACCESSOIRES NON DENOMMES NI COMPRIS AILLEURS DANS LE PRESENT CHAPITRE, POUR")</f>
        <v xml:space="preserve">   PARTIES ET ACCESSOIRES NON DENOMMES NI COMPRIS AILLEURS DANS LE PRESENT CHAPITRE, POUR</v>
      </c>
      <c r="C5715" s="4">
        <v>33.200000000000003</v>
      </c>
      <c r="D5715" s="4">
        <v>20271918</v>
      </c>
    </row>
    <row r="5716" spans="1:4" x14ac:dyDescent="0.25">
      <c r="A5716" t="str">
        <f>T("   910129")</f>
        <v xml:space="preserve">   910129</v>
      </c>
      <c r="B5716" t="str">
        <f>T("   AUTRES")</f>
        <v xml:space="preserve">   AUTRES</v>
      </c>
      <c r="C5716" s="4">
        <v>44</v>
      </c>
      <c r="D5716" s="4">
        <v>140050</v>
      </c>
    </row>
    <row r="5717" spans="1:4" x14ac:dyDescent="0.25">
      <c r="A5717" t="str">
        <f>T("   910229")</f>
        <v xml:space="preserve">   910229</v>
      </c>
      <c r="B5717" t="str">
        <f>T("   AUTRES")</f>
        <v xml:space="preserve">   AUTRES</v>
      </c>
      <c r="C5717" s="4">
        <v>1152.5</v>
      </c>
      <c r="D5717" s="4">
        <v>3485334</v>
      </c>
    </row>
    <row r="5718" spans="1:4" x14ac:dyDescent="0.25">
      <c r="A5718" t="str">
        <f>T("   910390")</f>
        <v xml:space="preserve">   910390</v>
      </c>
      <c r="B5718" t="str">
        <f>T("   AUTRES")</f>
        <v xml:space="preserve">   AUTRES</v>
      </c>
      <c r="C5718" s="4">
        <v>1</v>
      </c>
      <c r="D5718" s="4">
        <v>88292</v>
      </c>
    </row>
    <row r="5719" spans="1:4" x14ac:dyDescent="0.25">
      <c r="A5719" t="str">
        <f>T("   910529")</f>
        <v xml:space="preserve">   910529</v>
      </c>
      <c r="B5719" t="str">
        <f>T("   AUTRES")</f>
        <v xml:space="preserve">   AUTRES</v>
      </c>
      <c r="C5719" s="4">
        <v>75</v>
      </c>
      <c r="D5719" s="4">
        <v>356843</v>
      </c>
    </row>
    <row r="5720" spans="1:4" x14ac:dyDescent="0.25">
      <c r="A5720" t="str">
        <f>T("   910610")</f>
        <v xml:space="preserve">   910610</v>
      </c>
      <c r="B5720" t="str">
        <f>T("   HORLOGES DE POINTAGE; HORODATEURS ET HOROCOMPTEURS")</f>
        <v xml:space="preserve">   HORLOGES DE POINTAGE; HORODATEURS ET HOROCOMPTEURS</v>
      </c>
      <c r="C5720" s="4">
        <v>77</v>
      </c>
      <c r="D5720" s="4">
        <v>1550027</v>
      </c>
    </row>
    <row r="5721" spans="1:4" x14ac:dyDescent="0.25">
      <c r="A5721" t="str">
        <f>T("   910690")</f>
        <v xml:space="preserve">   910690</v>
      </c>
      <c r="B5721" t="str">
        <f>T("   AUTRES")</f>
        <v xml:space="preserve">   AUTRES</v>
      </c>
      <c r="C5721" s="4">
        <v>107</v>
      </c>
      <c r="D5721" s="4">
        <v>2311694</v>
      </c>
    </row>
    <row r="5722" spans="1:4" x14ac:dyDescent="0.25">
      <c r="A5722" t="str">
        <f>T("   910700")</f>
        <v xml:space="preserve">   910700</v>
      </c>
      <c r="B5722" t="str">
        <f>T("   INTERRUPTEURS HORAIRES ET AUTRES APPAREILS PERMETTANT DE DECLENCHER UN MECANISME A TEMP")</f>
        <v xml:space="preserve">   INTERRUPTEURS HORAIRES ET AUTRES APPAREILS PERMETTANT DE DECLENCHER UN MECANISME A TEMP</v>
      </c>
      <c r="C5722" s="4">
        <v>4</v>
      </c>
      <c r="D5722" s="4">
        <v>285343</v>
      </c>
    </row>
    <row r="5723" spans="1:4" x14ac:dyDescent="0.25">
      <c r="A5723" t="str">
        <f>T("   920600")</f>
        <v xml:space="preserve">   920600</v>
      </c>
      <c r="B5723" t="str">
        <f>T("   INSTRUMENTS DE MUSIQUE A PERCUSSION (TAMBOURS, CAISSES, XYLOPHONES, CYMBALES, CASTAGNET")</f>
        <v xml:space="preserve">   INSTRUMENTS DE MUSIQUE A PERCUSSION (TAMBOURS, CAISSES, XYLOPHONES, CYMBALES, CASTAGNET</v>
      </c>
      <c r="C5723" s="4">
        <v>369</v>
      </c>
      <c r="D5723" s="4">
        <v>148247</v>
      </c>
    </row>
    <row r="5724" spans="1:4" x14ac:dyDescent="0.25">
      <c r="A5724" t="str">
        <f>T("   920790")</f>
        <v xml:space="preserve">   920790</v>
      </c>
      <c r="B5724" t="str">
        <f>T("   AUTRES")</f>
        <v xml:space="preserve">   AUTRES</v>
      </c>
      <c r="C5724" s="4">
        <v>191</v>
      </c>
      <c r="D5724" s="4">
        <v>364058</v>
      </c>
    </row>
    <row r="5725" spans="1:4" x14ac:dyDescent="0.25">
      <c r="A5725" t="str">
        <f>T("   920890")</f>
        <v xml:space="preserve">   920890</v>
      </c>
      <c r="B5725" t="str">
        <f>T("   AUTRES")</f>
        <v xml:space="preserve">   AUTRES</v>
      </c>
      <c r="C5725" s="4">
        <v>129</v>
      </c>
      <c r="D5725" s="4">
        <v>651401</v>
      </c>
    </row>
    <row r="5726" spans="1:4" x14ac:dyDescent="0.25">
      <c r="A5726" t="str">
        <f>T("   930100")</f>
        <v xml:space="preserve">   930100</v>
      </c>
      <c r="B5726" t="str">
        <f>T("   ARMES DE GUERRE AUTRES QUE LES REVOLVERS; PISTOLETS ET ARMES BLANCHES")</f>
        <v xml:space="preserve">   ARMES DE GUERRE AUTRES QUE LES REVOLVERS; PISTOLETS ET ARMES BLANCHES</v>
      </c>
      <c r="C5726" s="4">
        <v>69</v>
      </c>
      <c r="D5726" s="4">
        <v>197405</v>
      </c>
    </row>
    <row r="5727" spans="1:4" x14ac:dyDescent="0.25">
      <c r="A5727" t="str">
        <f>T("   930390")</f>
        <v xml:space="preserve">   930390</v>
      </c>
      <c r="B5727" t="str">
        <f>T("   AUTRES")</f>
        <v xml:space="preserve">   AUTRES</v>
      </c>
      <c r="C5727" s="4">
        <v>6.7</v>
      </c>
      <c r="D5727" s="4">
        <v>798303</v>
      </c>
    </row>
    <row r="5728" spans="1:4" x14ac:dyDescent="0.25">
      <c r="A5728" t="str">
        <f>T("   930591")</f>
        <v xml:space="preserve">   930591</v>
      </c>
      <c r="B5728" t="str">
        <f>T("   DES ARMES DE GUERRE DU N° 93.01")</f>
        <v xml:space="preserve">   DES ARMES DE GUERRE DU N° 93.01</v>
      </c>
      <c r="C5728" s="4">
        <v>2</v>
      </c>
      <c r="D5728" s="4">
        <v>989490</v>
      </c>
    </row>
    <row r="5729" spans="1:4" x14ac:dyDescent="0.25">
      <c r="A5729" t="str">
        <f>T("   940110")</f>
        <v xml:space="preserve">   940110</v>
      </c>
      <c r="B5729" t="str">
        <f>T("   SIEGES DES TYPES UTILISES POUR VEHICULES AERIENS")</f>
        <v xml:space="preserve">   SIEGES DES TYPES UTILISES POUR VEHICULES AERIENS</v>
      </c>
      <c r="C5729" s="4">
        <v>1560</v>
      </c>
      <c r="D5729" s="4">
        <v>11590158</v>
      </c>
    </row>
    <row r="5730" spans="1:4" x14ac:dyDescent="0.25">
      <c r="A5730" t="str">
        <f>T("   940120")</f>
        <v xml:space="preserve">   940120</v>
      </c>
      <c r="B5730" t="str">
        <f>T("   SIEGES DES TYPES UTILISES POUR VEHICULES AUTOMOBILES")</f>
        <v xml:space="preserve">   SIEGES DES TYPES UTILISES POUR VEHICULES AUTOMOBILES</v>
      </c>
      <c r="C5730" s="4">
        <v>140</v>
      </c>
      <c r="D5730" s="4">
        <v>1865261</v>
      </c>
    </row>
    <row r="5731" spans="1:4" x14ac:dyDescent="0.25">
      <c r="A5731" t="str">
        <f>T("   940130")</f>
        <v xml:space="preserve">   940130</v>
      </c>
      <c r="B5731" t="str">
        <f>T("   SIEGES PIVOTANTS, AJUSTABLES EN HAUTEUR")</f>
        <v xml:space="preserve">   SIEGES PIVOTANTS, AJUSTABLES EN HAUTEUR</v>
      </c>
      <c r="C5731" s="4">
        <v>29</v>
      </c>
      <c r="D5731" s="4">
        <v>390185</v>
      </c>
    </row>
    <row r="5732" spans="1:4" x14ac:dyDescent="0.25">
      <c r="A5732" t="str">
        <f>T("   940159")</f>
        <v xml:space="preserve">   940159</v>
      </c>
      <c r="B5732" t="str">
        <f>T("   AUTRES")</f>
        <v xml:space="preserve">   AUTRES</v>
      </c>
      <c r="C5732" s="4">
        <v>15211</v>
      </c>
      <c r="D5732" s="4">
        <v>4622608</v>
      </c>
    </row>
    <row r="5733" spans="1:4" x14ac:dyDescent="0.25">
      <c r="A5733" t="str">
        <f>T("   940169")</f>
        <v xml:space="preserve">   940169</v>
      </c>
      <c r="B5733" t="str">
        <f>T("   AUTRES")</f>
        <v xml:space="preserve">   AUTRES</v>
      </c>
      <c r="C5733" s="4">
        <v>2941</v>
      </c>
      <c r="D5733" s="4">
        <v>9518891</v>
      </c>
    </row>
    <row r="5734" spans="1:4" x14ac:dyDescent="0.25">
      <c r="A5734" t="str">
        <f>T("   940179")</f>
        <v xml:space="preserve">   940179</v>
      </c>
      <c r="B5734" t="str">
        <f>T("   AUTRES")</f>
        <v xml:space="preserve">   AUTRES</v>
      </c>
      <c r="C5734" s="4">
        <v>765</v>
      </c>
      <c r="D5734" s="4">
        <v>1910449</v>
      </c>
    </row>
    <row r="5735" spans="1:4" x14ac:dyDescent="0.25">
      <c r="A5735" t="str">
        <f>T("   940180")</f>
        <v xml:space="preserve">   940180</v>
      </c>
      <c r="B5735" t="str">
        <f>T("   AUTRES SIEGES")</f>
        <v xml:space="preserve">   AUTRES SIEGES</v>
      </c>
      <c r="C5735" s="4">
        <v>2938</v>
      </c>
      <c r="D5735" s="4">
        <v>3057980</v>
      </c>
    </row>
    <row r="5736" spans="1:4" x14ac:dyDescent="0.25">
      <c r="A5736" t="str">
        <f>T("   940190")</f>
        <v xml:space="preserve">   940190</v>
      </c>
      <c r="B5736" t="str">
        <f>T("   PARTIES")</f>
        <v xml:space="preserve">   PARTIES</v>
      </c>
      <c r="C5736" s="4">
        <v>25</v>
      </c>
      <c r="D5736" s="4">
        <v>743085</v>
      </c>
    </row>
    <row r="5737" spans="1:4" x14ac:dyDescent="0.25">
      <c r="A5737" t="str">
        <f>T("   940210")</f>
        <v xml:space="preserve">   940210</v>
      </c>
      <c r="B5737" t="str">
        <f>T("   FAUTEUILS DE DENTISTES, FAUTEUILS POUR SALONS DE COIFFURE ET FAUTEUILS SIMILAIRES, ET")</f>
        <v xml:space="preserve">   FAUTEUILS DE DENTISTES, FAUTEUILS POUR SALONS DE COIFFURE ET FAUTEUILS SIMILAIRES, ET</v>
      </c>
      <c r="C5737" s="4">
        <v>1650</v>
      </c>
      <c r="D5737" s="4">
        <v>1689097</v>
      </c>
    </row>
    <row r="5738" spans="1:4" x14ac:dyDescent="0.25">
      <c r="A5738" t="str">
        <f>T("   940290")</f>
        <v xml:space="preserve">   940290</v>
      </c>
      <c r="B5738" t="str">
        <f>T("   AUTRES")</f>
        <v xml:space="preserve">   AUTRES</v>
      </c>
      <c r="C5738" s="4">
        <v>50781</v>
      </c>
      <c r="D5738" s="4">
        <v>24106400</v>
      </c>
    </row>
    <row r="5739" spans="1:4" x14ac:dyDescent="0.25">
      <c r="A5739" t="str">
        <f>T("   940310")</f>
        <v xml:space="preserve">   940310</v>
      </c>
      <c r="B5739" t="str">
        <f>T("   MEUBLES EN METAL DES TYPES UTILISES DANS LES BUREAUX")</f>
        <v xml:space="preserve">   MEUBLES EN METAL DES TYPES UTILISES DANS LES BUREAUX</v>
      </c>
      <c r="C5739" s="4">
        <v>8127</v>
      </c>
      <c r="D5739" s="4">
        <v>16135907</v>
      </c>
    </row>
    <row r="5740" spans="1:4" x14ac:dyDescent="0.25">
      <c r="A5740" t="str">
        <f>T("   940320")</f>
        <v xml:space="preserve">   940320</v>
      </c>
      <c r="B5740" t="str">
        <f>T("   AUTRES MEUBLES EN METAL")</f>
        <v xml:space="preserve">   AUTRES MEUBLES EN METAL</v>
      </c>
      <c r="C5740" s="4">
        <v>19564</v>
      </c>
      <c r="D5740" s="4">
        <v>19229681</v>
      </c>
    </row>
    <row r="5741" spans="1:4" x14ac:dyDescent="0.25">
      <c r="A5741" t="str">
        <f>T("   940330")</f>
        <v xml:space="preserve">   940330</v>
      </c>
      <c r="B5741" t="str">
        <f>T("   MEUBLES EN BOIS DES TYPES UTILISES DANS LES BUREAUX")</f>
        <v xml:space="preserve">   MEUBLES EN BOIS DES TYPES UTILISES DANS LES BUREAUX</v>
      </c>
      <c r="C5741" s="4">
        <v>5586</v>
      </c>
      <c r="D5741" s="4">
        <v>2840244</v>
      </c>
    </row>
    <row r="5742" spans="1:4" x14ac:dyDescent="0.25">
      <c r="A5742" t="str">
        <f>T("   940340")</f>
        <v xml:space="preserve">   940340</v>
      </c>
      <c r="B5742" t="str">
        <f>T("   MEUBLES EN BOIS DES TYPES UTILISES DANS LES CUISINES")</f>
        <v xml:space="preserve">   MEUBLES EN BOIS DES TYPES UTILISES DANS LES CUISINES</v>
      </c>
      <c r="C5742" s="4">
        <v>310</v>
      </c>
      <c r="D5742" s="4">
        <v>327980</v>
      </c>
    </row>
    <row r="5743" spans="1:4" x14ac:dyDescent="0.25">
      <c r="A5743" t="str">
        <f>T("   940350")</f>
        <v xml:space="preserve">   940350</v>
      </c>
      <c r="B5743" t="str">
        <f>T("   MEUBLES EN BOIS DES TYPES UTILISES DANS LES CHAMBRES A COUCHER")</f>
        <v xml:space="preserve">   MEUBLES EN BOIS DES TYPES UTILISES DANS LES CHAMBRES A COUCHER</v>
      </c>
      <c r="C5743" s="4">
        <v>41695.199999999997</v>
      </c>
      <c r="D5743" s="4">
        <v>39007871</v>
      </c>
    </row>
    <row r="5744" spans="1:4" x14ac:dyDescent="0.25">
      <c r="A5744" t="str">
        <f>T("   940360")</f>
        <v xml:space="preserve">   940360</v>
      </c>
      <c r="B5744" t="str">
        <f>T("   Autres meubles en bois")</f>
        <v xml:space="preserve">   Autres meubles en bois</v>
      </c>
      <c r="C5744" s="4">
        <v>252175.66</v>
      </c>
      <c r="D5744" s="4">
        <v>191414805</v>
      </c>
    </row>
    <row r="5745" spans="1:4" x14ac:dyDescent="0.25">
      <c r="A5745" t="str">
        <f>T("   940370")</f>
        <v xml:space="preserve">   940370</v>
      </c>
      <c r="B5745" t="str">
        <f>T("   MEUBLES EN MATIERES PLASTIQUES")</f>
        <v xml:space="preserve">   MEUBLES EN MATIERES PLASTIQUES</v>
      </c>
      <c r="C5745" s="4">
        <v>748</v>
      </c>
      <c r="D5745" s="4">
        <v>2932456</v>
      </c>
    </row>
    <row r="5746" spans="1:4" x14ac:dyDescent="0.25">
      <c r="A5746" t="str">
        <f>T("   940381")</f>
        <v xml:space="preserve">   940381</v>
      </c>
      <c r="B5746" t="str">
        <f>T("   EN BAMBOU OU EN ROTIN")</f>
        <v xml:space="preserve">   EN BAMBOU OU EN ROTIN</v>
      </c>
      <c r="C5746" s="4">
        <v>921</v>
      </c>
      <c r="D5746" s="4">
        <v>5118456</v>
      </c>
    </row>
    <row r="5747" spans="1:4" x14ac:dyDescent="0.25">
      <c r="A5747" t="str">
        <f>T("   940389")</f>
        <v xml:space="preserve">   940389</v>
      </c>
      <c r="B5747" t="str">
        <f>T("   AUTRES")</f>
        <v xml:space="preserve">   AUTRES</v>
      </c>
      <c r="C5747" s="4">
        <v>183534</v>
      </c>
      <c r="D5747" s="4">
        <v>154699935</v>
      </c>
    </row>
    <row r="5748" spans="1:4" x14ac:dyDescent="0.25">
      <c r="A5748" t="str">
        <f>T("   940390")</f>
        <v xml:space="preserve">   940390</v>
      </c>
      <c r="B5748" t="str">
        <f>T("   PARTIES")</f>
        <v xml:space="preserve">   PARTIES</v>
      </c>
      <c r="C5748" s="4">
        <v>3563</v>
      </c>
      <c r="D5748" s="4">
        <v>30499144</v>
      </c>
    </row>
    <row r="5749" spans="1:4" x14ac:dyDescent="0.25">
      <c r="A5749" t="str">
        <f>T("   940410")</f>
        <v xml:space="preserve">   940410</v>
      </c>
      <c r="B5749" t="str">
        <f>T("   Sommiers")</f>
        <v xml:space="preserve">   Sommiers</v>
      </c>
      <c r="C5749" s="4">
        <v>345</v>
      </c>
      <c r="D5749" s="4">
        <v>462691</v>
      </c>
    </row>
    <row r="5750" spans="1:4" x14ac:dyDescent="0.25">
      <c r="A5750" t="str">
        <f>T("   940421")</f>
        <v xml:space="preserve">   940421</v>
      </c>
      <c r="B5750" t="str">
        <f>T("   EN CAOUTCHOUC ALVEOLAIRE OU EN MATIERES PLASTIQUES ALVEOLAIRES, RECOUVERTS OU NON")</f>
        <v xml:space="preserve">   EN CAOUTCHOUC ALVEOLAIRE OU EN MATIERES PLASTIQUES ALVEOLAIRES, RECOUVERTS OU NON</v>
      </c>
      <c r="C5750" s="4">
        <v>1278</v>
      </c>
      <c r="D5750" s="4">
        <v>709174</v>
      </c>
    </row>
    <row r="5751" spans="1:4" x14ac:dyDescent="0.25">
      <c r="A5751" t="str">
        <f>T("   940429")</f>
        <v xml:space="preserve">   940429</v>
      </c>
      <c r="B5751" t="str">
        <f>T("   EN AUTRES MATIERES")</f>
        <v xml:space="preserve">   EN AUTRES MATIERES</v>
      </c>
      <c r="C5751" s="4">
        <v>37792</v>
      </c>
      <c r="D5751" s="4">
        <v>13946967</v>
      </c>
    </row>
    <row r="5752" spans="1:4" x14ac:dyDescent="0.25">
      <c r="A5752" t="str">
        <f>T("   940490")</f>
        <v xml:space="preserve">   940490</v>
      </c>
      <c r="B5752" t="str">
        <f>T("   AUTRES")</f>
        <v xml:space="preserve">   AUTRES</v>
      </c>
      <c r="C5752" s="4">
        <v>52599.22</v>
      </c>
      <c r="D5752" s="4">
        <v>58390945</v>
      </c>
    </row>
    <row r="5753" spans="1:4" x14ac:dyDescent="0.25">
      <c r="A5753" t="str">
        <f>T("   940510")</f>
        <v xml:space="preserve">   940510</v>
      </c>
      <c r="B5753" t="str">
        <f>T("   LUSTRES ET AUTRES APPAREILS D'ECLAIRAGE ELECTRIQUES A SUSPENDRE OU A FIXER AU PLAFOND")</f>
        <v xml:space="preserve">   LUSTRES ET AUTRES APPAREILS D'ECLAIRAGE ELECTRIQUES A SUSPENDRE OU A FIXER AU PLAFOND</v>
      </c>
      <c r="C5753" s="4">
        <v>6448</v>
      </c>
      <c r="D5753" s="4">
        <v>39810882</v>
      </c>
    </row>
    <row r="5754" spans="1:4" x14ac:dyDescent="0.25">
      <c r="A5754" t="str">
        <f>T("   940520")</f>
        <v xml:space="preserve">   940520</v>
      </c>
      <c r="B5754" t="str">
        <f>T("   LAMPES DE CHEVET, LAMPES DE BUREAU ET LAMPADAIRES D'INTERIEUR, ELECTRIQUES")</f>
        <v xml:space="preserve">   LAMPES DE CHEVET, LAMPES DE BUREAU ET LAMPADAIRES D'INTERIEUR, ELECTRIQUES</v>
      </c>
      <c r="C5754" s="4">
        <v>5824.85</v>
      </c>
      <c r="D5754" s="4">
        <v>22187860</v>
      </c>
    </row>
    <row r="5755" spans="1:4" x14ac:dyDescent="0.25">
      <c r="A5755" t="str">
        <f>T("   940540")</f>
        <v xml:space="preserve">   940540</v>
      </c>
      <c r="B5755" t="str">
        <f>T("   AUTRES APPAREILS D'ECLAIRAGE ELECTRIQUES")</f>
        <v xml:space="preserve">   AUTRES APPAREILS D'ECLAIRAGE ELECTRIQUES</v>
      </c>
      <c r="C5755" s="4">
        <v>4681.92</v>
      </c>
      <c r="D5755" s="4">
        <v>52516983</v>
      </c>
    </row>
    <row r="5756" spans="1:4" x14ac:dyDescent="0.25">
      <c r="A5756" t="str">
        <f>T("   940560")</f>
        <v xml:space="preserve">   940560</v>
      </c>
      <c r="B5756" t="str">
        <f>T("   LAMPESRECLAMES, ENSEIGNES LUMINEUSES, PLAQUES INDICATRICES LUMINEUSES ET ARTICLES SI")</f>
        <v xml:space="preserve">   LAMPESRECLAMES, ENSEIGNES LUMINEUSES, PLAQUES INDICATRICES LUMINEUSES ET ARTICLES SI</v>
      </c>
      <c r="C5756" s="4">
        <v>1799</v>
      </c>
      <c r="D5756" s="4">
        <v>20261404</v>
      </c>
    </row>
    <row r="5757" spans="1:4" x14ac:dyDescent="0.25">
      <c r="A5757" t="str">
        <f>T("   940599")</f>
        <v xml:space="preserve">   940599</v>
      </c>
      <c r="B5757" t="str">
        <f>T("   AUTRES")</f>
        <v xml:space="preserve">   AUTRES</v>
      </c>
      <c r="C5757" s="4">
        <v>150</v>
      </c>
      <c r="D5757" s="4">
        <v>710000</v>
      </c>
    </row>
    <row r="5758" spans="1:4" x14ac:dyDescent="0.25">
      <c r="A5758" t="str">
        <f>T("   940600")</f>
        <v xml:space="preserve">   940600</v>
      </c>
      <c r="B5758" t="str">
        <f>T("   CONSTRUCTIONS PREFABRIQUEES.")</f>
        <v xml:space="preserve">   CONSTRUCTIONS PREFABRIQUEES.</v>
      </c>
      <c r="C5758" s="4">
        <v>51253</v>
      </c>
      <c r="D5758" s="4">
        <v>62125972</v>
      </c>
    </row>
    <row r="5759" spans="1:4" x14ac:dyDescent="0.25">
      <c r="A5759" t="str">
        <f>T("   950300")</f>
        <v xml:space="preserve">   950300</v>
      </c>
      <c r="B5759" t="str">
        <f>T("   TRICYCLES, TROTTINETTES, AUTOS A PEDALES ET JOUETS A ROUES SIMILAIRES; LANDAUS ET POUSS")</f>
        <v xml:space="preserve">   TRICYCLES, TROTTINETTES, AUTOS A PEDALES ET JOUETS A ROUES SIMILAIRES; LANDAUS ET POUSS</v>
      </c>
      <c r="C5759" s="4">
        <v>15590</v>
      </c>
      <c r="D5759" s="4">
        <v>15031837</v>
      </c>
    </row>
    <row r="5760" spans="1:4" x14ac:dyDescent="0.25">
      <c r="A5760" t="str">
        <f>T("   950410")</f>
        <v xml:space="preserve">   950410</v>
      </c>
      <c r="B5760" t="str">
        <f>T("   JEUX VIDEO DES TYPES UTILISABLES AVEC UN RECEPTEUR DE TELEVISION")</f>
        <v xml:space="preserve">   JEUX VIDEO DES TYPES UTILISABLES AVEC UN RECEPTEUR DE TELEVISION</v>
      </c>
      <c r="C5760" s="4">
        <v>600</v>
      </c>
      <c r="D5760" s="4">
        <v>127884</v>
      </c>
    </row>
    <row r="5761" spans="1:4" x14ac:dyDescent="0.25">
      <c r="A5761" t="str">
        <f>T("   950420")</f>
        <v xml:space="preserve">   950420</v>
      </c>
      <c r="B5761" t="str">
        <f>T("   BILLARDS DE TOUT GENRE ET LEURS ACCESSOIRES")</f>
        <v xml:space="preserve">   BILLARDS DE TOUT GENRE ET LEURS ACCESSOIRES</v>
      </c>
      <c r="C5761" s="4">
        <v>250</v>
      </c>
      <c r="D5761" s="4">
        <v>350000</v>
      </c>
    </row>
    <row r="5762" spans="1:4" x14ac:dyDescent="0.25">
      <c r="A5762" t="str">
        <f>T("   950440")</f>
        <v xml:space="preserve">   950440</v>
      </c>
      <c r="B5762" t="str">
        <f>T("   CARTES A JOUER")</f>
        <v xml:space="preserve">   CARTES A JOUER</v>
      </c>
      <c r="C5762" s="4">
        <v>257</v>
      </c>
      <c r="D5762" s="4">
        <v>2310101</v>
      </c>
    </row>
    <row r="5763" spans="1:4" x14ac:dyDescent="0.25">
      <c r="A5763" t="str">
        <f>T("   950490")</f>
        <v xml:space="preserve">   950490</v>
      </c>
      <c r="B5763" t="str">
        <f>T("   AUTRES")</f>
        <v xml:space="preserve">   AUTRES</v>
      </c>
      <c r="C5763" s="4">
        <v>14356</v>
      </c>
      <c r="D5763" s="4">
        <v>71178159</v>
      </c>
    </row>
    <row r="5764" spans="1:4" x14ac:dyDescent="0.25">
      <c r="A5764" t="str">
        <f>T("   950510")</f>
        <v xml:space="preserve">   950510</v>
      </c>
      <c r="B5764" t="str">
        <f>T("   ARTICLES POUR FETES DE NOëL")</f>
        <v xml:space="preserve">   ARTICLES POUR FETES DE NOëL</v>
      </c>
      <c r="C5764" s="4">
        <v>10952</v>
      </c>
      <c r="D5764" s="4">
        <v>17455693</v>
      </c>
    </row>
    <row r="5765" spans="1:4" x14ac:dyDescent="0.25">
      <c r="A5765" t="str">
        <f>T("   950590")</f>
        <v xml:space="preserve">   950590</v>
      </c>
      <c r="B5765" t="str">
        <f>T("   AUTRES")</f>
        <v xml:space="preserve">   AUTRES</v>
      </c>
      <c r="C5765" s="4">
        <v>222</v>
      </c>
      <c r="D5765" s="4">
        <v>872998</v>
      </c>
    </row>
    <row r="5766" spans="1:4" x14ac:dyDescent="0.25">
      <c r="A5766" t="str">
        <f>T("   950640")</f>
        <v xml:space="preserve">   950640</v>
      </c>
      <c r="B5766" t="str">
        <f>T("   ARTICLES ET MATERIEL POUR LE TENNIS DE TABLE")</f>
        <v xml:space="preserve">   ARTICLES ET MATERIEL POUR LE TENNIS DE TABLE</v>
      </c>
      <c r="C5766" s="4">
        <v>323</v>
      </c>
      <c r="D5766" s="4">
        <v>756322</v>
      </c>
    </row>
    <row r="5767" spans="1:4" x14ac:dyDescent="0.25">
      <c r="A5767" t="str">
        <f>T("   950669")</f>
        <v xml:space="preserve">   950669</v>
      </c>
      <c r="B5767" t="str">
        <f>T("   AUTRES")</f>
        <v xml:space="preserve">   AUTRES</v>
      </c>
      <c r="C5767" s="4">
        <v>162</v>
      </c>
      <c r="D5767" s="4">
        <v>310000</v>
      </c>
    </row>
    <row r="5768" spans="1:4" x14ac:dyDescent="0.25">
      <c r="A5768" t="str">
        <f>T("   950691")</f>
        <v xml:space="preserve">   950691</v>
      </c>
      <c r="B5768" t="str">
        <f>T("   ARTICLES ET MATERIEL POUR LA CULTURE PHYSIQUE, LA GYMNASTIQUE OU L'ATHLETISME")</f>
        <v xml:space="preserve">   ARTICLES ET MATERIEL POUR LA CULTURE PHYSIQUE, LA GYMNASTIQUE OU L'ATHLETISME</v>
      </c>
      <c r="C5768" s="4">
        <v>4977</v>
      </c>
      <c r="D5768" s="4">
        <v>4432168</v>
      </c>
    </row>
    <row r="5769" spans="1:4" x14ac:dyDescent="0.25">
      <c r="A5769" t="str">
        <f>T("   950699")</f>
        <v xml:space="preserve">   950699</v>
      </c>
      <c r="B5769" t="str">
        <f>T("   AUTRES")</f>
        <v xml:space="preserve">   AUTRES</v>
      </c>
      <c r="C5769" s="4">
        <v>13214</v>
      </c>
      <c r="D5769" s="4">
        <v>28390360</v>
      </c>
    </row>
    <row r="5770" spans="1:4" x14ac:dyDescent="0.25">
      <c r="A5770" t="str">
        <f>T("   950790")</f>
        <v xml:space="preserve">   950790</v>
      </c>
      <c r="B5770" t="str">
        <f>T("   AUTRES")</f>
        <v xml:space="preserve">   AUTRES</v>
      </c>
      <c r="C5770" s="4">
        <v>379</v>
      </c>
      <c r="D5770" s="4">
        <v>10806738</v>
      </c>
    </row>
    <row r="5771" spans="1:4" x14ac:dyDescent="0.25">
      <c r="A5771" t="str">
        <f>T("   960190")</f>
        <v xml:space="preserve">   960190</v>
      </c>
      <c r="B5771" t="str">
        <f>T("   AUTRES")</f>
        <v xml:space="preserve">   AUTRES</v>
      </c>
      <c r="C5771" s="4">
        <v>105</v>
      </c>
      <c r="D5771" s="4">
        <v>160000</v>
      </c>
    </row>
    <row r="5772" spans="1:4" x14ac:dyDescent="0.25">
      <c r="A5772" t="str">
        <f>T("   960200")</f>
        <v xml:space="preserve">   960200</v>
      </c>
      <c r="B5772" t="str">
        <f>T("   MATIERES VEGETALES OU MINERALES A TAILLER, TRAVAILLEES, ET OUVRAGES EN CES MATIERES; OU")</f>
        <v xml:space="preserve">   MATIERES VEGETALES OU MINERALES A TAILLER, TRAVAILLEES, ET OUVRAGES EN CES MATIERES; OU</v>
      </c>
      <c r="C5772" s="4">
        <v>53</v>
      </c>
      <c r="D5772" s="4">
        <v>1458336</v>
      </c>
    </row>
    <row r="5773" spans="1:4" x14ac:dyDescent="0.25">
      <c r="A5773" t="str">
        <f>T("   960310")</f>
        <v xml:space="preserve">   960310</v>
      </c>
      <c r="B5773" t="str">
        <f>T("   BALAIS ET BALAYETTES CONSISTANT EN BRINDILLES OU AUTRES MATIERES VEGETALES EN BOTTES")</f>
        <v xml:space="preserve">   BALAIS ET BALAYETTES CONSISTANT EN BRINDILLES OU AUTRES MATIERES VEGETALES EN BOTTES</v>
      </c>
      <c r="C5773" s="4">
        <v>8447</v>
      </c>
      <c r="D5773" s="4">
        <v>7407050</v>
      </c>
    </row>
    <row r="5774" spans="1:4" x14ac:dyDescent="0.25">
      <c r="A5774" t="str">
        <f>T("   960321")</f>
        <v xml:space="preserve">   960321</v>
      </c>
      <c r="B5774" t="str">
        <f>T("   BROSSES A DENTS, Y COMPRIS LES BROSSES A DENTIERS")</f>
        <v xml:space="preserve">   BROSSES A DENTS, Y COMPRIS LES BROSSES A DENTIERS</v>
      </c>
      <c r="C5774" s="4">
        <v>14472</v>
      </c>
      <c r="D5774" s="4">
        <v>54045879</v>
      </c>
    </row>
    <row r="5775" spans="1:4" x14ac:dyDescent="0.25">
      <c r="A5775" t="str">
        <f>T("   960329")</f>
        <v xml:space="preserve">   960329</v>
      </c>
      <c r="B5775" t="str">
        <f>T("   AUTRES")</f>
        <v xml:space="preserve">   AUTRES</v>
      </c>
      <c r="C5775" s="4">
        <v>10</v>
      </c>
      <c r="D5775" s="4">
        <v>36734</v>
      </c>
    </row>
    <row r="5776" spans="1:4" x14ac:dyDescent="0.25">
      <c r="A5776" t="str">
        <f>T("   960330")</f>
        <v xml:space="preserve">   960330</v>
      </c>
      <c r="B5776" t="str">
        <f>T("   PINCEAUX ET BROSSES POUR ARTISTES, PINCEAUX A ECRIRE ET PINCEAUX SIMILAIRES POUR L'AP")</f>
        <v xml:space="preserve">   PINCEAUX ET BROSSES POUR ARTISTES, PINCEAUX A ECRIRE ET PINCEAUX SIMILAIRES POUR L'AP</v>
      </c>
      <c r="C5776" s="4">
        <v>116</v>
      </c>
      <c r="D5776" s="4">
        <v>2133097</v>
      </c>
    </row>
    <row r="5777" spans="1:4" x14ac:dyDescent="0.25">
      <c r="A5777" t="str">
        <f>T("   960340")</f>
        <v xml:space="preserve">   960340</v>
      </c>
      <c r="B5777" t="str">
        <f>T("   BROSSES ET PINCEAUX A PEINDRE, A BADIGEONNER, A VERNIR OU SIMILAIRES (AUTRES QUE LES")</f>
        <v xml:space="preserve">   BROSSES ET PINCEAUX A PEINDRE, A BADIGEONNER, A VERNIR OU SIMILAIRES (AUTRES QUE LES</v>
      </c>
      <c r="C5777" s="4">
        <v>37.85</v>
      </c>
      <c r="D5777" s="4">
        <v>740696</v>
      </c>
    </row>
    <row r="5778" spans="1:4" x14ac:dyDescent="0.25">
      <c r="A5778" t="str">
        <f>T("   960350")</f>
        <v xml:space="preserve">   960350</v>
      </c>
      <c r="B5778" t="str">
        <f>T("   AUTRES BROSSES CONSTITUANT DES PARTIES DE MACHINES, D'APPAREILS OU DE VEHICULES")</f>
        <v xml:space="preserve">   AUTRES BROSSES CONSTITUANT DES PARTIES DE MACHINES, D'APPAREILS OU DE VEHICULES</v>
      </c>
      <c r="C5778" s="4">
        <v>302</v>
      </c>
      <c r="D5778" s="4">
        <v>449464</v>
      </c>
    </row>
    <row r="5779" spans="1:4" x14ac:dyDescent="0.25">
      <c r="A5779" t="str">
        <f>T("   960390")</f>
        <v xml:space="preserve">   960390</v>
      </c>
      <c r="B5779" t="str">
        <f>T("   AUTRES")</f>
        <v xml:space="preserve">   AUTRES</v>
      </c>
      <c r="C5779" s="4">
        <v>9543</v>
      </c>
      <c r="D5779" s="4">
        <v>29893047</v>
      </c>
    </row>
    <row r="5780" spans="1:4" x14ac:dyDescent="0.25">
      <c r="A5780" t="str">
        <f>T("   960400")</f>
        <v xml:space="preserve">   960400</v>
      </c>
      <c r="B5780" t="str">
        <f>T("   TAMIS ET CRIBLES, A MAIN.")</f>
        <v xml:space="preserve">   TAMIS ET CRIBLES, A MAIN.</v>
      </c>
      <c r="C5780" s="4">
        <v>251</v>
      </c>
      <c r="D5780" s="4">
        <v>4285347</v>
      </c>
    </row>
    <row r="5781" spans="1:4" x14ac:dyDescent="0.25">
      <c r="A5781" t="str">
        <f>T("   960500")</f>
        <v xml:space="preserve">   960500</v>
      </c>
      <c r="B5781" t="str">
        <f>T("   ASSORTIMENTS DE VOYAGE POUR LA TOILETTE DES PERSONNES, LA COUTURE OU LE NETTOYAGE DES C")</f>
        <v xml:space="preserve">   ASSORTIMENTS DE VOYAGE POUR LA TOILETTE DES PERSONNES, LA COUTURE OU LE NETTOYAGE DES C</v>
      </c>
      <c r="C5781" s="4">
        <v>169</v>
      </c>
      <c r="D5781" s="4">
        <v>2035142</v>
      </c>
    </row>
    <row r="5782" spans="1:4" x14ac:dyDescent="0.25">
      <c r="A5782" t="str">
        <f>T("   960629")</f>
        <v xml:space="preserve">   960629</v>
      </c>
      <c r="B5782" t="str">
        <f>T("   AUTRES")</f>
        <v xml:space="preserve">   AUTRES</v>
      </c>
      <c r="C5782" s="4">
        <v>29048</v>
      </c>
      <c r="D5782" s="4">
        <v>27146000</v>
      </c>
    </row>
    <row r="5783" spans="1:4" x14ac:dyDescent="0.25">
      <c r="A5783" t="str">
        <f>T("   960810")</f>
        <v xml:space="preserve">   960810</v>
      </c>
      <c r="B5783" t="str">
        <f>T("   STYLOS ET CRAYONS A BILLE")</f>
        <v xml:space="preserve">   STYLOS ET CRAYONS A BILLE</v>
      </c>
      <c r="C5783" s="4">
        <v>8460.07</v>
      </c>
      <c r="D5783" s="4">
        <v>19009181</v>
      </c>
    </row>
    <row r="5784" spans="1:4" x14ac:dyDescent="0.25">
      <c r="A5784" t="str">
        <f>T("   960820")</f>
        <v xml:space="preserve">   960820</v>
      </c>
      <c r="B5784" t="str">
        <f>T("   STYLOS ET MARQUEURS A MECHE FEUTRE OU A AUTRES POINTES POREUSES")</f>
        <v xml:space="preserve">   STYLOS ET MARQUEURS A MECHE FEUTRE OU A AUTRES POINTES POREUSES</v>
      </c>
      <c r="C5784" s="4">
        <v>80538</v>
      </c>
      <c r="D5784" s="4">
        <v>39018142</v>
      </c>
    </row>
    <row r="5785" spans="1:4" x14ac:dyDescent="0.25">
      <c r="A5785" t="str">
        <f>T("   960839")</f>
        <v xml:space="preserve">   960839</v>
      </c>
      <c r="B5785" t="str">
        <f>T("   AUTRES STYLOS A PLUME ET AUTRES STYLOS")</f>
        <v xml:space="preserve">   AUTRES STYLOS A PLUME ET AUTRES STYLOS</v>
      </c>
      <c r="C5785" s="4">
        <v>3166</v>
      </c>
      <c r="D5785" s="4">
        <v>8295638</v>
      </c>
    </row>
    <row r="5786" spans="1:4" x14ac:dyDescent="0.25">
      <c r="A5786" t="str">
        <f>T("   960840")</f>
        <v xml:space="preserve">   960840</v>
      </c>
      <c r="B5786" t="str">
        <f>T("   PORTEMINE")</f>
        <v xml:space="preserve">   PORTEMINE</v>
      </c>
      <c r="C5786" s="4">
        <v>6.35</v>
      </c>
      <c r="D5786" s="4">
        <v>125682</v>
      </c>
    </row>
    <row r="5787" spans="1:4" x14ac:dyDescent="0.25">
      <c r="A5787" t="str">
        <f>T("   960850")</f>
        <v xml:space="preserve">   960850</v>
      </c>
      <c r="B5787" t="str">
        <f>T("   ASSORTIMENTS D'ARTICLES RELEVANT D'AU MOINS DEUX DES SOUSPOSITIONS PRECITEES")</f>
        <v xml:space="preserve">   ASSORTIMENTS D'ARTICLES RELEVANT D'AU MOINS DEUX DES SOUSPOSITIONS PRECITEES</v>
      </c>
      <c r="C5787" s="4">
        <v>1586</v>
      </c>
      <c r="D5787" s="4">
        <v>2315880</v>
      </c>
    </row>
    <row r="5788" spans="1:4" x14ac:dyDescent="0.25">
      <c r="A5788" t="str">
        <f>T("   960891")</f>
        <v xml:space="preserve">   960891</v>
      </c>
      <c r="B5788" t="str">
        <f>T("   PLUMES A ECRIRE ET BECS POUR PLUMES")</f>
        <v xml:space="preserve">   PLUMES A ECRIRE ET BECS POUR PLUMES</v>
      </c>
      <c r="C5788" s="4">
        <v>188</v>
      </c>
      <c r="D5788" s="4">
        <v>1632029</v>
      </c>
    </row>
    <row r="5789" spans="1:4" x14ac:dyDescent="0.25">
      <c r="A5789" t="str">
        <f>T("   960899")</f>
        <v xml:space="preserve">   960899</v>
      </c>
      <c r="B5789" t="str">
        <f>T("   AUTRES")</f>
        <v xml:space="preserve">   AUTRES</v>
      </c>
      <c r="C5789" s="4">
        <v>33</v>
      </c>
      <c r="D5789" s="4">
        <v>407253</v>
      </c>
    </row>
    <row r="5790" spans="1:4" x14ac:dyDescent="0.25">
      <c r="A5790" t="str">
        <f>T("   960910")</f>
        <v xml:space="preserve">   960910</v>
      </c>
      <c r="B5790" t="str">
        <f>T("   CRAYONS A GAINE")</f>
        <v xml:space="preserve">   CRAYONS A GAINE</v>
      </c>
      <c r="C5790" s="4">
        <v>1075</v>
      </c>
      <c r="D5790" s="4">
        <v>1644426</v>
      </c>
    </row>
    <row r="5791" spans="1:4" x14ac:dyDescent="0.25">
      <c r="A5791" t="str">
        <f>T("   960990")</f>
        <v xml:space="preserve">   960990</v>
      </c>
      <c r="B5791" t="str">
        <f>T("   AUTRES")</f>
        <v xml:space="preserve">   AUTRES</v>
      </c>
      <c r="C5791" s="4">
        <v>396697</v>
      </c>
      <c r="D5791" s="4">
        <v>46512901</v>
      </c>
    </row>
    <row r="5792" spans="1:4" x14ac:dyDescent="0.25">
      <c r="A5792" t="str">
        <f>T("   961000")</f>
        <v xml:space="preserve">   961000</v>
      </c>
      <c r="B5792" t="str">
        <f>T("   ARDOISES ET TABLEAUX POUR L'ECRITURE OU LE DESSIN, MEME ENCADRES.")</f>
        <v xml:space="preserve">   ARDOISES ET TABLEAUX POUR L'ECRITURE OU LE DESSIN, MEME ENCADRES.</v>
      </c>
      <c r="C5792" s="4">
        <v>8320</v>
      </c>
      <c r="D5792" s="4">
        <v>6821339</v>
      </c>
    </row>
    <row r="5793" spans="1:4" x14ac:dyDescent="0.25">
      <c r="A5793" t="str">
        <f>T("   961100")</f>
        <v xml:space="preserve">   961100</v>
      </c>
      <c r="B5793" t="str">
        <f>T("   DATEURS, CACHETS, NUMEROTEURS, TIMBRES ET ARTICLES SIMILAIRES (Y COMPRIS LES APPAREILS")</f>
        <v xml:space="preserve">   DATEURS, CACHETS, NUMEROTEURS, TIMBRES ET ARTICLES SIMILAIRES (Y COMPRIS LES APPAREILS</v>
      </c>
      <c r="C5793" s="4">
        <v>2579.75</v>
      </c>
      <c r="D5793" s="4">
        <v>3622053</v>
      </c>
    </row>
    <row r="5794" spans="1:4" x14ac:dyDescent="0.25">
      <c r="A5794" t="str">
        <f>T("   961210")</f>
        <v xml:space="preserve">   961210</v>
      </c>
      <c r="B5794" t="str">
        <f>T("   Rubans encreurs")</f>
        <v xml:space="preserve">   Rubans encreurs</v>
      </c>
      <c r="C5794" s="4">
        <v>568</v>
      </c>
      <c r="D5794" s="4">
        <v>4951609</v>
      </c>
    </row>
    <row r="5795" spans="1:4" x14ac:dyDescent="0.25">
      <c r="A5795" t="str">
        <f>T("   961390")</f>
        <v xml:space="preserve">   961390</v>
      </c>
      <c r="B5795" t="str">
        <f>T("   PARTIES")</f>
        <v xml:space="preserve">   PARTIES</v>
      </c>
      <c r="C5795" s="4">
        <v>1</v>
      </c>
      <c r="D5795" s="4">
        <v>319400</v>
      </c>
    </row>
    <row r="5796" spans="1:4" x14ac:dyDescent="0.25">
      <c r="A5796" t="str">
        <f>T("   961519")</f>
        <v xml:space="preserve">   961519</v>
      </c>
      <c r="B5796" t="str">
        <f>T("   AUTRES")</f>
        <v xml:space="preserve">   AUTRES</v>
      </c>
      <c r="C5796" s="4">
        <v>4821</v>
      </c>
      <c r="D5796" s="4">
        <v>17508885</v>
      </c>
    </row>
    <row r="5797" spans="1:4" x14ac:dyDescent="0.25">
      <c r="A5797" t="str">
        <f>T("   961590")</f>
        <v xml:space="preserve">   961590</v>
      </c>
      <c r="B5797" t="str">
        <f>T("   AUTRES")</f>
        <v xml:space="preserve">   AUTRES</v>
      </c>
      <c r="C5797" s="4">
        <v>3920</v>
      </c>
      <c r="D5797" s="4">
        <v>1176366</v>
      </c>
    </row>
    <row r="5798" spans="1:4" x14ac:dyDescent="0.25">
      <c r="A5798" t="str">
        <f>T("   961700")</f>
        <v xml:space="preserve">   961700</v>
      </c>
      <c r="B5798" t="str">
        <f>T("   BOUTEILLES ISOLANTES ET AUTRES RECIPIENTS ISOTHERMIQUES MONTES, DONT L'ISOLATION EST AS")</f>
        <v xml:space="preserve">   BOUTEILLES ISOLANTES ET AUTRES RECIPIENTS ISOTHERMIQUES MONTES, DONT L'ISOLATION EST AS</v>
      </c>
      <c r="C5798" s="4">
        <v>1877</v>
      </c>
      <c r="D5798" s="4">
        <v>6802305</v>
      </c>
    </row>
    <row r="5799" spans="1:4" x14ac:dyDescent="0.25">
      <c r="A5799" t="str">
        <f>T("   961800")</f>
        <v xml:space="preserve">   961800</v>
      </c>
      <c r="B5799" t="str">
        <f>T("   MANNEQUINS ET ARTICLES SIMILAIRES; AUTOMATES ET SCENES ANIMEES POUR ETALAGES.")</f>
        <v xml:space="preserve">   MANNEQUINS ET ARTICLES SIMILAIRES; AUTOMATES ET SCENES ANIMEES POUR ETALAGES.</v>
      </c>
      <c r="C5799" s="4">
        <v>16</v>
      </c>
      <c r="D5799" s="4">
        <v>110630</v>
      </c>
    </row>
    <row r="5800" spans="1:4" x14ac:dyDescent="0.25">
      <c r="A5800" t="str">
        <f>T("   970110")</f>
        <v xml:space="preserve">   970110</v>
      </c>
      <c r="B5800" t="str">
        <f>T("   TABLEAUX, PEINTURES ET DESSINS")</f>
        <v xml:space="preserve">   TABLEAUX, PEINTURES ET DESSINS</v>
      </c>
      <c r="C5800" s="4">
        <v>51</v>
      </c>
      <c r="D5800" s="4">
        <v>99706</v>
      </c>
    </row>
    <row r="5801" spans="1:4" x14ac:dyDescent="0.25">
      <c r="A5801" t="str">
        <f>T("   970190")</f>
        <v xml:space="preserve">   970190</v>
      </c>
      <c r="B5801" t="str">
        <f>T("   AUTRES")</f>
        <v xml:space="preserve">   AUTRES</v>
      </c>
      <c r="C5801" s="4">
        <v>1256</v>
      </c>
      <c r="D5801" s="4">
        <v>1954105</v>
      </c>
    </row>
    <row r="5802" spans="1:4" s="5" customFormat="1" x14ac:dyDescent="0.25">
      <c r="A5802" s="5" t="str">
        <f>T("   ZZ_Total_Produit_SH6")</f>
        <v xml:space="preserve">   ZZ_Total_Produit_SH6</v>
      </c>
      <c r="B5802" s="5" t="str">
        <f>T("   ZZ_Total_Produit_SH6")</f>
        <v xml:space="preserve">   ZZ_Total_Produit_SH6</v>
      </c>
      <c r="C5802" s="1">
        <v>158463812.40000001</v>
      </c>
      <c r="D5802" s="1">
        <v>146583403046.51501</v>
      </c>
    </row>
    <row r="5803" spans="1:4" s="5" customFormat="1" x14ac:dyDescent="0.25">
      <c r="B5803" s="5" t="str">
        <f>T("Gabon")</f>
        <v>Gabon</v>
      </c>
      <c r="C5803" s="1"/>
      <c r="D5803" s="1"/>
    </row>
    <row r="5804" spans="1:4" x14ac:dyDescent="0.25">
      <c r="A5804" t="str">
        <f>T("   271011")</f>
        <v xml:space="preserve">   271011</v>
      </c>
      <c r="B5804" t="str">
        <f>T("   HUILLES DE PETROLE OU D'ESSENCE")</f>
        <v xml:space="preserve">   HUILLES DE PETROLE OU D'ESSENCE</v>
      </c>
      <c r="C5804" s="4">
        <v>5193</v>
      </c>
      <c r="D5804" s="4">
        <v>1616800</v>
      </c>
    </row>
    <row r="5805" spans="1:4" x14ac:dyDescent="0.25">
      <c r="A5805" t="str">
        <f>T("   340290")</f>
        <v xml:space="preserve">   340290</v>
      </c>
      <c r="B5805" t="str">
        <f>T("   AUTRES")</f>
        <v xml:space="preserve">   AUTRES</v>
      </c>
      <c r="C5805" s="4">
        <v>6600</v>
      </c>
      <c r="D5805" s="4">
        <v>57669542</v>
      </c>
    </row>
    <row r="5806" spans="1:4" x14ac:dyDescent="0.25">
      <c r="A5806" t="str">
        <f>T("   440799")</f>
        <v xml:space="preserve">   440799</v>
      </c>
      <c r="B5806" t="str">
        <f>T("   AUTRES")</f>
        <v xml:space="preserve">   AUTRES</v>
      </c>
      <c r="C5806" s="4">
        <v>1500</v>
      </c>
      <c r="D5806" s="4">
        <v>886000</v>
      </c>
    </row>
    <row r="5807" spans="1:4" x14ac:dyDescent="0.25">
      <c r="A5807" t="str">
        <f>T("   482010")</f>
        <v xml:space="preserve">   482010</v>
      </c>
      <c r="B5807" t="str">
        <f>T("   REGISTRES, LIVRES COMPTABLES, CARNETS (DE NOTES, DE COMMANDES, DE QUITTANCES), BLOCS")</f>
        <v xml:space="preserve">   REGISTRES, LIVRES COMPTABLES, CARNETS (DE NOTES, DE COMMANDES, DE QUITTANCES), BLOCS</v>
      </c>
      <c r="C5807" s="4">
        <v>208</v>
      </c>
      <c r="D5807" s="4">
        <v>1650000</v>
      </c>
    </row>
    <row r="5808" spans="1:4" x14ac:dyDescent="0.25">
      <c r="A5808" t="str">
        <f>T("   560110")</f>
        <v xml:space="preserve">   560110</v>
      </c>
      <c r="B5808" t="str">
        <f>T("   SERVIETTES,TAMPONS HYGIENIQUES,COUCHES BEBES,ARTICLES D'HYGIENE EN OUATES")</f>
        <v xml:space="preserve">   SERVIETTES,TAMPONS HYGIENIQUES,COUCHES BEBES,ARTICLES D'HYGIENE EN OUATES</v>
      </c>
      <c r="C5808" s="4">
        <v>1065</v>
      </c>
      <c r="D5808" s="4">
        <v>175000</v>
      </c>
    </row>
    <row r="5809" spans="1:4" x14ac:dyDescent="0.25">
      <c r="A5809" t="str">
        <f>T("   620590")</f>
        <v xml:space="preserve">   620590</v>
      </c>
      <c r="B5809" t="str">
        <f>T("   D'AUTRES MATIERES TEXTILES")</f>
        <v xml:space="preserve">   D'AUTRES MATIERES TEXTILES</v>
      </c>
      <c r="C5809" s="4">
        <v>1000</v>
      </c>
      <c r="D5809" s="4">
        <v>1309230</v>
      </c>
    </row>
    <row r="5810" spans="1:4" x14ac:dyDescent="0.25">
      <c r="A5810" t="str">
        <f>T("   621040")</f>
        <v xml:space="preserve">   621040</v>
      </c>
      <c r="B5810" t="str">
        <f>T("   AUTRES VETEMENTS POUR HOMMES OU GARCONNETS")</f>
        <v xml:space="preserve">   AUTRES VETEMENTS POUR HOMMES OU GARCONNETS</v>
      </c>
      <c r="C5810" s="4">
        <v>270</v>
      </c>
      <c r="D5810" s="4">
        <v>61387</v>
      </c>
    </row>
    <row r="5811" spans="1:4" x14ac:dyDescent="0.25">
      <c r="A5811" t="str">
        <f>T("   621139")</f>
        <v xml:space="preserve">   621139</v>
      </c>
      <c r="B5811" t="str">
        <f>T("   D'AUTRES MATIERES TEXTILES")</f>
        <v xml:space="preserve">   D'AUTRES MATIERES TEXTILES</v>
      </c>
      <c r="C5811" s="4">
        <v>272</v>
      </c>
      <c r="D5811" s="4">
        <v>320000</v>
      </c>
    </row>
    <row r="5812" spans="1:4" x14ac:dyDescent="0.25">
      <c r="A5812" t="str">
        <f>T("   691200")</f>
        <v xml:space="preserve">   691200</v>
      </c>
      <c r="B5812" t="str">
        <f>T("   VAISSELLE, AUTRES ARTICLES DE MENAGE OU D'ECONOMIE DOMESTIQUE ET ARTICLES D'HYGIENE OU")</f>
        <v xml:space="preserve">   VAISSELLE, AUTRES ARTICLES DE MENAGE OU D'ECONOMIE DOMESTIQUE ET ARTICLES D'HYGIENE OU</v>
      </c>
      <c r="C5812" s="4">
        <v>2500</v>
      </c>
      <c r="D5812" s="4">
        <v>150000</v>
      </c>
    </row>
    <row r="5813" spans="1:4" x14ac:dyDescent="0.25">
      <c r="A5813" t="str">
        <f>T("   730799")</f>
        <v xml:space="preserve">   730799</v>
      </c>
      <c r="B5813" t="str">
        <f>T("   AUTRES")</f>
        <v xml:space="preserve">   AUTRES</v>
      </c>
      <c r="C5813" s="4">
        <v>2000</v>
      </c>
      <c r="D5813" s="4">
        <v>6581687</v>
      </c>
    </row>
    <row r="5814" spans="1:4" x14ac:dyDescent="0.25">
      <c r="A5814" t="str">
        <f>T("   731029")</f>
        <v xml:space="preserve">   731029</v>
      </c>
      <c r="B5814" t="str">
        <f>T("   AUTRES")</f>
        <v xml:space="preserve">   AUTRES</v>
      </c>
      <c r="C5814" s="4">
        <v>841660</v>
      </c>
      <c r="D5814" s="4">
        <v>1023482981</v>
      </c>
    </row>
    <row r="5815" spans="1:4" x14ac:dyDescent="0.25">
      <c r="A5815" t="str">
        <f>T("   732394")</f>
        <v xml:space="preserve">   732394</v>
      </c>
      <c r="B5815" t="str">
        <f>T("   EN FER OU EN ACIER, EMAILLES")</f>
        <v xml:space="preserve">   EN FER OU EN ACIER, EMAILLES</v>
      </c>
      <c r="C5815" s="4">
        <v>850</v>
      </c>
      <c r="D5815" s="4">
        <v>965538</v>
      </c>
    </row>
    <row r="5816" spans="1:4" x14ac:dyDescent="0.25">
      <c r="A5816" t="str">
        <f>T("   732399")</f>
        <v xml:space="preserve">   732399</v>
      </c>
      <c r="B5816" t="str">
        <f>T("   AUTRES")</f>
        <v xml:space="preserve">   AUTRES</v>
      </c>
      <c r="C5816" s="4">
        <v>35</v>
      </c>
      <c r="D5816" s="4">
        <v>135000</v>
      </c>
    </row>
    <row r="5817" spans="1:4" x14ac:dyDescent="0.25">
      <c r="A5817" t="str">
        <f>T("   732619")</f>
        <v xml:space="preserve">   732619</v>
      </c>
      <c r="B5817" t="str">
        <f>T("   AUTRES")</f>
        <v xml:space="preserve">   AUTRES</v>
      </c>
      <c r="C5817" s="4">
        <v>41005</v>
      </c>
      <c r="D5817" s="4">
        <v>785907924</v>
      </c>
    </row>
    <row r="5818" spans="1:4" x14ac:dyDescent="0.25">
      <c r="A5818" t="str">
        <f>T("   732690")</f>
        <v xml:space="preserve">   732690</v>
      </c>
      <c r="B5818" t="str">
        <f>T("   AUTRES")</f>
        <v xml:space="preserve">   AUTRES</v>
      </c>
      <c r="C5818" s="4">
        <v>1000</v>
      </c>
      <c r="D5818" s="4">
        <v>260000</v>
      </c>
    </row>
    <row r="5819" spans="1:4" x14ac:dyDescent="0.25">
      <c r="A5819" t="str">
        <f>T("   820559")</f>
        <v xml:space="preserve">   820559</v>
      </c>
      <c r="B5819" t="str">
        <f>T("   AUTRES")</f>
        <v xml:space="preserve">   AUTRES</v>
      </c>
      <c r="C5819" s="4">
        <v>390</v>
      </c>
      <c r="D5819" s="4">
        <v>83387244</v>
      </c>
    </row>
    <row r="5820" spans="1:4" x14ac:dyDescent="0.25">
      <c r="A5820" t="str">
        <f>T("   820719")</f>
        <v xml:space="preserve">   820719</v>
      </c>
      <c r="B5820" t="str">
        <f>T("   AUTRES, Y COMPRIS LES PARTIES")</f>
        <v xml:space="preserve">   AUTRES, Y COMPRIS LES PARTIES</v>
      </c>
      <c r="C5820" s="4">
        <v>710</v>
      </c>
      <c r="D5820" s="4">
        <v>15033970</v>
      </c>
    </row>
    <row r="5821" spans="1:4" x14ac:dyDescent="0.25">
      <c r="A5821" t="str">
        <f>T("   841430")</f>
        <v xml:space="preserve">   841430</v>
      </c>
      <c r="B5821" t="str">
        <f>T("   COMPRESSEURS DES TYPES UTILISES DANS LES EQUIPEMENTS FRIGORIFIQUES")</f>
        <v xml:space="preserve">   COMPRESSEURS DES TYPES UTILISES DANS LES EQUIPEMENTS FRIGORIFIQUES</v>
      </c>
      <c r="C5821" s="4">
        <v>4760</v>
      </c>
      <c r="D5821" s="4">
        <v>121194359</v>
      </c>
    </row>
    <row r="5822" spans="1:4" x14ac:dyDescent="0.25">
      <c r="A5822" t="str">
        <f>T("   842121")</f>
        <v xml:space="preserve">   842121</v>
      </c>
      <c r="B5822" t="str">
        <f>T("   POUR LA FILTRATION OU L'EPURATION DES EAUX")</f>
        <v xml:space="preserve">   POUR LA FILTRATION OU L'EPURATION DES EAUX</v>
      </c>
      <c r="C5822" s="4">
        <v>15500</v>
      </c>
      <c r="D5822" s="4">
        <v>382156921</v>
      </c>
    </row>
    <row r="5823" spans="1:4" x14ac:dyDescent="0.25">
      <c r="A5823" t="str">
        <f>T("   842549")</f>
        <v xml:space="preserve">   842549</v>
      </c>
      <c r="B5823" t="str">
        <f>T("   AUTRES")</f>
        <v xml:space="preserve">   AUTRES</v>
      </c>
      <c r="C5823" s="4">
        <v>25000</v>
      </c>
      <c r="D5823" s="4">
        <v>89156743</v>
      </c>
    </row>
    <row r="5824" spans="1:4" x14ac:dyDescent="0.25">
      <c r="A5824" t="str">
        <f>T("   842940")</f>
        <v xml:space="preserve">   842940</v>
      </c>
      <c r="B5824" t="str">
        <f>T("   COMPACTEUSES ET ROULEAUX COMPRESSEURS")</f>
        <v xml:space="preserve">   COMPACTEUSES ET ROULEAUX COMPRESSEURS</v>
      </c>
      <c r="C5824" s="4">
        <v>21000</v>
      </c>
      <c r="D5824" s="4">
        <v>19699189</v>
      </c>
    </row>
    <row r="5825" spans="1:4" x14ac:dyDescent="0.25">
      <c r="A5825" t="str">
        <f>T("   842952")</f>
        <v xml:space="preserve">   842952</v>
      </c>
      <c r="B5825" t="str">
        <f>T("   ENGINS DONT LA SUPERSTRUCTURE PEUT EFFECTUER UNE ROTATION DE 360°")</f>
        <v xml:space="preserve">   ENGINS DONT LA SUPERSTRUCTURE PEUT EFFECTUER UNE ROTATION DE 360°</v>
      </c>
      <c r="C5825" s="4">
        <v>12000</v>
      </c>
      <c r="D5825" s="4">
        <v>20286190</v>
      </c>
    </row>
    <row r="5826" spans="1:4" x14ac:dyDescent="0.25">
      <c r="A5826" t="str">
        <f>T("   843143")</f>
        <v xml:space="preserve">   843143</v>
      </c>
      <c r="B5826" t="str">
        <f>T("   PARTIES DE MACHINES DE SONDAGE OU DE FORAGE DES N°S 8430.41 OU 8430.49")</f>
        <v xml:space="preserve">   PARTIES DE MACHINES DE SONDAGE OU DE FORAGE DES N°S 8430.41 OU 8430.49</v>
      </c>
      <c r="C5826" s="4">
        <v>2318420</v>
      </c>
      <c r="D5826" s="4">
        <v>12492940410</v>
      </c>
    </row>
    <row r="5827" spans="1:4" x14ac:dyDescent="0.25">
      <c r="A5827" t="str">
        <f>T("   846190")</f>
        <v xml:space="preserve">   846190</v>
      </c>
      <c r="B5827" t="str">
        <f>T("   AUTRES")</f>
        <v xml:space="preserve">   AUTRES</v>
      </c>
      <c r="C5827" s="4">
        <v>18800</v>
      </c>
      <c r="D5827" s="4">
        <v>72477852</v>
      </c>
    </row>
    <row r="5828" spans="1:4" x14ac:dyDescent="0.25">
      <c r="A5828" t="str">
        <f>T("   846693")</f>
        <v xml:space="preserve">   846693</v>
      </c>
      <c r="B5828" t="str">
        <f>T("   POUR MACHINES DES N°S 84.56 A 84.61")</f>
        <v xml:space="preserve">   POUR MACHINES DES N°S 84.56 A 84.61</v>
      </c>
      <c r="C5828" s="4">
        <v>1309</v>
      </c>
      <c r="D5828" s="4">
        <v>1606446</v>
      </c>
    </row>
    <row r="5829" spans="1:4" x14ac:dyDescent="0.25">
      <c r="A5829" t="str">
        <f>T("   847480")</f>
        <v xml:space="preserve">   847480</v>
      </c>
      <c r="B5829" t="str">
        <f>T("   AUTRES MACHINES ET APPAREILS")</f>
        <v xml:space="preserve">   AUTRES MACHINES ET APPAREILS</v>
      </c>
      <c r="C5829" s="4">
        <v>26900</v>
      </c>
      <c r="D5829" s="4">
        <v>7200000</v>
      </c>
    </row>
    <row r="5830" spans="1:4" x14ac:dyDescent="0.25">
      <c r="A5830" t="str">
        <f>T("   850511")</f>
        <v xml:space="preserve">   850511</v>
      </c>
      <c r="B5830" t="str">
        <f>T("   EN METAL")</f>
        <v xml:space="preserve">   EN METAL</v>
      </c>
      <c r="C5830" s="4">
        <v>77</v>
      </c>
      <c r="D5830" s="4">
        <v>1685343</v>
      </c>
    </row>
    <row r="5831" spans="1:4" x14ac:dyDescent="0.25">
      <c r="A5831" t="str">
        <f>T("   851762")</f>
        <v xml:space="preserve">   851762</v>
      </c>
      <c r="B5831" t="str">
        <f>T("   APPAREILS POUR LA RECEPTION, LA CONVERSION ET L'EMISSION, LA TRANSMISSION OU LA REGE")</f>
        <v xml:space="preserve">   APPAREILS POUR LA RECEPTION, LA CONVERSION ET L'EMISSION, LA TRANSMISSION OU LA REGE</v>
      </c>
      <c r="C5831" s="4">
        <v>6.8</v>
      </c>
      <c r="D5831" s="4">
        <v>2203190</v>
      </c>
    </row>
    <row r="5832" spans="1:4" x14ac:dyDescent="0.25">
      <c r="A5832" t="str">
        <f>T("   851770")</f>
        <v xml:space="preserve">   851770</v>
      </c>
      <c r="B5832" t="str">
        <f>T("   PARTIES")</f>
        <v xml:space="preserve">   PARTIES</v>
      </c>
      <c r="C5832" s="4">
        <v>25909</v>
      </c>
      <c r="D5832" s="4">
        <v>409018577</v>
      </c>
    </row>
    <row r="5833" spans="1:4" x14ac:dyDescent="0.25">
      <c r="A5833" t="str">
        <f>T("   860900")</f>
        <v xml:space="preserve">   860900</v>
      </c>
      <c r="B5833" t="str">
        <f>T("   CADRES ET CONTENEURS (Y COMPRIS LES CONTENEURSCITERNES ET LES CONTENEURSRESERVOIRS) S")</f>
        <v xml:space="preserve">   CADRES ET CONTENEURS (Y COMPRIS LES CONTENEURSCITERNES ET LES CONTENEURSRESERVOIRS) S</v>
      </c>
      <c r="C5833" s="4">
        <v>122742</v>
      </c>
      <c r="D5833" s="4">
        <v>408521941</v>
      </c>
    </row>
    <row r="5834" spans="1:4" x14ac:dyDescent="0.25">
      <c r="A5834" t="str">
        <f>T("   870322")</f>
        <v xml:space="preserve">   870322</v>
      </c>
      <c r="B5834" t="str">
        <f>T("   D’UNE CYLINDREE EXCEDANT 1.000 CM³ MAIS N’EXCEDANT PAS 1.500 CM³")</f>
        <v xml:space="preserve">   D’UNE CYLINDREE EXCEDANT 1.000 CM³ MAIS N’EXCEDANT PAS 1.500 CM³</v>
      </c>
      <c r="C5834" s="4">
        <v>1960</v>
      </c>
      <c r="D5834" s="4">
        <v>8399000</v>
      </c>
    </row>
    <row r="5835" spans="1:4" x14ac:dyDescent="0.25">
      <c r="A5835" t="str">
        <f>T("   870323")</f>
        <v xml:space="preserve">   870323</v>
      </c>
      <c r="B5835" t="str">
        <f>T("   D’UNE CYLINDREE EXCEDANT 1.500 CM³ MAIS N’EXCEDANT PAS 3.000 CM³")</f>
        <v xml:space="preserve">   D’UNE CYLINDREE EXCEDANT 1.500 CM³ MAIS N’EXCEDANT PAS 3.000 CM³</v>
      </c>
      <c r="C5835" s="4">
        <v>9235</v>
      </c>
      <c r="D5835" s="4">
        <v>46355923</v>
      </c>
    </row>
    <row r="5836" spans="1:4" x14ac:dyDescent="0.25">
      <c r="A5836" t="str">
        <f>T("   870333")</f>
        <v xml:space="preserve">   870333</v>
      </c>
      <c r="B5836" t="str">
        <f>T("   D'UNE CYLINDREE EXCEDANT 2.500 CM³")</f>
        <v xml:space="preserve">   D'UNE CYLINDREE EXCEDANT 2.500 CM³</v>
      </c>
      <c r="C5836" s="4">
        <v>1500</v>
      </c>
      <c r="D5836" s="4">
        <v>12410934</v>
      </c>
    </row>
    <row r="5837" spans="1:4" x14ac:dyDescent="0.25">
      <c r="A5837" t="str">
        <f>T("   870520")</f>
        <v xml:space="preserve">   870520</v>
      </c>
      <c r="B5837" t="str">
        <f>T("   Derricks automobiles pour le sondage ou le forage")</f>
        <v xml:space="preserve">   Derricks automobiles pour le sondage ou le forage</v>
      </c>
      <c r="C5837" s="4">
        <v>24000</v>
      </c>
      <c r="D5837" s="4">
        <v>3034494</v>
      </c>
    </row>
    <row r="5838" spans="1:4" x14ac:dyDescent="0.25">
      <c r="A5838" t="str">
        <f>T("   880211")</f>
        <v xml:space="preserve">   880211</v>
      </c>
      <c r="B5838" t="str">
        <f>T("   D'UN POIDS A VIDE N'EXCEDANT PAS 2.000 KG")</f>
        <v xml:space="preserve">   D'UN POIDS A VIDE N'EXCEDANT PAS 2.000 KG</v>
      </c>
      <c r="C5838" s="4">
        <v>350</v>
      </c>
      <c r="D5838" s="4">
        <v>11243595860</v>
      </c>
    </row>
    <row r="5839" spans="1:4" x14ac:dyDescent="0.25">
      <c r="A5839" t="str">
        <f>T("   880330")</f>
        <v xml:space="preserve">   880330</v>
      </c>
      <c r="B5839" t="str">
        <f>T("   AUTRES PARTIES D'AVIONS OU D'HELICOPTERES")</f>
        <v xml:space="preserve">   AUTRES PARTIES D'AVIONS OU D'HELICOPTERES</v>
      </c>
      <c r="C5839" s="4">
        <v>159.4</v>
      </c>
      <c r="D5839" s="4">
        <v>41408978</v>
      </c>
    </row>
    <row r="5840" spans="1:4" x14ac:dyDescent="0.25">
      <c r="A5840" t="str">
        <f>T("   901590")</f>
        <v xml:space="preserve">   901590</v>
      </c>
      <c r="B5840" t="str">
        <f>T("   PARTIES ET ACCESSOIRES")</f>
        <v xml:space="preserve">   PARTIES ET ACCESSOIRES</v>
      </c>
      <c r="C5840" s="4">
        <v>86000</v>
      </c>
      <c r="D5840" s="4">
        <v>1386941089</v>
      </c>
    </row>
    <row r="5841" spans="1:4" x14ac:dyDescent="0.25">
      <c r="A5841" t="str">
        <f>T("   902620")</f>
        <v xml:space="preserve">   902620</v>
      </c>
      <c r="B5841" t="str">
        <f>T("   POUR LA MESURE OU LE CONTROLE DE LA PRESSION")</f>
        <v xml:space="preserve">   POUR LA MESURE OU LE CONTROLE DE LA PRESSION</v>
      </c>
      <c r="C5841" s="4">
        <v>10.4</v>
      </c>
      <c r="D5841" s="4">
        <v>780267</v>
      </c>
    </row>
    <row r="5842" spans="1:4" x14ac:dyDescent="0.25">
      <c r="A5842" t="str">
        <f>T("   903031")</f>
        <v xml:space="preserve">   903031</v>
      </c>
      <c r="B5842" t="str">
        <f>T("   MULTIMETRES, SANS DISPOSITIF ENREGISTREUR")</f>
        <v xml:space="preserve">   MULTIMETRES, SANS DISPOSITIF ENREGISTREUR</v>
      </c>
      <c r="C5842" s="4">
        <v>2</v>
      </c>
      <c r="D5842" s="4">
        <v>1195946</v>
      </c>
    </row>
    <row r="5843" spans="1:4" x14ac:dyDescent="0.25">
      <c r="A5843" t="str">
        <f>T("   903089")</f>
        <v xml:space="preserve">   903089</v>
      </c>
      <c r="B5843" t="str">
        <f>T("   AUTRES")</f>
        <v xml:space="preserve">   AUTRES</v>
      </c>
      <c r="C5843" s="4">
        <v>50100</v>
      </c>
      <c r="D5843" s="4">
        <v>1881777020</v>
      </c>
    </row>
    <row r="5844" spans="1:4" x14ac:dyDescent="0.25">
      <c r="A5844" t="str">
        <f>T("   903180")</f>
        <v xml:space="preserve">   903180</v>
      </c>
      <c r="B5844" t="str">
        <f>T("   AUTRES INSTRUMENTS, APPAREILS ET MACHINES")</f>
        <v xml:space="preserve">   AUTRES INSTRUMENTS, APPAREILS ET MACHINES</v>
      </c>
      <c r="C5844" s="4">
        <v>60</v>
      </c>
      <c r="D5844" s="4">
        <v>13045074</v>
      </c>
    </row>
    <row r="5845" spans="1:4" x14ac:dyDescent="0.25">
      <c r="A5845" t="str">
        <f>T("   940350")</f>
        <v xml:space="preserve">   940350</v>
      </c>
      <c r="B5845" t="str">
        <f>T("   MEUBLES EN BOIS DES TYPES UTILISES DANS LES CHAMBRES A COUCHER")</f>
        <v xml:space="preserve">   MEUBLES EN BOIS DES TYPES UTILISES DANS LES CHAMBRES A COUCHER</v>
      </c>
      <c r="C5845" s="4">
        <v>2650</v>
      </c>
      <c r="D5845" s="4">
        <v>2662152</v>
      </c>
    </row>
    <row r="5846" spans="1:4" x14ac:dyDescent="0.25">
      <c r="A5846" t="str">
        <f>T("   940389")</f>
        <v xml:space="preserve">   940389</v>
      </c>
      <c r="B5846" t="str">
        <f>T("   AUTRES")</f>
        <v xml:space="preserve">   AUTRES</v>
      </c>
      <c r="C5846" s="4">
        <v>4400</v>
      </c>
      <c r="D5846" s="4">
        <v>3000000</v>
      </c>
    </row>
    <row r="5847" spans="1:4" s="5" customFormat="1" x14ac:dyDescent="0.25">
      <c r="A5847" s="5" t="str">
        <f>T("   ZZ_Total_Produit_SH6")</f>
        <v xml:space="preserve">   ZZ_Total_Produit_SH6</v>
      </c>
      <c r="B5847" s="5" t="str">
        <f>T("   ZZ_Total_Produit_SH6")</f>
        <v xml:space="preserve">   ZZ_Total_Produit_SH6</v>
      </c>
      <c r="C5847" s="1">
        <v>3679108.6</v>
      </c>
      <c r="D5847" s="1">
        <v>30652346201</v>
      </c>
    </row>
    <row r="5848" spans="1:4" s="5" customFormat="1" x14ac:dyDescent="0.25">
      <c r="B5848" s="5" t="str">
        <f>T("Royaume-Uni")</f>
        <v>Royaume-Uni</v>
      </c>
      <c r="C5848" s="1"/>
      <c r="D5848" s="1"/>
    </row>
    <row r="5849" spans="1:4" x14ac:dyDescent="0.25">
      <c r="A5849" t="str">
        <f>T("   020712")</f>
        <v xml:space="preserve">   020712</v>
      </c>
      <c r="B5849" t="str">
        <f>T("   NON DECOUPES EN MORCEAUX, CONGELES")</f>
        <v xml:space="preserve">   NON DECOUPES EN MORCEAUX, CONGELES</v>
      </c>
      <c r="C5849" s="4">
        <v>246598</v>
      </c>
      <c r="D5849" s="4">
        <v>153621396</v>
      </c>
    </row>
    <row r="5850" spans="1:4" x14ac:dyDescent="0.25">
      <c r="A5850" t="str">
        <f>T("   020714")</f>
        <v xml:space="preserve">   020714</v>
      </c>
      <c r="B5850" t="str">
        <f>T("   MORCEAUX ET ABATS, CONGELES")</f>
        <v xml:space="preserve">   MORCEAUX ET ABATS, CONGELES</v>
      </c>
      <c r="C5850" s="4">
        <v>13463022</v>
      </c>
      <c r="D5850" s="4">
        <v>8423785990</v>
      </c>
    </row>
    <row r="5851" spans="1:4" x14ac:dyDescent="0.25">
      <c r="A5851" t="str">
        <f>T("   020727")</f>
        <v xml:space="preserve">   020727</v>
      </c>
      <c r="B5851" t="str">
        <f>T("   MORCEAUX ET ABATS, CONGELES")</f>
        <v xml:space="preserve">   MORCEAUX ET ABATS, CONGELES</v>
      </c>
      <c r="C5851" s="4">
        <v>301600</v>
      </c>
      <c r="D5851" s="4">
        <v>186600451</v>
      </c>
    </row>
    <row r="5852" spans="1:4" x14ac:dyDescent="0.25">
      <c r="A5852" t="str">
        <f>T("   030219")</f>
        <v xml:space="preserve">   030219</v>
      </c>
      <c r="B5852" t="str">
        <f>T("   AUTRES")</f>
        <v xml:space="preserve">   AUTRES</v>
      </c>
      <c r="C5852" s="4">
        <v>1622770</v>
      </c>
      <c r="D5852" s="4">
        <v>649108000</v>
      </c>
    </row>
    <row r="5853" spans="1:4" x14ac:dyDescent="0.25">
      <c r="A5853" t="str">
        <f>T("   030269")</f>
        <v xml:space="preserve">   030269</v>
      </c>
      <c r="B5853" t="str">
        <f>T("   Autres poissons entiers,frais ou refrigeres.(foies,oeufs laitances exclus)")</f>
        <v xml:space="preserve">   Autres poissons entiers,frais ou refrigeres.(foies,oeufs laitances exclus)</v>
      </c>
      <c r="C5853" s="4">
        <v>3019793</v>
      </c>
      <c r="D5853" s="4">
        <v>1207917200</v>
      </c>
    </row>
    <row r="5854" spans="1:4" x14ac:dyDescent="0.25">
      <c r="A5854" t="str">
        <f>T("   030379")</f>
        <v xml:space="preserve">   030379</v>
      </c>
      <c r="B5854" t="str">
        <f>T("   AUTRES POISSONS ENTIERS CONGELES.(FOIES,OEUFS,LAITANCES EXCLUS)")</f>
        <v xml:space="preserve">   AUTRES POISSONS ENTIERS CONGELES.(FOIES,OEUFS,LAITANCES EXCLUS)</v>
      </c>
      <c r="C5854" s="4">
        <v>5425350</v>
      </c>
      <c r="D5854" s="4">
        <v>2040910941</v>
      </c>
    </row>
    <row r="5855" spans="1:4" x14ac:dyDescent="0.25">
      <c r="A5855" t="str">
        <f>T("   040210")</f>
        <v xml:space="preserve">   040210</v>
      </c>
      <c r="B5855" t="str">
        <f>T("   EN POUDRE, EN GRANULES OU SOUS D’AUTRES FORMES SOLIDES, D’UNE TENEUR EN POIDS DE MATI")</f>
        <v xml:space="preserve">   EN POUDRE, EN GRANULES OU SOUS D’AUTRES FORMES SOLIDES, D’UNE TENEUR EN POIDS DE MATI</v>
      </c>
      <c r="C5855" s="4">
        <v>25000</v>
      </c>
      <c r="D5855" s="4">
        <v>23323615</v>
      </c>
    </row>
    <row r="5856" spans="1:4" x14ac:dyDescent="0.25">
      <c r="A5856" t="str">
        <f>T("   040221")</f>
        <v xml:space="preserve">   040221</v>
      </c>
      <c r="B5856" t="str">
        <f>T("   SANS ADDITION DE SUCRE OU D'AUTRES EDULCORANTS")</f>
        <v xml:space="preserve">   SANS ADDITION DE SUCRE OU D'AUTRES EDULCORANTS</v>
      </c>
      <c r="C5856" s="4">
        <v>49850</v>
      </c>
      <c r="D5856" s="4">
        <v>104958848</v>
      </c>
    </row>
    <row r="5857" spans="1:4" x14ac:dyDescent="0.25">
      <c r="A5857" t="str">
        <f>T("   040229")</f>
        <v xml:space="preserve">   040229</v>
      </c>
      <c r="B5857" t="str">
        <f>T("   AUTRES")</f>
        <v xml:space="preserve">   AUTRES</v>
      </c>
      <c r="C5857" s="4">
        <v>16456</v>
      </c>
      <c r="D5857" s="4">
        <v>35114707</v>
      </c>
    </row>
    <row r="5858" spans="1:4" x14ac:dyDescent="0.25">
      <c r="A5858" t="str">
        <f>T("   040299")</f>
        <v xml:space="preserve">   040299</v>
      </c>
      <c r="B5858" t="str">
        <f>T("   AUTRES")</f>
        <v xml:space="preserve">   AUTRES</v>
      </c>
      <c r="C5858" s="4">
        <v>25000</v>
      </c>
      <c r="D5858" s="4">
        <v>18967739</v>
      </c>
    </row>
    <row r="5859" spans="1:4" x14ac:dyDescent="0.25">
      <c r="A5859" t="str">
        <f>T("   040510")</f>
        <v xml:space="preserve">   040510</v>
      </c>
      <c r="B5859" t="str">
        <f>T("   BEURRE")</f>
        <v xml:space="preserve">   BEURRE</v>
      </c>
      <c r="C5859" s="4">
        <v>18566</v>
      </c>
      <c r="D5859" s="4">
        <v>21701295</v>
      </c>
    </row>
    <row r="5860" spans="1:4" x14ac:dyDescent="0.25">
      <c r="A5860" t="str">
        <f>T("   040900")</f>
        <v xml:space="preserve">   040900</v>
      </c>
      <c r="B5860" t="str">
        <f>T("   MIEL NATUREL.")</f>
        <v xml:space="preserve">   MIEL NATUREL.</v>
      </c>
      <c r="C5860" s="4">
        <v>4393</v>
      </c>
      <c r="D5860" s="4">
        <v>2281391</v>
      </c>
    </row>
    <row r="5861" spans="1:4" x14ac:dyDescent="0.25">
      <c r="A5861" t="str">
        <f>T("   050400")</f>
        <v xml:space="preserve">   050400</v>
      </c>
      <c r="B5861" t="str">
        <f>T("   BOYAUX, VESSIES ET ESTOMACS D'ANIMAUX, ENTIERS OU EN MORCEAUX, AUTRES QUE CEUX DE POISS")</f>
        <v xml:space="preserve">   BOYAUX, VESSIES ET ESTOMACS D'ANIMAUX, ENTIERS OU EN MORCEAUX, AUTRES QUE CEUX DE POISS</v>
      </c>
      <c r="C5861" s="4">
        <v>100800</v>
      </c>
      <c r="D5861" s="4">
        <v>108000214</v>
      </c>
    </row>
    <row r="5862" spans="1:4" x14ac:dyDescent="0.25">
      <c r="A5862" t="str">
        <f>T("   071390")</f>
        <v xml:space="preserve">   071390</v>
      </c>
      <c r="B5862" t="str">
        <f>T("   AUTRES")</f>
        <v xml:space="preserve">   AUTRES</v>
      </c>
      <c r="C5862" s="4">
        <v>3612</v>
      </c>
      <c r="D5862" s="4">
        <v>2112768</v>
      </c>
    </row>
    <row r="5863" spans="1:4" x14ac:dyDescent="0.25">
      <c r="A5863" t="str">
        <f>T("   080410")</f>
        <v xml:space="preserve">   080410</v>
      </c>
      <c r="B5863" t="str">
        <f>T("   DATTES")</f>
        <v xml:space="preserve">   DATTES</v>
      </c>
      <c r="C5863" s="4">
        <v>434</v>
      </c>
      <c r="D5863" s="4">
        <v>263523</v>
      </c>
    </row>
    <row r="5864" spans="1:4" x14ac:dyDescent="0.25">
      <c r="A5864" t="str">
        <f>T("   080610")</f>
        <v xml:space="preserve">   080610</v>
      </c>
      <c r="B5864" t="str">
        <f>T("   FRAIS")</f>
        <v xml:space="preserve">   FRAIS</v>
      </c>
      <c r="C5864" s="4">
        <v>35856</v>
      </c>
      <c r="D5864" s="4">
        <v>6483602</v>
      </c>
    </row>
    <row r="5865" spans="1:4" x14ac:dyDescent="0.25">
      <c r="A5865" t="str">
        <f>T("   090121")</f>
        <v xml:space="preserve">   090121</v>
      </c>
      <c r="B5865" t="str">
        <f>T("   NON DECAFEINE")</f>
        <v xml:space="preserve">   NON DECAFEINE</v>
      </c>
      <c r="C5865" s="4">
        <v>1983</v>
      </c>
      <c r="D5865" s="4">
        <v>1034206</v>
      </c>
    </row>
    <row r="5866" spans="1:4" x14ac:dyDescent="0.25">
      <c r="A5866" t="str">
        <f>T("   090210")</f>
        <v xml:space="preserve">   090210</v>
      </c>
      <c r="B5866" t="str">
        <f>T("   THE VERT (NON FERMENTE) PRESENTE EN EMBALLAGES IMMEDIATS D'UN CONTENU N'EXCEDANT PAS")</f>
        <v xml:space="preserve">   THE VERT (NON FERMENTE) PRESENTE EN EMBALLAGES IMMEDIATS D'UN CONTENU N'EXCEDANT PAS</v>
      </c>
      <c r="C5866" s="4">
        <v>779</v>
      </c>
      <c r="D5866" s="4">
        <v>404626</v>
      </c>
    </row>
    <row r="5867" spans="1:4" x14ac:dyDescent="0.25">
      <c r="A5867" t="str">
        <f>T("   090220")</f>
        <v xml:space="preserve">   090220</v>
      </c>
      <c r="B5867" t="str">
        <f>T("   THE VERT (NON FERMENTE) PRESENTE AUTREMENT")</f>
        <v xml:space="preserve">   THE VERT (NON FERMENTE) PRESENTE AUTREMENT</v>
      </c>
      <c r="C5867" s="4">
        <v>1865</v>
      </c>
      <c r="D5867" s="4">
        <v>646376</v>
      </c>
    </row>
    <row r="5868" spans="1:4" x14ac:dyDescent="0.25">
      <c r="A5868" t="str">
        <f>T("   090240")</f>
        <v xml:space="preserve">   090240</v>
      </c>
      <c r="B5868" t="str">
        <f>T("   THE NOIR (FERMENTE) ET THE PARTIELLEMENT FERMENTE, PRESENTES AUTREMENT")</f>
        <v xml:space="preserve">   THE NOIR (FERMENTE) ET THE PARTIELLEMENT FERMENTE, PRESENTES AUTREMENT</v>
      </c>
      <c r="C5868" s="4">
        <v>1389</v>
      </c>
      <c r="D5868" s="4">
        <v>979852</v>
      </c>
    </row>
    <row r="5869" spans="1:4" x14ac:dyDescent="0.25">
      <c r="A5869" t="str">
        <f>T("   091091")</f>
        <v xml:space="preserve">   091091</v>
      </c>
      <c r="B5869" t="str">
        <f>T("   MELANGES VISES A LA NOTE 1 B) DU PRESENT CHAPITRE")</f>
        <v xml:space="preserve">   MELANGES VISES A LA NOTE 1 B) DU PRESENT CHAPITRE</v>
      </c>
      <c r="C5869" s="4">
        <v>7338</v>
      </c>
      <c r="D5869" s="4">
        <v>5928887</v>
      </c>
    </row>
    <row r="5870" spans="1:4" x14ac:dyDescent="0.25">
      <c r="A5870" t="str">
        <f>T("   091099")</f>
        <v xml:space="preserve">   091099</v>
      </c>
      <c r="B5870" t="str">
        <f>T("   AUTRES")</f>
        <v xml:space="preserve">   AUTRES</v>
      </c>
      <c r="C5870" s="4">
        <v>13984</v>
      </c>
      <c r="D5870" s="4">
        <v>7856761</v>
      </c>
    </row>
    <row r="5871" spans="1:4" x14ac:dyDescent="0.25">
      <c r="A5871" t="str">
        <f>T("   100620")</f>
        <v xml:space="preserve">   100620</v>
      </c>
      <c r="B5871" t="str">
        <f>T("   RIZ DECORTIQUE (RIZ CARGO OU RIZ BRUN)")</f>
        <v xml:space="preserve">   RIZ DECORTIQUE (RIZ CARGO OU RIZ BRUN)</v>
      </c>
      <c r="C5871" s="4">
        <v>216</v>
      </c>
      <c r="D5871" s="4">
        <v>131927</v>
      </c>
    </row>
    <row r="5872" spans="1:4" x14ac:dyDescent="0.25">
      <c r="A5872" t="str">
        <f>T("   110100")</f>
        <v xml:space="preserve">   110100</v>
      </c>
      <c r="B5872" t="str">
        <f>T("   FARINES DE FROMENT (BLE) OU DE METEIL.")</f>
        <v xml:space="preserve">   FARINES DE FROMENT (BLE) OU DE METEIL.</v>
      </c>
      <c r="C5872" s="4">
        <v>276</v>
      </c>
      <c r="D5872" s="4">
        <v>74255.357000000004</v>
      </c>
    </row>
    <row r="5873" spans="1:4" x14ac:dyDescent="0.25">
      <c r="A5873" t="str">
        <f>T("   110290")</f>
        <v xml:space="preserve">   110290</v>
      </c>
      <c r="B5873" t="str">
        <f>T("   AUTRES")</f>
        <v xml:space="preserve">   AUTRES</v>
      </c>
      <c r="C5873" s="4">
        <v>34995</v>
      </c>
      <c r="D5873" s="4">
        <v>7732649</v>
      </c>
    </row>
    <row r="5874" spans="1:4" x14ac:dyDescent="0.25">
      <c r="A5874" t="str">
        <f>T("   120100")</f>
        <v xml:space="preserve">   120100</v>
      </c>
      <c r="B5874" t="str">
        <f>T("   Feves de soja,meme concassees")</f>
        <v xml:space="preserve">   Feves de soja,meme concassees</v>
      </c>
      <c r="C5874" s="4">
        <v>7189</v>
      </c>
      <c r="D5874" s="4">
        <v>4792863</v>
      </c>
    </row>
    <row r="5875" spans="1:4" x14ac:dyDescent="0.25">
      <c r="A5875" t="str">
        <f>T("   150990")</f>
        <v xml:space="preserve">   150990</v>
      </c>
      <c r="B5875" t="str">
        <f>T("   AUTRES")</f>
        <v xml:space="preserve">   AUTRES</v>
      </c>
      <c r="C5875" s="4">
        <v>419</v>
      </c>
      <c r="D5875" s="4">
        <v>258650</v>
      </c>
    </row>
    <row r="5876" spans="1:4" x14ac:dyDescent="0.25">
      <c r="A5876" t="str">
        <f>T("   151550")</f>
        <v xml:space="preserve">   151550</v>
      </c>
      <c r="B5876" t="str">
        <f>T("   HUILE DE SESAME ET SES FRACTIONS")</f>
        <v xml:space="preserve">   HUILE DE SESAME ET SES FRACTIONS</v>
      </c>
      <c r="C5876" s="4">
        <v>114</v>
      </c>
      <c r="D5876" s="4">
        <v>28500</v>
      </c>
    </row>
    <row r="5877" spans="1:4" x14ac:dyDescent="0.25">
      <c r="A5877" t="str">
        <f>T("   160420")</f>
        <v xml:space="preserve">   160420</v>
      </c>
      <c r="B5877" t="str">
        <f>T("   Autres preparations et conserves de poissons")</f>
        <v xml:space="preserve">   Autres preparations et conserves de poissons</v>
      </c>
      <c r="C5877" s="4">
        <v>110</v>
      </c>
      <c r="D5877" s="4">
        <v>150077</v>
      </c>
    </row>
    <row r="5878" spans="1:4" x14ac:dyDescent="0.25">
      <c r="A5878" t="str">
        <f>T("   190110")</f>
        <v xml:space="preserve">   190110</v>
      </c>
      <c r="B5878" t="str">
        <f>T("   PREPARATIONS POUR L'ALIMENTATION DES ENFANTS, CONDITIONNEES POUR LA VENTE AU DETAIL")</f>
        <v xml:space="preserve">   PREPARATIONS POUR L'ALIMENTATION DES ENFANTS, CONDITIONNEES POUR LA VENTE AU DETAIL</v>
      </c>
      <c r="C5878" s="4">
        <v>3619</v>
      </c>
      <c r="D5878" s="4">
        <v>2179221</v>
      </c>
    </row>
    <row r="5879" spans="1:4" x14ac:dyDescent="0.25">
      <c r="A5879" t="str">
        <f>T("   190190")</f>
        <v xml:space="preserve">   190190</v>
      </c>
      <c r="B5879" t="str">
        <f>T("   AUTRES")</f>
        <v xml:space="preserve">   AUTRES</v>
      </c>
      <c r="C5879" s="4">
        <v>1060</v>
      </c>
      <c r="D5879" s="4">
        <v>620234</v>
      </c>
    </row>
    <row r="5880" spans="1:4" x14ac:dyDescent="0.25">
      <c r="A5880" t="str">
        <f>T("   190230")</f>
        <v xml:space="preserve">   190230</v>
      </c>
      <c r="B5880" t="str">
        <f>T("   AUTRES PATES ALIMENTAIRES")</f>
        <v xml:space="preserve">   AUTRES PATES ALIMENTAIRES</v>
      </c>
      <c r="C5880" s="4">
        <v>175</v>
      </c>
      <c r="D5880" s="4">
        <v>172366</v>
      </c>
    </row>
    <row r="5881" spans="1:4" x14ac:dyDescent="0.25">
      <c r="A5881" t="str">
        <f>T("   190410")</f>
        <v xml:space="preserve">   190410</v>
      </c>
      <c r="B5881" t="str">
        <f>T("   PRODUITS A BASE DE CEREALES OBTENUS PAR SOUFFLAGE OU GRILLAGE")</f>
        <v xml:space="preserve">   PRODUITS A BASE DE CEREALES OBTENUS PAR SOUFFLAGE OU GRILLAGE</v>
      </c>
      <c r="C5881" s="4">
        <v>23013</v>
      </c>
      <c r="D5881" s="4">
        <v>14038445</v>
      </c>
    </row>
    <row r="5882" spans="1:4" x14ac:dyDescent="0.25">
      <c r="A5882" t="str">
        <f>T("   190531")</f>
        <v xml:space="preserve">   190531</v>
      </c>
      <c r="B5882" t="str">
        <f>T("   BISCUITS ADDITIONNES D’EDULCORANTS")</f>
        <v xml:space="preserve">   BISCUITS ADDITIONNES D’EDULCORANTS</v>
      </c>
      <c r="C5882" s="4">
        <v>6967</v>
      </c>
      <c r="D5882" s="4">
        <v>2068419</v>
      </c>
    </row>
    <row r="5883" spans="1:4" x14ac:dyDescent="0.25">
      <c r="A5883" t="str">
        <f>T("   200559")</f>
        <v xml:space="preserve">   200559</v>
      </c>
      <c r="B5883" t="str">
        <f>T("   AUTRES")</f>
        <v xml:space="preserve">   AUTRES</v>
      </c>
      <c r="C5883" s="4">
        <v>200</v>
      </c>
      <c r="D5883" s="4">
        <v>50000</v>
      </c>
    </row>
    <row r="5884" spans="1:4" x14ac:dyDescent="0.25">
      <c r="A5884" t="str">
        <f>T("   200799")</f>
        <v xml:space="preserve">   200799</v>
      </c>
      <c r="B5884" t="str">
        <f>T("   AUTRES")</f>
        <v xml:space="preserve">   AUTRES</v>
      </c>
      <c r="C5884" s="4">
        <v>300</v>
      </c>
      <c r="D5884" s="4">
        <v>100000</v>
      </c>
    </row>
    <row r="5885" spans="1:4" x14ac:dyDescent="0.25">
      <c r="A5885" t="str">
        <f>T("   200990")</f>
        <v xml:space="preserve">   200990</v>
      </c>
      <c r="B5885" t="str">
        <f>T("   MELANGES DE JUS")</f>
        <v xml:space="preserve">   MELANGES DE JUS</v>
      </c>
      <c r="C5885" s="4">
        <v>26992</v>
      </c>
      <c r="D5885" s="4">
        <v>6086514</v>
      </c>
    </row>
    <row r="5886" spans="1:4" x14ac:dyDescent="0.25">
      <c r="A5886" t="str">
        <f>T("   220190")</f>
        <v xml:space="preserve">   220190</v>
      </c>
      <c r="B5886" t="str">
        <f>T("   AUTRES")</f>
        <v xml:space="preserve">   AUTRES</v>
      </c>
      <c r="C5886" s="4">
        <v>303</v>
      </c>
      <c r="D5886" s="4">
        <v>157556</v>
      </c>
    </row>
    <row r="5887" spans="1:4" x14ac:dyDescent="0.25">
      <c r="A5887" t="str">
        <f>T("   220210")</f>
        <v xml:space="preserve">   220210</v>
      </c>
      <c r="B5887" t="str">
        <f>T("   EAUX, Y COMPRIS LES EAUX MINERALES ET LES EAUX GAZEIFIEES, ADDITIONNEES DE SUCRE OU D")</f>
        <v xml:space="preserve">   EAUX, Y COMPRIS LES EAUX MINERALES ET LES EAUX GAZEIFIEES, ADDITIONNEES DE SUCRE OU D</v>
      </c>
      <c r="C5887" s="4">
        <v>5945</v>
      </c>
      <c r="D5887" s="4">
        <v>3797066</v>
      </c>
    </row>
    <row r="5888" spans="1:4" x14ac:dyDescent="0.25">
      <c r="A5888" t="str">
        <f>T("   220290")</f>
        <v xml:space="preserve">   220290</v>
      </c>
      <c r="B5888" t="str">
        <f>T("   AUTRES")</f>
        <v xml:space="preserve">   AUTRES</v>
      </c>
      <c r="C5888" s="4">
        <v>171064</v>
      </c>
      <c r="D5888" s="4">
        <v>23827554</v>
      </c>
    </row>
    <row r="5889" spans="1:4" x14ac:dyDescent="0.25">
      <c r="A5889" t="str">
        <f>T("   220300")</f>
        <v xml:space="preserve">   220300</v>
      </c>
      <c r="B5889" t="str">
        <f>T("   BIERES DE MALT.")</f>
        <v xml:space="preserve">   BIERES DE MALT.</v>
      </c>
      <c r="C5889" s="4">
        <v>494131</v>
      </c>
      <c r="D5889" s="4">
        <v>66177911</v>
      </c>
    </row>
    <row r="5890" spans="1:4" x14ac:dyDescent="0.25">
      <c r="A5890" t="str">
        <f>T("   220421")</f>
        <v xml:space="preserve">   220421</v>
      </c>
      <c r="B5890" t="str">
        <f>T("   EN RECIPIENTS D'UNE CONTENANCE N'EXCEDANT PAS 2 L")</f>
        <v xml:space="preserve">   EN RECIPIENTS D'UNE CONTENANCE N'EXCEDANT PAS 2 L</v>
      </c>
      <c r="C5890" s="4">
        <v>234062</v>
      </c>
      <c r="D5890" s="4">
        <v>16847021</v>
      </c>
    </row>
    <row r="5891" spans="1:4" x14ac:dyDescent="0.25">
      <c r="A5891" t="str">
        <f>T("   220600")</f>
        <v xml:space="preserve">   220600</v>
      </c>
      <c r="B5891" t="str">
        <f>T("   AUTRES BOISSONS FERMENTEES (CIDRE, POIRE, HYDROMEL, PAR EXEMPLE); MELANGES DE BOISSONS")</f>
        <v xml:space="preserve">   AUTRES BOISSONS FERMENTEES (CIDRE, POIRE, HYDROMEL, PAR EXEMPLE); MELANGES DE BOISSONS</v>
      </c>
      <c r="C5891" s="4">
        <v>81140</v>
      </c>
      <c r="D5891" s="4">
        <v>10676708</v>
      </c>
    </row>
    <row r="5892" spans="1:4" x14ac:dyDescent="0.25">
      <c r="A5892" t="str">
        <f>T("   220830")</f>
        <v xml:space="preserve">   220830</v>
      </c>
      <c r="B5892" t="str">
        <f>T("   Whiskies")</f>
        <v xml:space="preserve">   Whiskies</v>
      </c>
      <c r="C5892" s="4">
        <v>13959</v>
      </c>
      <c r="D5892" s="4">
        <v>2694028</v>
      </c>
    </row>
    <row r="5893" spans="1:4" x14ac:dyDescent="0.25">
      <c r="A5893" t="str">
        <f>T("   230910")</f>
        <v xml:space="preserve">   230910</v>
      </c>
      <c r="B5893" t="str">
        <f>T("   ALIMENTS POUR CHIENS OU CHATS, CONDITIONNES POUR LA VENTE AU DETAIL")</f>
        <v xml:space="preserve">   ALIMENTS POUR CHIENS OU CHATS, CONDITIONNES POUR LA VENTE AU DETAIL</v>
      </c>
      <c r="C5893" s="4">
        <v>24971</v>
      </c>
      <c r="D5893" s="4">
        <v>9025335</v>
      </c>
    </row>
    <row r="5894" spans="1:4" x14ac:dyDescent="0.25">
      <c r="A5894" t="str">
        <f>T("   230990")</f>
        <v xml:space="preserve">   230990</v>
      </c>
      <c r="B5894" t="str">
        <f>T("   AUTRES")</f>
        <v xml:space="preserve">   AUTRES</v>
      </c>
      <c r="C5894" s="4">
        <v>175</v>
      </c>
      <c r="D5894" s="4">
        <v>91363</v>
      </c>
    </row>
    <row r="5895" spans="1:4" x14ac:dyDescent="0.25">
      <c r="A5895" t="str">
        <f>T("   250100")</f>
        <v xml:space="preserve">   250100</v>
      </c>
      <c r="B5895" t="str">
        <f>T("   SEL (Y COMPRIS LE SEL PREPARE POUR LA TABLE ET LE SEL DENATURE) ET CHLORURE DE SODIUM P")</f>
        <v xml:space="preserve">   SEL (Y COMPRIS LE SEL PREPARE POUR LA TABLE ET LE SEL DENATURE) ET CHLORURE DE SODIUM P</v>
      </c>
      <c r="C5895" s="4">
        <v>909</v>
      </c>
      <c r="D5895" s="4">
        <v>487701</v>
      </c>
    </row>
    <row r="5896" spans="1:4" x14ac:dyDescent="0.25">
      <c r="A5896" t="str">
        <f>T("   252220")</f>
        <v xml:space="preserve">   252220</v>
      </c>
      <c r="B5896" t="str">
        <f>T("   CHAUX ETEINTE")</f>
        <v xml:space="preserve">   CHAUX ETEINTE</v>
      </c>
      <c r="C5896" s="4">
        <v>200116</v>
      </c>
      <c r="D5896" s="4">
        <v>27379771</v>
      </c>
    </row>
    <row r="5897" spans="1:4" x14ac:dyDescent="0.25">
      <c r="A5897" t="str">
        <f>T("   270750")</f>
        <v xml:space="preserve">   270750</v>
      </c>
      <c r="B5897" t="str">
        <f>T("   AUTRES MELANGES D'HYDROCARBURES AROMATIQUES DISTILLANT 65 % OU PLUS DE LEUR VOLUME (Y")</f>
        <v xml:space="preserve">   AUTRES MELANGES D'HYDROCARBURES AROMATIQUES DISTILLANT 65 % OU PLUS DE LEUR VOLUME (Y</v>
      </c>
      <c r="C5897" s="4">
        <v>7606</v>
      </c>
      <c r="D5897" s="4">
        <v>11629514</v>
      </c>
    </row>
    <row r="5898" spans="1:4" x14ac:dyDescent="0.25">
      <c r="A5898" t="str">
        <f>T("   271011")</f>
        <v xml:space="preserve">   271011</v>
      </c>
      <c r="B5898" t="str">
        <f>T("   HUILLES DE PETROLE OU D'ESSENCE")</f>
        <v xml:space="preserve">   HUILLES DE PETROLE OU D'ESSENCE</v>
      </c>
      <c r="C5898" s="4">
        <v>760850</v>
      </c>
      <c r="D5898" s="4">
        <v>382781328</v>
      </c>
    </row>
    <row r="5899" spans="1:4" x14ac:dyDescent="0.25">
      <c r="A5899" t="str">
        <f>T("   271019")</f>
        <v xml:space="preserve">   271019</v>
      </c>
      <c r="B5899" t="str">
        <f>T("   AUTRES")</f>
        <v xml:space="preserve">   AUTRES</v>
      </c>
      <c r="C5899" s="4">
        <v>21244248.289999999</v>
      </c>
      <c r="D5899" s="4">
        <v>6898705905</v>
      </c>
    </row>
    <row r="5900" spans="1:4" x14ac:dyDescent="0.25">
      <c r="A5900" t="str">
        <f>T("   271099")</f>
        <v xml:space="preserve">   271099</v>
      </c>
      <c r="B5900" t="str">
        <f>T("   AUTRES")</f>
        <v xml:space="preserve">   AUTRES</v>
      </c>
      <c r="C5900" s="4">
        <v>11200</v>
      </c>
      <c r="D5900" s="4">
        <v>5904060</v>
      </c>
    </row>
    <row r="5901" spans="1:4" x14ac:dyDescent="0.25">
      <c r="A5901" t="str">
        <f>T("   271113")</f>
        <v xml:space="preserve">   271113</v>
      </c>
      <c r="B5901" t="str">
        <f>T("   BUTANES")</f>
        <v xml:space="preserve">   BUTANES</v>
      </c>
      <c r="C5901" s="4">
        <v>60000</v>
      </c>
      <c r="D5901" s="4">
        <v>21000000</v>
      </c>
    </row>
    <row r="5902" spans="1:4" x14ac:dyDescent="0.25">
      <c r="A5902" t="str">
        <f>T("   280300")</f>
        <v xml:space="preserve">   280300</v>
      </c>
      <c r="B5902" t="str">
        <f>T("   CARBONE (NOIRS DE CARBONE ET AUTRES FORMES DE CARBONE NON DENOMMEES NI COMPRISES AILLEU")</f>
        <v xml:space="preserve">   CARBONE (NOIRS DE CARBONE ET AUTRES FORMES DE CARBONE NON DENOMMEES NI COMPRISES AILLEU</v>
      </c>
      <c r="C5902" s="4">
        <v>2891</v>
      </c>
      <c r="D5902" s="4">
        <v>5435940</v>
      </c>
    </row>
    <row r="5903" spans="1:4" x14ac:dyDescent="0.25">
      <c r="A5903" t="str">
        <f>T("   281511")</f>
        <v xml:space="preserve">   281511</v>
      </c>
      <c r="B5903" t="str">
        <f>T("   SOLIDE")</f>
        <v xml:space="preserve">   SOLIDE</v>
      </c>
      <c r="C5903" s="4">
        <v>1210</v>
      </c>
      <c r="D5903" s="4">
        <v>829133</v>
      </c>
    </row>
    <row r="5904" spans="1:4" x14ac:dyDescent="0.25">
      <c r="A5904" t="str">
        <f>T("   282110")</f>
        <v xml:space="preserve">   282110</v>
      </c>
      <c r="B5904" t="str">
        <f>T("   Oxydes et hydroxydes de fer")</f>
        <v xml:space="preserve">   Oxydes et hydroxydes de fer</v>
      </c>
      <c r="C5904" s="4">
        <v>4152</v>
      </c>
      <c r="D5904" s="4">
        <v>5842637</v>
      </c>
    </row>
    <row r="5905" spans="1:4" x14ac:dyDescent="0.25">
      <c r="A5905" t="str">
        <f>T("   283650")</f>
        <v xml:space="preserve">   283650</v>
      </c>
      <c r="B5905" t="str">
        <f>T("   Carbonate de calcium")</f>
        <v xml:space="preserve">   Carbonate de calcium</v>
      </c>
      <c r="C5905" s="4">
        <v>27000</v>
      </c>
      <c r="D5905" s="4">
        <v>3453629</v>
      </c>
    </row>
    <row r="5906" spans="1:4" x14ac:dyDescent="0.25">
      <c r="A5906" t="str">
        <f>T("   290230")</f>
        <v xml:space="preserve">   290230</v>
      </c>
      <c r="B5906" t="str">
        <f>T("   TOLUENE")</f>
        <v xml:space="preserve">   TOLUENE</v>
      </c>
      <c r="C5906" s="4">
        <v>13541</v>
      </c>
      <c r="D5906" s="4">
        <v>15989681</v>
      </c>
    </row>
    <row r="5907" spans="1:4" x14ac:dyDescent="0.25">
      <c r="A5907" t="str">
        <f>T("   290312")</f>
        <v xml:space="preserve">   290312</v>
      </c>
      <c r="B5907" t="str">
        <f>T("   DICHLOROMETHANE (CHLORURE DE METHYLENE)")</f>
        <v xml:space="preserve">   DICHLOROMETHANE (CHLORURE DE METHYLENE)</v>
      </c>
      <c r="C5907" s="4">
        <v>14580</v>
      </c>
      <c r="D5907" s="4">
        <v>5068603</v>
      </c>
    </row>
    <row r="5908" spans="1:4" x14ac:dyDescent="0.25">
      <c r="A5908" t="str">
        <f>T("   290512")</f>
        <v xml:space="preserve">   290512</v>
      </c>
      <c r="B5908" t="str">
        <f>T("   PROPANE1OL (ALCOOL PROPYLIQUE) ET PROPANE2OL (ALCOOL ISOPROPYLIQUE)")</f>
        <v xml:space="preserve">   PROPANE1OL (ALCOOL PROPYLIQUE) ET PROPANE2OL (ALCOOL ISOPROPYLIQUE)</v>
      </c>
      <c r="C5908" s="4">
        <v>6880</v>
      </c>
      <c r="D5908" s="4">
        <v>8343156</v>
      </c>
    </row>
    <row r="5909" spans="1:4" x14ac:dyDescent="0.25">
      <c r="A5909" t="str">
        <f>T("   290514")</f>
        <v xml:space="preserve">   290514</v>
      </c>
      <c r="B5909" t="str">
        <f>T("   AUTRES BUTANOLS")</f>
        <v xml:space="preserve">   AUTRES BUTANOLS</v>
      </c>
      <c r="C5909" s="4">
        <v>460</v>
      </c>
      <c r="D5909" s="4">
        <v>842253</v>
      </c>
    </row>
    <row r="5910" spans="1:4" x14ac:dyDescent="0.25">
      <c r="A5910" t="str">
        <f>T("   291413")</f>
        <v xml:space="preserve">   291413</v>
      </c>
      <c r="B5910" t="str">
        <f>T("   4METHYLPENTANE2ONE (METHYLISOBUTYLCETONE)")</f>
        <v xml:space="preserve">   4METHYLPENTANE2ONE (METHYLISOBUTYLCETONE)</v>
      </c>
      <c r="C5910" s="4">
        <v>18763</v>
      </c>
      <c r="D5910" s="4">
        <v>15697779</v>
      </c>
    </row>
    <row r="5911" spans="1:4" x14ac:dyDescent="0.25">
      <c r="A5911" t="str">
        <f>T("   291440")</f>
        <v xml:space="preserve">   291440</v>
      </c>
      <c r="B5911" t="str">
        <f>T("   CETONESALCOOLS ET CETONESALDEHYDES")</f>
        <v xml:space="preserve">   CETONESALCOOLS ET CETONESALDEHYDES</v>
      </c>
      <c r="C5911" s="4">
        <v>1616</v>
      </c>
      <c r="D5911" s="4">
        <v>2430988</v>
      </c>
    </row>
    <row r="5912" spans="1:4" x14ac:dyDescent="0.25">
      <c r="A5912" t="str">
        <f>T("   291533")</f>
        <v xml:space="preserve">   291533</v>
      </c>
      <c r="B5912" t="str">
        <f>T("   ACETATE DE NBUTYLE")</f>
        <v xml:space="preserve">   ACETATE DE NBUTYLE</v>
      </c>
      <c r="C5912" s="4">
        <v>3056</v>
      </c>
      <c r="D5912" s="4">
        <v>4145011</v>
      </c>
    </row>
    <row r="5913" spans="1:4" x14ac:dyDescent="0.25">
      <c r="A5913" t="str">
        <f>T("   291539")</f>
        <v xml:space="preserve">   291539</v>
      </c>
      <c r="B5913" t="str">
        <f>T("   AUTRES")</f>
        <v xml:space="preserve">   AUTRES</v>
      </c>
      <c r="C5913" s="4">
        <v>808</v>
      </c>
      <c r="D5913" s="4">
        <v>1230581</v>
      </c>
    </row>
    <row r="5914" spans="1:4" x14ac:dyDescent="0.25">
      <c r="A5914" t="str">
        <f>T("   291590")</f>
        <v xml:space="preserve">   291590</v>
      </c>
      <c r="B5914" t="str">
        <f>T("   AUTRES")</f>
        <v xml:space="preserve">   AUTRES</v>
      </c>
      <c r="C5914" s="4">
        <v>800</v>
      </c>
      <c r="D5914" s="4">
        <v>5266047</v>
      </c>
    </row>
    <row r="5915" spans="1:4" x14ac:dyDescent="0.25">
      <c r="A5915" t="str">
        <f>T("   291720")</f>
        <v xml:space="preserve">   291720</v>
      </c>
      <c r="B5915" t="str">
        <f>T("   ACIDES POLYCARBOXYLIQUES CYCLANIQUES, CYCLENIQUES OU CYCLOTERPENIQUES, LEURS ANHYDRID")</f>
        <v xml:space="preserve">   ACIDES POLYCARBOXYLIQUES CYCLANIQUES, CYCLENIQUES OU CYCLOTERPENIQUES, LEURS ANHYDRID</v>
      </c>
      <c r="C5915" s="4">
        <v>848</v>
      </c>
      <c r="D5915" s="4">
        <v>3627458</v>
      </c>
    </row>
    <row r="5916" spans="1:4" x14ac:dyDescent="0.25">
      <c r="A5916" t="str">
        <f>T("   292390")</f>
        <v xml:space="preserve">   292390</v>
      </c>
      <c r="B5916" t="str">
        <f>T("   AUTRES")</f>
        <v xml:space="preserve">   AUTRES</v>
      </c>
      <c r="C5916" s="4">
        <v>2434</v>
      </c>
      <c r="D5916" s="4">
        <v>5168965</v>
      </c>
    </row>
    <row r="5917" spans="1:4" x14ac:dyDescent="0.25">
      <c r="A5917" t="str">
        <f>T("   292800")</f>
        <v xml:space="preserve">   292800</v>
      </c>
      <c r="B5917" t="str">
        <f>T("   DERIVES ORGANIQUES DE L'HYDRAZINE OU DE L'HYDROXYLAMINE.")</f>
        <v xml:space="preserve">   DERIVES ORGANIQUES DE L'HYDRAZINE OU DE L'HYDROXYLAMINE.</v>
      </c>
      <c r="C5917" s="4">
        <v>1241</v>
      </c>
      <c r="D5917" s="4">
        <v>1824881</v>
      </c>
    </row>
    <row r="5918" spans="1:4" x14ac:dyDescent="0.25">
      <c r="A5918" t="str">
        <f>T("   292990")</f>
        <v xml:space="preserve">   292990</v>
      </c>
      <c r="B5918" t="str">
        <f>T("   AUTRES")</f>
        <v xml:space="preserve">   AUTRES</v>
      </c>
      <c r="C5918" s="4">
        <v>121611</v>
      </c>
      <c r="D5918" s="4">
        <v>156940398</v>
      </c>
    </row>
    <row r="5919" spans="1:4" x14ac:dyDescent="0.25">
      <c r="A5919" t="str">
        <f>T("   294200")</f>
        <v xml:space="preserve">   294200</v>
      </c>
      <c r="B5919" t="str">
        <f>T("   AUTRES COMPOSES ORGANIQUES.")</f>
        <v xml:space="preserve">   AUTRES COMPOSES ORGANIQUES.</v>
      </c>
      <c r="C5919" s="4">
        <v>40</v>
      </c>
      <c r="D5919" s="4">
        <v>110000</v>
      </c>
    </row>
    <row r="5920" spans="1:4" x14ac:dyDescent="0.25">
      <c r="A5920" t="str">
        <f>T("   300440")</f>
        <v xml:space="preserve">   300440</v>
      </c>
      <c r="B5920" t="str">
        <f>T("   CONTENANT DES ALCALOIDES OU LEURS DERIVES, MAIS NE CONTENANT NI HORMONES, NI AUTRES P")</f>
        <v xml:space="preserve">   CONTENANT DES ALCALOIDES OU LEURS DERIVES, MAIS NE CONTENANT NI HORMONES, NI AUTRES P</v>
      </c>
      <c r="C5920" s="4">
        <v>58</v>
      </c>
      <c r="D5920" s="4">
        <v>1924175</v>
      </c>
    </row>
    <row r="5921" spans="1:4" x14ac:dyDescent="0.25">
      <c r="A5921" t="str">
        <f>T("   300490")</f>
        <v xml:space="preserve">   300490</v>
      </c>
      <c r="B5921" t="str">
        <f>T("   AUTRES")</f>
        <v xml:space="preserve">   AUTRES</v>
      </c>
      <c r="C5921" s="4">
        <v>17227</v>
      </c>
      <c r="D5921" s="4">
        <v>10129882</v>
      </c>
    </row>
    <row r="5922" spans="1:4" x14ac:dyDescent="0.25">
      <c r="A5922" t="str">
        <f>T("   320411")</f>
        <v xml:space="preserve">   320411</v>
      </c>
      <c r="B5922" t="str">
        <f>T("   Colorants disperses et preparations a base de ces colorants")</f>
        <v xml:space="preserve">   Colorants disperses et preparations a base de ces colorants</v>
      </c>
      <c r="C5922" s="4">
        <v>339</v>
      </c>
      <c r="D5922" s="4">
        <v>5828206</v>
      </c>
    </row>
    <row r="5923" spans="1:4" x14ac:dyDescent="0.25">
      <c r="A5923" t="str">
        <f>T("   320620")</f>
        <v xml:space="preserve">   320620</v>
      </c>
      <c r="B5923" t="str">
        <f>T("   PIGMENTS ET PREPARATIONS A BASE DE COMPOSES DU CHROME")</f>
        <v xml:space="preserve">   PIGMENTS ET PREPARATIONS A BASE DE COMPOSES DU CHROME</v>
      </c>
      <c r="C5923" s="4">
        <v>3024</v>
      </c>
      <c r="D5923" s="4">
        <v>12417323</v>
      </c>
    </row>
    <row r="5924" spans="1:4" x14ac:dyDescent="0.25">
      <c r="A5924" t="str">
        <f>T("   321410")</f>
        <v xml:space="preserve">   321410</v>
      </c>
      <c r="B5924" t="str">
        <f>T("   MASTIC DE VITRIER, CIMENTS DE RESINE ET AUTRES MASTICS; ENDUITS UTILISES EN PEINTURE")</f>
        <v xml:space="preserve">   MASTIC DE VITRIER, CIMENTS DE RESINE ET AUTRES MASTICS; ENDUITS UTILISES EN PEINTURE</v>
      </c>
      <c r="C5924" s="4">
        <v>13654</v>
      </c>
      <c r="D5924" s="4">
        <v>7420642</v>
      </c>
    </row>
    <row r="5925" spans="1:4" x14ac:dyDescent="0.25">
      <c r="A5925" t="str">
        <f>T("   321590")</f>
        <v xml:space="preserve">   321590</v>
      </c>
      <c r="B5925" t="str">
        <f>T("   AUTRES")</f>
        <v xml:space="preserve">   AUTRES</v>
      </c>
      <c r="C5925" s="4">
        <v>158</v>
      </c>
      <c r="D5925" s="4">
        <v>6071993</v>
      </c>
    </row>
    <row r="5926" spans="1:4" x14ac:dyDescent="0.25">
      <c r="A5926" t="str">
        <f>T("   330300")</f>
        <v xml:space="preserve">   330300</v>
      </c>
      <c r="B5926" t="str">
        <f>T("   PARFUMS ET EAUX DE TOILETTE.")</f>
        <v xml:space="preserve">   PARFUMS ET EAUX DE TOILETTE.</v>
      </c>
      <c r="C5926" s="4">
        <v>196</v>
      </c>
      <c r="D5926" s="4">
        <v>8757066</v>
      </c>
    </row>
    <row r="5927" spans="1:4" x14ac:dyDescent="0.25">
      <c r="A5927" t="str">
        <f>T("   330499")</f>
        <v xml:space="preserve">   330499</v>
      </c>
      <c r="B5927" t="str">
        <f>T("   AUTRES")</f>
        <v xml:space="preserve">   AUTRES</v>
      </c>
      <c r="C5927" s="4">
        <v>22607</v>
      </c>
      <c r="D5927" s="4">
        <v>12947389</v>
      </c>
    </row>
    <row r="5928" spans="1:4" x14ac:dyDescent="0.25">
      <c r="A5928" t="str">
        <f>T("   330510")</f>
        <v xml:space="preserve">   330510</v>
      </c>
      <c r="B5928" t="str">
        <f>T("   Shampooings")</f>
        <v xml:space="preserve">   Shampooings</v>
      </c>
      <c r="C5928" s="4">
        <v>689</v>
      </c>
      <c r="D5928" s="4">
        <v>462120</v>
      </c>
    </row>
    <row r="5929" spans="1:4" x14ac:dyDescent="0.25">
      <c r="A5929" t="str">
        <f>T("   330720")</f>
        <v xml:space="preserve">   330720</v>
      </c>
      <c r="B5929" t="str">
        <f>T("   Desodorisants corporels et antisudoraux")</f>
        <v xml:space="preserve">   Desodorisants corporels et antisudoraux</v>
      </c>
      <c r="C5929" s="4">
        <v>45</v>
      </c>
      <c r="D5929" s="4">
        <v>30000</v>
      </c>
    </row>
    <row r="5930" spans="1:4" x14ac:dyDescent="0.25">
      <c r="A5930" t="str">
        <f>T("   340290")</f>
        <v xml:space="preserve">   340290</v>
      </c>
      <c r="B5930" t="str">
        <f>T("   AUTRES")</f>
        <v xml:space="preserve">   AUTRES</v>
      </c>
      <c r="C5930" s="4">
        <v>29460</v>
      </c>
      <c r="D5930" s="4">
        <v>8896217</v>
      </c>
    </row>
    <row r="5931" spans="1:4" x14ac:dyDescent="0.25">
      <c r="A5931" t="str">
        <f>T("   340399")</f>
        <v xml:space="preserve">   340399</v>
      </c>
      <c r="B5931" t="str">
        <f>T("   AUTRES")</f>
        <v xml:space="preserve">   AUTRES</v>
      </c>
      <c r="C5931" s="4">
        <v>6</v>
      </c>
      <c r="D5931" s="4">
        <v>11112</v>
      </c>
    </row>
    <row r="5932" spans="1:4" x14ac:dyDescent="0.25">
      <c r="A5932" t="str">
        <f>T("   350699")</f>
        <v xml:space="preserve">   350699</v>
      </c>
      <c r="B5932" t="str">
        <f>T("   AUTRES")</f>
        <v xml:space="preserve">   AUTRES</v>
      </c>
      <c r="C5932" s="4">
        <v>34</v>
      </c>
      <c r="D5932" s="4">
        <v>1042635</v>
      </c>
    </row>
    <row r="5933" spans="1:4" x14ac:dyDescent="0.25">
      <c r="A5933" t="str">
        <f>T("   370390")</f>
        <v xml:space="preserve">   370390</v>
      </c>
      <c r="B5933" t="str">
        <f>T("   AUTRES")</f>
        <v xml:space="preserve">   AUTRES</v>
      </c>
      <c r="C5933" s="4">
        <v>6004</v>
      </c>
      <c r="D5933" s="4">
        <v>285295</v>
      </c>
    </row>
    <row r="5934" spans="1:4" x14ac:dyDescent="0.25">
      <c r="A5934" t="str">
        <f>T("   380850")</f>
        <v xml:space="preserve">   380850</v>
      </c>
      <c r="B5934" t="str">
        <f>T("   MARCHANDISES MENTIONNEES DANS LA NOTE 1 DE SOUSPOSITIONS DU PRESENT CHAPITRE")</f>
        <v xml:space="preserve">   MARCHANDISES MENTIONNEES DANS LA NOTE 1 DE SOUSPOSITIONS DU PRESENT CHAPITRE</v>
      </c>
      <c r="C5934" s="4">
        <v>13393</v>
      </c>
      <c r="D5934" s="4">
        <v>27021288</v>
      </c>
    </row>
    <row r="5935" spans="1:4" x14ac:dyDescent="0.25">
      <c r="A5935" t="str">
        <f>T("   381400")</f>
        <v xml:space="preserve">   381400</v>
      </c>
      <c r="B5935" t="str">
        <f>T("   SOLVANTS ET DILUANTS ORGANIQUES COMPOSITES, NON DENOMMES NI COMPRIS AILLEURS; PREPARATI")</f>
        <v xml:space="preserve">   SOLVANTS ET DILUANTS ORGANIQUES COMPOSITES, NON DENOMMES NI COMPRIS AILLEURS; PREPARATI</v>
      </c>
      <c r="C5935" s="4">
        <v>191915</v>
      </c>
      <c r="D5935" s="4">
        <v>34383216</v>
      </c>
    </row>
    <row r="5936" spans="1:4" x14ac:dyDescent="0.25">
      <c r="A5936" t="str">
        <f>T("   382200")</f>
        <v xml:space="preserve">   382200</v>
      </c>
      <c r="B5936" t="str">
        <f>T("   REACTIFS DE DIAGNOSTIC OU DE LABORATOIRE SUR TOUT SUPPORT ET REACTIFS DE DIAGNOSTIC OU")</f>
        <v xml:space="preserve">   REACTIFS DE DIAGNOSTIC OU DE LABORATOIRE SUR TOUT SUPPORT ET REACTIFS DE DIAGNOSTIC OU</v>
      </c>
      <c r="C5936" s="4">
        <v>78.5</v>
      </c>
      <c r="D5936" s="4">
        <v>7884682</v>
      </c>
    </row>
    <row r="5937" spans="1:4" x14ac:dyDescent="0.25">
      <c r="A5937" t="str">
        <f>T("   390490")</f>
        <v xml:space="preserve">   390490</v>
      </c>
      <c r="B5937" t="str">
        <f>T("   AUTRES")</f>
        <v xml:space="preserve">   AUTRES</v>
      </c>
      <c r="C5937" s="4">
        <v>1017</v>
      </c>
      <c r="D5937" s="4">
        <v>1864239</v>
      </c>
    </row>
    <row r="5938" spans="1:4" x14ac:dyDescent="0.25">
      <c r="A5938" t="str">
        <f>T("   390512")</f>
        <v xml:space="preserve">   390512</v>
      </c>
      <c r="B5938" t="str">
        <f>T("   EN DISPERSION AQUEUSE")</f>
        <v xml:space="preserve">   EN DISPERSION AQUEUSE</v>
      </c>
      <c r="C5938" s="4">
        <v>433</v>
      </c>
      <c r="D5938" s="4">
        <v>1171545</v>
      </c>
    </row>
    <row r="5939" spans="1:4" x14ac:dyDescent="0.25">
      <c r="A5939" t="str">
        <f>T("   390690")</f>
        <v xml:space="preserve">   390690</v>
      </c>
      <c r="B5939" t="str">
        <f>T("   AUTRES")</f>
        <v xml:space="preserve">   AUTRES</v>
      </c>
      <c r="C5939" s="4">
        <v>5726</v>
      </c>
      <c r="D5939" s="4">
        <v>8551751</v>
      </c>
    </row>
    <row r="5940" spans="1:4" x14ac:dyDescent="0.25">
      <c r="A5940" t="str">
        <f>T("   390720")</f>
        <v xml:space="preserve">   390720</v>
      </c>
      <c r="B5940" t="str">
        <f>T("   AUTRES POLYETHERS")</f>
        <v xml:space="preserve">   AUTRES POLYETHERS</v>
      </c>
      <c r="C5940" s="4">
        <v>163480</v>
      </c>
      <c r="D5940" s="4">
        <v>202002883</v>
      </c>
    </row>
    <row r="5941" spans="1:4" x14ac:dyDescent="0.25">
      <c r="A5941" t="str">
        <f>T("   390750")</f>
        <v xml:space="preserve">   390750</v>
      </c>
      <c r="B5941" t="str">
        <f>T("   RESINES ALKYDES")</f>
        <v xml:space="preserve">   RESINES ALKYDES</v>
      </c>
      <c r="C5941" s="4">
        <v>59940</v>
      </c>
      <c r="D5941" s="4">
        <v>61385598</v>
      </c>
    </row>
    <row r="5942" spans="1:4" x14ac:dyDescent="0.25">
      <c r="A5942" t="str">
        <f>T("   390799")</f>
        <v xml:space="preserve">   390799</v>
      </c>
      <c r="B5942" t="str">
        <f>T("   AUTRES")</f>
        <v xml:space="preserve">   AUTRES</v>
      </c>
      <c r="C5942" s="4">
        <v>2000</v>
      </c>
      <c r="D5942" s="4">
        <v>2274389</v>
      </c>
    </row>
    <row r="5943" spans="1:4" x14ac:dyDescent="0.25">
      <c r="A5943" t="str">
        <f>T("   391000")</f>
        <v xml:space="preserve">   391000</v>
      </c>
      <c r="B5943" t="str">
        <f>T("   SILICONES SOUS FORMES PRIMAIRES.")</f>
        <v xml:space="preserve">   SILICONES SOUS FORMES PRIMAIRES.</v>
      </c>
      <c r="C5943" s="4">
        <v>3488</v>
      </c>
      <c r="D5943" s="4">
        <v>18735557</v>
      </c>
    </row>
    <row r="5944" spans="1:4" x14ac:dyDescent="0.25">
      <c r="A5944" t="str">
        <f>T("   391190")</f>
        <v xml:space="preserve">   391190</v>
      </c>
      <c r="B5944" t="str">
        <f>T("   AUTRES")</f>
        <v xml:space="preserve">   AUTRES</v>
      </c>
      <c r="C5944" s="4">
        <v>12552</v>
      </c>
      <c r="D5944" s="4">
        <v>36345431</v>
      </c>
    </row>
    <row r="5945" spans="1:4" x14ac:dyDescent="0.25">
      <c r="A5945" t="str">
        <f>T("   391910")</f>
        <v xml:space="preserve">   391910</v>
      </c>
      <c r="B5945" t="str">
        <f>T("   EN ROULEAUX D'UNE LARGEUR N'EXCEDANT PAS 20 CM")</f>
        <v xml:space="preserve">   EN ROULEAUX D'UNE LARGEUR N'EXCEDANT PAS 20 CM</v>
      </c>
      <c r="C5945" s="4">
        <v>165</v>
      </c>
      <c r="D5945" s="4">
        <v>4965691</v>
      </c>
    </row>
    <row r="5946" spans="1:4" x14ac:dyDescent="0.25">
      <c r="A5946" t="str">
        <f>T("   392119")</f>
        <v xml:space="preserve">   392119</v>
      </c>
      <c r="B5946" t="str">
        <f>T("   EN AUTRES MATIERES PLASTIQUES")</f>
        <v xml:space="preserve">   EN AUTRES MATIERES PLASTIQUES</v>
      </c>
      <c r="C5946" s="4">
        <v>36</v>
      </c>
      <c r="D5946" s="4">
        <v>74515</v>
      </c>
    </row>
    <row r="5947" spans="1:4" x14ac:dyDescent="0.25">
      <c r="A5947" t="str">
        <f>T("   392310")</f>
        <v xml:space="preserve">   392310</v>
      </c>
      <c r="B5947" t="str">
        <f>T("   BOITES, CAISSES, CASIERS ET ARTICLES SIMILAIRES")</f>
        <v xml:space="preserve">   BOITES, CAISSES, CASIERS ET ARTICLES SIMILAIRES</v>
      </c>
      <c r="C5947" s="4">
        <v>732</v>
      </c>
      <c r="D5947" s="4">
        <v>1678202</v>
      </c>
    </row>
    <row r="5948" spans="1:4" x14ac:dyDescent="0.25">
      <c r="A5948" t="str">
        <f>T("   392390")</f>
        <v xml:space="preserve">   392390</v>
      </c>
      <c r="B5948" t="str">
        <f>T("   AUTRES")</f>
        <v xml:space="preserve">   AUTRES</v>
      </c>
      <c r="C5948" s="4">
        <v>163</v>
      </c>
      <c r="D5948" s="4">
        <v>270176</v>
      </c>
    </row>
    <row r="5949" spans="1:4" x14ac:dyDescent="0.25">
      <c r="A5949" t="str">
        <f>T("   392410")</f>
        <v xml:space="preserve">   392410</v>
      </c>
      <c r="B5949" t="str">
        <f>T("   VAISSELLE ET AUTRES ARTICLES POUR LE SERVICE DE LA TABLE OU DE LA CUISINE")</f>
        <v xml:space="preserve">   VAISSELLE ET AUTRES ARTICLES POUR LE SERVICE DE LA TABLE OU DE LA CUISINE</v>
      </c>
      <c r="C5949" s="4">
        <v>85</v>
      </c>
      <c r="D5949" s="4">
        <v>292763</v>
      </c>
    </row>
    <row r="5950" spans="1:4" x14ac:dyDescent="0.25">
      <c r="A5950" t="str">
        <f>T("   392490")</f>
        <v xml:space="preserve">   392490</v>
      </c>
      <c r="B5950" t="str">
        <f>T("   AUTRES")</f>
        <v xml:space="preserve">   AUTRES</v>
      </c>
      <c r="C5950" s="4">
        <v>9000</v>
      </c>
      <c r="D5950" s="4">
        <v>600000</v>
      </c>
    </row>
    <row r="5951" spans="1:4" x14ac:dyDescent="0.25">
      <c r="A5951" t="str">
        <f>T("   392690")</f>
        <v xml:space="preserve">   392690</v>
      </c>
      <c r="B5951" t="str">
        <f>T("   AUTRES")</f>
        <v xml:space="preserve">   AUTRES</v>
      </c>
      <c r="C5951" s="4">
        <v>2243.5</v>
      </c>
      <c r="D5951" s="4">
        <v>11346333</v>
      </c>
    </row>
    <row r="5952" spans="1:4" x14ac:dyDescent="0.25">
      <c r="A5952" t="str">
        <f>T("   401110")</f>
        <v xml:space="preserve">   401110</v>
      </c>
      <c r="B5952" t="str">
        <f>T("   DES TYPES UTILISES POUR LES VOITURES DE TOURISME (Y COMPRIS LES VOITURES DU TYPE «BRE")</f>
        <v xml:space="preserve">   DES TYPES UTILISES POUR LES VOITURES DE TOURISME (Y COMPRIS LES VOITURES DU TYPE «BRE</v>
      </c>
      <c r="C5952" s="4">
        <v>3612</v>
      </c>
      <c r="D5952" s="4">
        <v>13731854</v>
      </c>
    </row>
    <row r="5953" spans="1:4" x14ac:dyDescent="0.25">
      <c r="A5953" t="str">
        <f>T("   401199")</f>
        <v xml:space="preserve">   401199</v>
      </c>
      <c r="B5953" t="str">
        <f>T("   AUTRES")</f>
        <v xml:space="preserve">   AUTRES</v>
      </c>
      <c r="C5953" s="4">
        <v>30</v>
      </c>
      <c r="D5953" s="4">
        <v>23679</v>
      </c>
    </row>
    <row r="5954" spans="1:4" x14ac:dyDescent="0.25">
      <c r="A5954" t="str">
        <f>T("   401212")</f>
        <v xml:space="preserve">   401212</v>
      </c>
      <c r="B5954" t="str">
        <f>T("   DES TYPES UTILISES POUR AUTOBUS OU CAMIONS")</f>
        <v xml:space="preserve">   DES TYPES UTILISES POUR AUTOBUS OU CAMIONS</v>
      </c>
      <c r="C5954" s="4">
        <v>18000</v>
      </c>
      <c r="D5954" s="4">
        <v>3000000</v>
      </c>
    </row>
    <row r="5955" spans="1:4" x14ac:dyDescent="0.25">
      <c r="A5955" t="str">
        <f>T("   401220")</f>
        <v xml:space="preserve">   401220</v>
      </c>
      <c r="B5955" t="str">
        <f>T("   PNEUMATIQUES USAGES")</f>
        <v xml:space="preserve">   PNEUMATIQUES USAGES</v>
      </c>
      <c r="C5955" s="4">
        <v>17500</v>
      </c>
      <c r="D5955" s="4">
        <v>4155000</v>
      </c>
    </row>
    <row r="5956" spans="1:4" x14ac:dyDescent="0.25">
      <c r="A5956" t="str">
        <f>T("   401310")</f>
        <v xml:space="preserve">   401310</v>
      </c>
      <c r="B5956" t="str">
        <f>T("   DES TYPES UTILISES POUR LES VOITURES DE TOURISME (Y COMPRIS LES VOITURES DU TYPE «BRE")</f>
        <v xml:space="preserve">   DES TYPES UTILISES POUR LES VOITURES DE TOURISME (Y COMPRIS LES VOITURES DU TYPE «BRE</v>
      </c>
      <c r="C5956" s="4">
        <v>3000</v>
      </c>
      <c r="D5956" s="4">
        <v>300000</v>
      </c>
    </row>
    <row r="5957" spans="1:4" x14ac:dyDescent="0.25">
      <c r="A5957" t="str">
        <f>T("   401410")</f>
        <v xml:space="preserve">   401410</v>
      </c>
      <c r="B5957" t="str">
        <f>T("   PRESERVATIFS")</f>
        <v xml:space="preserve">   PRESERVATIFS</v>
      </c>
      <c r="C5957" s="4">
        <v>2076</v>
      </c>
      <c r="D5957" s="4">
        <v>1443898</v>
      </c>
    </row>
    <row r="5958" spans="1:4" x14ac:dyDescent="0.25">
      <c r="A5958" t="str">
        <f>T("   401693")</f>
        <v xml:space="preserve">   401693</v>
      </c>
      <c r="B5958" t="str">
        <f>T("   JOINTS")</f>
        <v xml:space="preserve">   JOINTS</v>
      </c>
      <c r="C5958" s="4">
        <v>205</v>
      </c>
      <c r="D5958" s="4">
        <v>6860030</v>
      </c>
    </row>
    <row r="5959" spans="1:4" x14ac:dyDescent="0.25">
      <c r="A5959" t="str">
        <f>T("   420219")</f>
        <v xml:space="preserve">   420219</v>
      </c>
      <c r="B5959" t="str">
        <f>T("   AUTRES")</f>
        <v xml:space="preserve">   AUTRES</v>
      </c>
      <c r="C5959" s="4">
        <v>2263</v>
      </c>
      <c r="D5959" s="4">
        <v>2128693</v>
      </c>
    </row>
    <row r="5960" spans="1:4" x14ac:dyDescent="0.25">
      <c r="A5960" t="str">
        <f>T("   420229")</f>
        <v xml:space="preserve">   420229</v>
      </c>
      <c r="B5960" t="str">
        <f>T("   AUTRES")</f>
        <v xml:space="preserve">   AUTRES</v>
      </c>
      <c r="C5960" s="4">
        <v>10065</v>
      </c>
      <c r="D5960" s="4">
        <v>9421020</v>
      </c>
    </row>
    <row r="5961" spans="1:4" x14ac:dyDescent="0.25">
      <c r="A5961" t="str">
        <f>T("   481099")</f>
        <v xml:space="preserve">   481099</v>
      </c>
      <c r="B5961" t="str">
        <f>T("   AUTRES")</f>
        <v xml:space="preserve">   AUTRES</v>
      </c>
      <c r="C5961" s="4">
        <v>13578</v>
      </c>
      <c r="D5961" s="4">
        <v>15110603</v>
      </c>
    </row>
    <row r="5962" spans="1:4" x14ac:dyDescent="0.25">
      <c r="A5962" t="str">
        <f>T("   481810")</f>
        <v xml:space="preserve">   481810</v>
      </c>
      <c r="B5962" t="str">
        <f>T("   Papier hygienique")</f>
        <v xml:space="preserve">   Papier hygienique</v>
      </c>
      <c r="C5962" s="4">
        <v>2208</v>
      </c>
      <c r="D5962" s="4">
        <v>1783555</v>
      </c>
    </row>
    <row r="5963" spans="1:4" x14ac:dyDescent="0.25">
      <c r="A5963" t="str">
        <f>T("   481820")</f>
        <v xml:space="preserve">   481820</v>
      </c>
      <c r="B5963" t="str">
        <f>T("   MOUCHOIRS, SERVIETTES A DEMAQUILLER ET ESSUIEMAINS")</f>
        <v xml:space="preserve">   MOUCHOIRS, SERVIETTES A DEMAQUILLER ET ESSUIEMAINS</v>
      </c>
      <c r="C5963" s="4">
        <v>2926</v>
      </c>
      <c r="D5963" s="4">
        <v>1774124</v>
      </c>
    </row>
    <row r="5964" spans="1:4" x14ac:dyDescent="0.25">
      <c r="A5964" t="str">
        <f>T("   481890")</f>
        <v xml:space="preserve">   481890</v>
      </c>
      <c r="B5964" t="str">
        <f>T("   AUTRES")</f>
        <v xml:space="preserve">   AUTRES</v>
      </c>
      <c r="C5964" s="4">
        <v>374</v>
      </c>
      <c r="D5964" s="4">
        <v>557763</v>
      </c>
    </row>
    <row r="5965" spans="1:4" x14ac:dyDescent="0.25">
      <c r="A5965" t="str">
        <f>T("   481950")</f>
        <v xml:space="preserve">   481950</v>
      </c>
      <c r="B5965" t="str">
        <f>T("   AUTRES EMBALLAGES, Y COMPRIS LES POCHETTES POUR DISQUES")</f>
        <v xml:space="preserve">   AUTRES EMBALLAGES, Y COMPRIS LES POCHETTES POUR DISQUES</v>
      </c>
      <c r="C5965" s="4">
        <v>7600</v>
      </c>
      <c r="D5965" s="4">
        <v>2086190</v>
      </c>
    </row>
    <row r="5966" spans="1:4" x14ac:dyDescent="0.25">
      <c r="A5966" t="str">
        <f>T("   490110")</f>
        <v xml:space="preserve">   490110</v>
      </c>
      <c r="B5966" t="str">
        <f>T("   EN FEUILLETS ISOLES, MEME PLIES")</f>
        <v xml:space="preserve">   EN FEUILLETS ISOLES, MEME PLIES</v>
      </c>
      <c r="C5966" s="4">
        <v>55354</v>
      </c>
      <c r="D5966" s="4">
        <v>90007053</v>
      </c>
    </row>
    <row r="5967" spans="1:4" x14ac:dyDescent="0.25">
      <c r="A5967" t="str">
        <f>T("   490199")</f>
        <v xml:space="preserve">   490199</v>
      </c>
      <c r="B5967" t="str">
        <f>T("   AUTRES")</f>
        <v xml:space="preserve">   AUTRES</v>
      </c>
      <c r="C5967" s="4">
        <v>73972.22</v>
      </c>
      <c r="D5967" s="4">
        <v>128817702</v>
      </c>
    </row>
    <row r="5968" spans="1:4" x14ac:dyDescent="0.25">
      <c r="A5968" t="str">
        <f>T("   490290")</f>
        <v xml:space="preserve">   490290</v>
      </c>
      <c r="B5968" t="str">
        <f>T("   AUTRES")</f>
        <v xml:space="preserve">   AUTRES</v>
      </c>
      <c r="C5968" s="4">
        <v>40</v>
      </c>
      <c r="D5968" s="4">
        <v>50778</v>
      </c>
    </row>
    <row r="5969" spans="1:4" x14ac:dyDescent="0.25">
      <c r="A5969" t="str">
        <f>T("   490400")</f>
        <v xml:space="preserve">   490400</v>
      </c>
      <c r="B5969" t="str">
        <f>T("   MUSIQUE MANUSCRITE OU IMPRIMEE, ILLUSTREE OU NON, MEME RELIEE.")</f>
        <v xml:space="preserve">   MUSIQUE MANUSCRITE OU IMPRIMEE, ILLUSTREE OU NON, MEME RELIEE.</v>
      </c>
      <c r="C5969" s="4">
        <v>1583</v>
      </c>
      <c r="D5969" s="4">
        <v>2759966</v>
      </c>
    </row>
    <row r="5970" spans="1:4" x14ac:dyDescent="0.25">
      <c r="A5970" t="str">
        <f>T("   490700")</f>
        <v xml:space="preserve">   490700</v>
      </c>
      <c r="B5970" t="str">
        <f>T("   TIMBRESPOSTE, TIMBRES FISCAUX ET ANALOGUES, NON OBLITERES, AYANT COURS OU DESTINES A A")</f>
        <v xml:space="preserve">   TIMBRESPOSTE, TIMBRES FISCAUX ET ANALOGUES, NON OBLITERES, AYANT COURS OU DESTINES A A</v>
      </c>
      <c r="C5970" s="4">
        <v>77</v>
      </c>
      <c r="D5970" s="4">
        <v>101450</v>
      </c>
    </row>
    <row r="5971" spans="1:4" x14ac:dyDescent="0.25">
      <c r="A5971" t="str">
        <f>T("   490900")</f>
        <v xml:space="preserve">   490900</v>
      </c>
      <c r="B5971" t="str">
        <f>T("   CARTES POSTALES IMPRIMEES OU ILLUSTREES; CARTES IMPRIMEES COMPORTANT DES VœUX OU DES ME")</f>
        <v xml:space="preserve">   CARTES POSTALES IMPRIMEES OU ILLUSTREES; CARTES IMPRIMEES COMPORTANT DES VœUX OU DES ME</v>
      </c>
      <c r="C5971" s="4">
        <v>23</v>
      </c>
      <c r="D5971" s="4">
        <v>222945</v>
      </c>
    </row>
    <row r="5972" spans="1:4" x14ac:dyDescent="0.25">
      <c r="A5972" t="str">
        <f>T("   491000")</f>
        <v xml:space="preserve">   491000</v>
      </c>
      <c r="B5972" t="str">
        <f>T("   CALENDRIERS DE TOUS GENRES, IMPRIMES, Y COMPRIS LES BLOCS DE CALENDRIERS A EFFEUILLER.")</f>
        <v xml:space="preserve">   CALENDRIERS DE TOUS GENRES, IMPRIMES, Y COMPRIS LES BLOCS DE CALENDRIERS A EFFEUILLER.</v>
      </c>
      <c r="C5972" s="4">
        <v>1902</v>
      </c>
      <c r="D5972" s="4">
        <v>2954197</v>
      </c>
    </row>
    <row r="5973" spans="1:4" x14ac:dyDescent="0.25">
      <c r="A5973" t="str">
        <f>T("   491110")</f>
        <v xml:space="preserve">   491110</v>
      </c>
      <c r="B5973" t="str">
        <f>T("   IMPRIMES PUBLICITAIRES, CATALOGUES COMMERCIAUX ET SIMILAIRES")</f>
        <v xml:space="preserve">   IMPRIMES PUBLICITAIRES, CATALOGUES COMMERCIAUX ET SIMILAIRES</v>
      </c>
      <c r="C5973" s="4">
        <v>165</v>
      </c>
      <c r="D5973" s="4">
        <v>328449</v>
      </c>
    </row>
    <row r="5974" spans="1:4" x14ac:dyDescent="0.25">
      <c r="A5974" t="str">
        <f>T("   491191")</f>
        <v xml:space="preserve">   491191</v>
      </c>
      <c r="B5974" t="str">
        <f>T("   IMAGES, GRAVURES ET PHOTOGRAPHIES")</f>
        <v xml:space="preserve">   IMAGES, GRAVURES ET PHOTOGRAPHIES</v>
      </c>
      <c r="C5974" s="4">
        <v>32</v>
      </c>
      <c r="D5974" s="4">
        <v>2401049</v>
      </c>
    </row>
    <row r="5975" spans="1:4" x14ac:dyDescent="0.25">
      <c r="A5975" t="str">
        <f>T("   520420")</f>
        <v xml:space="preserve">   520420</v>
      </c>
      <c r="B5975" t="str">
        <f>T("   CONDITIONNES POUR LA VENTE AU DETAIL")</f>
        <v xml:space="preserve">   CONDITIONNES POUR LA VENTE AU DETAIL</v>
      </c>
      <c r="C5975" s="4">
        <v>395</v>
      </c>
      <c r="D5975" s="4">
        <v>938948</v>
      </c>
    </row>
    <row r="5976" spans="1:4" x14ac:dyDescent="0.25">
      <c r="A5976" t="str">
        <f>T("   520859")</f>
        <v xml:space="preserve">   520859</v>
      </c>
      <c r="B5976" t="str">
        <f>T("   AUTRES TISSUS")</f>
        <v xml:space="preserve">   AUTRES TISSUS</v>
      </c>
      <c r="C5976" s="4">
        <v>39538</v>
      </c>
      <c r="D5976" s="4">
        <v>21824140</v>
      </c>
    </row>
    <row r="5977" spans="1:4" x14ac:dyDescent="0.25">
      <c r="A5977" t="str">
        <f>T("   531090")</f>
        <v xml:space="preserve">   531090</v>
      </c>
      <c r="B5977" t="str">
        <f>T("   AUTRES")</f>
        <v xml:space="preserve">   AUTRES</v>
      </c>
      <c r="C5977" s="4">
        <v>816</v>
      </c>
      <c r="D5977" s="4">
        <v>15359303</v>
      </c>
    </row>
    <row r="5978" spans="1:4" x14ac:dyDescent="0.25">
      <c r="A5978" t="str">
        <f>T("   540773")</f>
        <v xml:space="preserve">   540773</v>
      </c>
      <c r="B5978" t="str">
        <f>T("   EN FILS DE DIVERSES COULEURS")</f>
        <v xml:space="preserve">   EN FILS DE DIVERSES COULEURS</v>
      </c>
      <c r="C5978" s="4">
        <v>6034</v>
      </c>
      <c r="D5978" s="4">
        <v>17642044</v>
      </c>
    </row>
    <row r="5979" spans="1:4" x14ac:dyDescent="0.25">
      <c r="A5979" t="str">
        <f>T("   560490")</f>
        <v xml:space="preserve">   560490</v>
      </c>
      <c r="B5979" t="str">
        <f>T("   AUTRES")</f>
        <v xml:space="preserve">   AUTRES</v>
      </c>
      <c r="C5979" s="4">
        <v>242</v>
      </c>
      <c r="D5979" s="4">
        <v>1167637</v>
      </c>
    </row>
    <row r="5980" spans="1:4" x14ac:dyDescent="0.25">
      <c r="A5980" t="str">
        <f>T("   610190")</f>
        <v xml:space="preserve">   610190</v>
      </c>
      <c r="B5980" t="str">
        <f>T("   D'AUTRES MATIERES TEXTILES")</f>
        <v xml:space="preserve">   D'AUTRES MATIERES TEXTILES</v>
      </c>
      <c r="C5980" s="4">
        <v>66</v>
      </c>
      <c r="D5980" s="4">
        <v>2021876</v>
      </c>
    </row>
    <row r="5981" spans="1:4" x14ac:dyDescent="0.25">
      <c r="A5981" t="str">
        <f>T("   610690")</f>
        <v xml:space="preserve">   610690</v>
      </c>
      <c r="B5981" t="str">
        <f>T("   D'AUTRES MATIERES TEXTILES")</f>
        <v xml:space="preserve">   D'AUTRES MATIERES TEXTILES</v>
      </c>
      <c r="C5981" s="4">
        <v>200</v>
      </c>
      <c r="D5981" s="4">
        <v>300000</v>
      </c>
    </row>
    <row r="5982" spans="1:4" x14ac:dyDescent="0.25">
      <c r="A5982" t="str">
        <f>T("   610990")</f>
        <v xml:space="preserve">   610990</v>
      </c>
      <c r="B5982" t="str">
        <f>T("   D'AUTRES MATIERES TEXTILES")</f>
        <v xml:space="preserve">   D'AUTRES MATIERES TEXTILES</v>
      </c>
      <c r="C5982" s="4">
        <v>2</v>
      </c>
      <c r="D5982" s="4">
        <v>167639</v>
      </c>
    </row>
    <row r="5983" spans="1:4" x14ac:dyDescent="0.25">
      <c r="A5983" t="str">
        <f>T("   611420")</f>
        <v xml:space="preserve">   611420</v>
      </c>
      <c r="B5983" t="str">
        <f>T("   DE COTON")</f>
        <v xml:space="preserve">   DE COTON</v>
      </c>
      <c r="C5983" s="4">
        <v>222</v>
      </c>
      <c r="D5983" s="4">
        <v>1538898</v>
      </c>
    </row>
    <row r="5984" spans="1:4" x14ac:dyDescent="0.25">
      <c r="A5984" t="str">
        <f>T("   611490")</f>
        <v xml:space="preserve">   611490</v>
      </c>
      <c r="B5984" t="str">
        <f>T("   D'AUTRES MATIERES TEXTILES")</f>
        <v xml:space="preserve">   D'AUTRES MATIERES TEXTILES</v>
      </c>
      <c r="C5984" s="4">
        <v>900</v>
      </c>
      <c r="D5984" s="4">
        <v>495000</v>
      </c>
    </row>
    <row r="5985" spans="1:4" x14ac:dyDescent="0.25">
      <c r="A5985" t="str">
        <f>T("   611610")</f>
        <v xml:space="preserve">   611610</v>
      </c>
      <c r="B5985" t="str">
        <f>T("   IMPREGNES, ENDUITS OU RECOUVERTS DE MATIERES PLASTIQUES OU DE CAOUTCHOUC")</f>
        <v xml:space="preserve">   IMPREGNES, ENDUITS OU RECOUVERTS DE MATIERES PLASTIQUES OU DE CAOUTCHOUC</v>
      </c>
      <c r="C5985" s="4">
        <v>254</v>
      </c>
      <c r="D5985" s="4">
        <v>425331</v>
      </c>
    </row>
    <row r="5986" spans="1:4" x14ac:dyDescent="0.25">
      <c r="A5986" t="str">
        <f>T("   620319")</f>
        <v xml:space="preserve">   620319</v>
      </c>
      <c r="B5986" t="str">
        <f>T("   D'AUTRES MATIERES TEXTILES")</f>
        <v xml:space="preserve">   D'AUTRES MATIERES TEXTILES</v>
      </c>
      <c r="C5986" s="4">
        <v>750</v>
      </c>
      <c r="D5986" s="4">
        <v>500000</v>
      </c>
    </row>
    <row r="5987" spans="1:4" x14ac:dyDescent="0.25">
      <c r="A5987" t="str">
        <f>T("   620520")</f>
        <v xml:space="preserve">   620520</v>
      </c>
      <c r="B5987" t="str">
        <f>T("   DE COTON")</f>
        <v xml:space="preserve">   DE COTON</v>
      </c>
      <c r="C5987" s="4">
        <v>272</v>
      </c>
      <c r="D5987" s="4">
        <v>940027</v>
      </c>
    </row>
    <row r="5988" spans="1:4" x14ac:dyDescent="0.25">
      <c r="A5988" t="str">
        <f>T("   620590")</f>
        <v xml:space="preserve">   620590</v>
      </c>
      <c r="B5988" t="str">
        <f>T("   D'AUTRES MATIERES TEXTILES")</f>
        <v xml:space="preserve">   D'AUTRES MATIERES TEXTILES</v>
      </c>
      <c r="C5988" s="4">
        <v>6611</v>
      </c>
      <c r="D5988" s="4">
        <v>3681075</v>
      </c>
    </row>
    <row r="5989" spans="1:4" x14ac:dyDescent="0.25">
      <c r="A5989" t="str">
        <f>T("   621040")</f>
        <v xml:space="preserve">   621040</v>
      </c>
      <c r="B5989" t="str">
        <f>T("   AUTRES VETEMENTS POUR HOMMES OU GARCONNETS")</f>
        <v xml:space="preserve">   AUTRES VETEMENTS POUR HOMMES OU GARCONNETS</v>
      </c>
      <c r="C5989" s="4">
        <v>17090</v>
      </c>
      <c r="D5989" s="4">
        <v>6694352</v>
      </c>
    </row>
    <row r="5990" spans="1:4" x14ac:dyDescent="0.25">
      <c r="A5990" t="str">
        <f>T("   621132")</f>
        <v xml:space="preserve">   621132</v>
      </c>
      <c r="B5990" t="str">
        <f>T("   DE COTON")</f>
        <v xml:space="preserve">   DE COTON</v>
      </c>
      <c r="C5990" s="4">
        <v>355</v>
      </c>
      <c r="D5990" s="4">
        <v>764121</v>
      </c>
    </row>
    <row r="5991" spans="1:4" x14ac:dyDescent="0.25">
      <c r="A5991" t="str">
        <f>T("   630590")</f>
        <v xml:space="preserve">   630590</v>
      </c>
      <c r="B5991" t="str">
        <f>T("   D'AUTRES MATIERES TEXTILES")</f>
        <v xml:space="preserve">   D'AUTRES MATIERES TEXTILES</v>
      </c>
      <c r="C5991" s="4">
        <v>280</v>
      </c>
      <c r="D5991" s="4">
        <v>700000</v>
      </c>
    </row>
    <row r="5992" spans="1:4" x14ac:dyDescent="0.25">
      <c r="A5992" t="str">
        <f>T("   630649")</f>
        <v xml:space="preserve">   630649</v>
      </c>
      <c r="B5992" t="str">
        <f>T("   MATELAS PNEUMATIQUES D'AUTRES MATIERES TEXTILES")</f>
        <v xml:space="preserve">   MATELAS PNEUMATIQUES D'AUTRES MATIERES TEXTILES</v>
      </c>
      <c r="C5992" s="4">
        <v>28</v>
      </c>
      <c r="D5992" s="4">
        <v>30000</v>
      </c>
    </row>
    <row r="5993" spans="1:4" x14ac:dyDescent="0.25">
      <c r="A5993" t="str">
        <f>T("   630900")</f>
        <v xml:space="preserve">   630900</v>
      </c>
      <c r="B5993" t="str">
        <f>T("   ARTICLES DE FRIPERIE.")</f>
        <v xml:space="preserve">   ARTICLES DE FRIPERIE.</v>
      </c>
      <c r="C5993" s="4">
        <v>17864001</v>
      </c>
      <c r="D5993" s="4">
        <v>10368166646</v>
      </c>
    </row>
    <row r="5994" spans="1:4" x14ac:dyDescent="0.25">
      <c r="A5994" t="str">
        <f>T("   631010")</f>
        <v xml:space="preserve">   631010</v>
      </c>
      <c r="B5994" t="str">
        <f>T("   TRIES")</f>
        <v xml:space="preserve">   TRIES</v>
      </c>
      <c r="C5994" s="4">
        <v>25000</v>
      </c>
      <c r="D5994" s="4">
        <v>9832000</v>
      </c>
    </row>
    <row r="5995" spans="1:4" x14ac:dyDescent="0.25">
      <c r="A5995" t="str">
        <f>T("   631090")</f>
        <v xml:space="preserve">   631090</v>
      </c>
      <c r="B5995" t="str">
        <f>T("   AUTRES")</f>
        <v xml:space="preserve">   AUTRES</v>
      </c>
      <c r="C5995" s="4">
        <v>124575</v>
      </c>
      <c r="D5995" s="4">
        <v>55955395</v>
      </c>
    </row>
    <row r="5996" spans="1:4" x14ac:dyDescent="0.25">
      <c r="A5996" t="str">
        <f>T("   640340")</f>
        <v xml:space="preserve">   640340</v>
      </c>
      <c r="B5996" t="str">
        <f>T("   AUTRES CHAUSSURES, COMPORTANT, A L'AVANT, UNE COQUILLE DE PROTECTION EN METAL")</f>
        <v xml:space="preserve">   AUTRES CHAUSSURES, COMPORTANT, A L'AVANT, UNE COQUILLE DE PROTECTION EN METAL</v>
      </c>
      <c r="C5996" s="4">
        <v>96</v>
      </c>
      <c r="D5996" s="4">
        <v>207047</v>
      </c>
    </row>
    <row r="5997" spans="1:4" x14ac:dyDescent="0.25">
      <c r="A5997" t="str">
        <f>T("   640590")</f>
        <v xml:space="preserve">   640590</v>
      </c>
      <c r="B5997" t="str">
        <f>T("   AUTRES")</f>
        <v xml:space="preserve">   AUTRES</v>
      </c>
      <c r="C5997" s="4">
        <v>43087</v>
      </c>
      <c r="D5997" s="4">
        <v>34748584</v>
      </c>
    </row>
    <row r="5998" spans="1:4" x14ac:dyDescent="0.25">
      <c r="A5998" t="str">
        <f>T("   690890")</f>
        <v xml:space="preserve">   690890</v>
      </c>
      <c r="B5998" t="str">
        <f>T("   AUTRES")</f>
        <v xml:space="preserve">   AUTRES</v>
      </c>
      <c r="C5998" s="4">
        <v>30000</v>
      </c>
      <c r="D5998" s="4">
        <v>11143448</v>
      </c>
    </row>
    <row r="5999" spans="1:4" x14ac:dyDescent="0.25">
      <c r="A5999" t="str">
        <f>T("   691090")</f>
        <v xml:space="preserve">   691090</v>
      </c>
      <c r="B5999" t="str">
        <f>T("   AUTRES")</f>
        <v xml:space="preserve">   AUTRES</v>
      </c>
      <c r="C5999" s="4">
        <v>100</v>
      </c>
      <c r="D5999" s="4">
        <v>100000</v>
      </c>
    </row>
    <row r="6000" spans="1:4" x14ac:dyDescent="0.25">
      <c r="A6000" t="str">
        <f>T("   691110")</f>
        <v xml:space="preserve">   691110</v>
      </c>
      <c r="B6000" t="str">
        <f>T("   ARTICLES POUR LE SERVICE DE LA TABLE OU DE LA CUISINE")</f>
        <v xml:space="preserve">   ARTICLES POUR LE SERVICE DE LA TABLE OU DE LA CUISINE</v>
      </c>
      <c r="C6000" s="4">
        <v>14000</v>
      </c>
      <c r="D6000" s="4">
        <v>1736000</v>
      </c>
    </row>
    <row r="6001" spans="1:4" x14ac:dyDescent="0.25">
      <c r="A6001" t="str">
        <f>T("   691190")</f>
        <v xml:space="preserve">   691190</v>
      </c>
      <c r="B6001" t="str">
        <f>T("   AUTRES")</f>
        <v xml:space="preserve">   AUTRES</v>
      </c>
      <c r="C6001" s="4">
        <v>8500</v>
      </c>
      <c r="D6001" s="4">
        <v>699253</v>
      </c>
    </row>
    <row r="6002" spans="1:4" x14ac:dyDescent="0.25">
      <c r="A6002" t="str">
        <f>T("   701337")</f>
        <v xml:space="preserve">   701337</v>
      </c>
      <c r="B6002" t="str">
        <f>T("   AUTRES")</f>
        <v xml:space="preserve">   AUTRES</v>
      </c>
      <c r="C6002" s="4">
        <v>330</v>
      </c>
      <c r="D6002" s="4">
        <v>1140679</v>
      </c>
    </row>
    <row r="6003" spans="1:4" x14ac:dyDescent="0.25">
      <c r="A6003" t="str">
        <f>T("   701790")</f>
        <v xml:space="preserve">   701790</v>
      </c>
      <c r="B6003" t="str">
        <f>T("   AUTRE")</f>
        <v xml:space="preserve">   AUTRE</v>
      </c>
      <c r="C6003" s="4">
        <v>24</v>
      </c>
      <c r="D6003" s="4">
        <v>315188</v>
      </c>
    </row>
    <row r="6004" spans="1:4" x14ac:dyDescent="0.25">
      <c r="A6004" t="str">
        <f>T("   701890")</f>
        <v xml:space="preserve">   701890</v>
      </c>
      <c r="B6004" t="str">
        <f>T("   AUTRES")</f>
        <v xml:space="preserve">   AUTRES</v>
      </c>
      <c r="C6004" s="4">
        <v>100</v>
      </c>
      <c r="D6004" s="4">
        <v>75000</v>
      </c>
    </row>
    <row r="6005" spans="1:4" x14ac:dyDescent="0.25">
      <c r="A6005" t="str">
        <f>T("   721399")</f>
        <v xml:space="preserve">   721399</v>
      </c>
      <c r="B6005" t="str">
        <f>T("   AUTRES")</f>
        <v xml:space="preserve">   AUTRES</v>
      </c>
      <c r="C6005" s="4">
        <v>2549580</v>
      </c>
      <c r="D6005" s="4">
        <v>721554368</v>
      </c>
    </row>
    <row r="6006" spans="1:4" x14ac:dyDescent="0.25">
      <c r="A6006" t="str">
        <f>T("   730799")</f>
        <v xml:space="preserve">   730799</v>
      </c>
      <c r="B6006" t="str">
        <f>T("   AUTRES")</f>
        <v xml:space="preserve">   AUTRES</v>
      </c>
      <c r="C6006" s="4">
        <v>188</v>
      </c>
      <c r="D6006" s="4">
        <v>5658979</v>
      </c>
    </row>
    <row r="6007" spans="1:4" x14ac:dyDescent="0.25">
      <c r="A6007" t="str">
        <f>T("   730820")</f>
        <v xml:space="preserve">   730820</v>
      </c>
      <c r="B6007" t="str">
        <f>T("   TOURS ET PYLONES")</f>
        <v xml:space="preserve">   TOURS ET PYLONES</v>
      </c>
      <c r="C6007" s="4">
        <v>15636</v>
      </c>
      <c r="D6007" s="4">
        <v>86220368</v>
      </c>
    </row>
    <row r="6008" spans="1:4" x14ac:dyDescent="0.25">
      <c r="A6008" t="str">
        <f>T("   731290")</f>
        <v xml:space="preserve">   731290</v>
      </c>
      <c r="B6008" t="str">
        <f>T("   AUTRES")</f>
        <v xml:space="preserve">   AUTRES</v>
      </c>
      <c r="C6008" s="4">
        <v>1469</v>
      </c>
      <c r="D6008" s="4">
        <v>3922725</v>
      </c>
    </row>
    <row r="6009" spans="1:4" x14ac:dyDescent="0.25">
      <c r="A6009" t="str">
        <f>T("   731815")</f>
        <v xml:space="preserve">   731815</v>
      </c>
      <c r="B6009" t="str">
        <f>T("   AUTRES VIS ET BOULONS, MEME AVEC LEURS ECROUS OU RONDELLES")</f>
        <v xml:space="preserve">   AUTRES VIS ET BOULONS, MEME AVEC LEURS ECROUS OU RONDELLES</v>
      </c>
      <c r="C6009" s="4">
        <v>2926</v>
      </c>
      <c r="D6009" s="4">
        <v>95709818</v>
      </c>
    </row>
    <row r="6010" spans="1:4" x14ac:dyDescent="0.25">
      <c r="A6010" t="str">
        <f>T("   731930")</f>
        <v xml:space="preserve">   731930</v>
      </c>
      <c r="B6010" t="str">
        <f>T("   AUTRES EPINGLES, EN FER OU ACIER")</f>
        <v xml:space="preserve">   AUTRES EPINGLES, EN FER OU ACIER</v>
      </c>
      <c r="C6010" s="4">
        <v>12</v>
      </c>
      <c r="D6010" s="4">
        <v>183406</v>
      </c>
    </row>
    <row r="6011" spans="1:4" x14ac:dyDescent="0.25">
      <c r="A6011" t="str">
        <f>T("   732111")</f>
        <v xml:space="preserve">   732111</v>
      </c>
      <c r="B6011" t="str">
        <f>T("   A COMBUSTIBLES GAZEUX OU A GAZ ET AUTRES COMBUSTIBLES")</f>
        <v xml:space="preserve">   A COMBUSTIBLES GAZEUX OU A GAZ ET AUTRES COMBUSTIBLES</v>
      </c>
      <c r="C6011" s="4">
        <v>28</v>
      </c>
      <c r="D6011" s="4">
        <v>60000</v>
      </c>
    </row>
    <row r="6012" spans="1:4" x14ac:dyDescent="0.25">
      <c r="A6012" t="str">
        <f>T("   732399")</f>
        <v xml:space="preserve">   732399</v>
      </c>
      <c r="B6012" t="str">
        <f>T("   AUTRES")</f>
        <v xml:space="preserve">   AUTRES</v>
      </c>
      <c r="C6012" s="4">
        <v>56332</v>
      </c>
      <c r="D6012" s="4">
        <v>26755120</v>
      </c>
    </row>
    <row r="6013" spans="1:4" x14ac:dyDescent="0.25">
      <c r="A6013" t="str">
        <f>T("   732690")</f>
        <v xml:space="preserve">   732690</v>
      </c>
      <c r="B6013" t="str">
        <f>T("   AUTRES")</f>
        <v xml:space="preserve">   AUTRES</v>
      </c>
      <c r="C6013" s="4">
        <v>578</v>
      </c>
      <c r="D6013" s="4">
        <v>34056176</v>
      </c>
    </row>
    <row r="6014" spans="1:4" x14ac:dyDescent="0.25">
      <c r="A6014" t="str">
        <f>T("   761519")</f>
        <v xml:space="preserve">   761519</v>
      </c>
      <c r="B6014" t="str">
        <f>T("   AUTRES ARTICLES DE MENAGES OU D'ECONOMIE DOMESTIQUE EN ALUMINIUM")</f>
        <v xml:space="preserve">   AUTRES ARTICLES DE MENAGES OU D'ECONOMIE DOMESTIQUE EN ALUMINIUM</v>
      </c>
      <c r="C6014" s="4">
        <v>379</v>
      </c>
      <c r="D6014" s="4">
        <v>688968</v>
      </c>
    </row>
    <row r="6015" spans="1:4" x14ac:dyDescent="0.25">
      <c r="A6015" t="str">
        <f>T("   761610")</f>
        <v xml:space="preserve">   761610</v>
      </c>
      <c r="B6015" t="str">
        <f>T("   POINTES, CLOUS, CRAMPONS APPOINTES, VIS, BOULONS, ECROUS, CROCHETS A PAS DE VIS, RIVE")</f>
        <v xml:space="preserve">   POINTES, CLOUS, CRAMPONS APPOINTES, VIS, BOULONS, ECROUS, CROCHETS A PAS DE VIS, RIVE</v>
      </c>
      <c r="C6015" s="4">
        <v>1300</v>
      </c>
      <c r="D6015" s="4">
        <v>4086631</v>
      </c>
    </row>
    <row r="6016" spans="1:4" x14ac:dyDescent="0.25">
      <c r="A6016" t="str">
        <f>T("   761699")</f>
        <v xml:space="preserve">   761699</v>
      </c>
      <c r="B6016" t="str">
        <f>T("   AUTRES")</f>
        <v xml:space="preserve">   AUTRES</v>
      </c>
      <c r="C6016" s="4">
        <v>47</v>
      </c>
      <c r="D6016" s="4">
        <v>607163</v>
      </c>
    </row>
    <row r="6017" spans="1:4" x14ac:dyDescent="0.25">
      <c r="A6017" t="str">
        <f>T("   820559")</f>
        <v xml:space="preserve">   820559</v>
      </c>
      <c r="B6017" t="str">
        <f>T("   AUTRES")</f>
        <v xml:space="preserve">   AUTRES</v>
      </c>
      <c r="C6017" s="4">
        <v>372</v>
      </c>
      <c r="D6017" s="4">
        <v>99157856</v>
      </c>
    </row>
    <row r="6018" spans="1:4" x14ac:dyDescent="0.25">
      <c r="A6018" t="str">
        <f>T("   820570")</f>
        <v xml:space="preserve">   820570</v>
      </c>
      <c r="B6018" t="str">
        <f>T("   ETAUX, SERREJOINTS ET SIMILAIRES")</f>
        <v xml:space="preserve">   ETAUX, SERREJOINTS ET SIMILAIRES</v>
      </c>
      <c r="C6018" s="4">
        <v>584</v>
      </c>
      <c r="D6018" s="4">
        <v>19504315</v>
      </c>
    </row>
    <row r="6019" spans="1:4" x14ac:dyDescent="0.25">
      <c r="A6019" t="str">
        <f>T("   820719")</f>
        <v xml:space="preserve">   820719</v>
      </c>
      <c r="B6019" t="str">
        <f>T("   AUTRES, Y COMPRIS LES PARTIES")</f>
        <v xml:space="preserve">   AUTRES, Y COMPRIS LES PARTIES</v>
      </c>
      <c r="C6019" s="4">
        <v>385</v>
      </c>
      <c r="D6019" s="4">
        <v>84657257</v>
      </c>
    </row>
    <row r="6020" spans="1:4" x14ac:dyDescent="0.25">
      <c r="A6020" t="str">
        <f>T("   830140")</f>
        <v xml:space="preserve">   830140</v>
      </c>
      <c r="B6020" t="str">
        <f>T("   AUTRES SERRURES; VERROUS")</f>
        <v xml:space="preserve">   AUTRES SERRURES; VERROUS</v>
      </c>
      <c r="C6020" s="4">
        <v>121</v>
      </c>
      <c r="D6020" s="4">
        <v>229039</v>
      </c>
    </row>
    <row r="6021" spans="1:4" x14ac:dyDescent="0.25">
      <c r="A6021" t="str">
        <f>T("   831110")</f>
        <v xml:space="preserve">   831110</v>
      </c>
      <c r="B6021" t="str">
        <f>T("   ELECTRODES ENROBEES POUR LE SOUDAGE A L'ARC, EN METAUX COMMUNS")</f>
        <v xml:space="preserve">   ELECTRODES ENROBEES POUR LE SOUDAGE A L'ARC, EN METAUX COMMUNS</v>
      </c>
      <c r="C6021" s="4">
        <v>1.37</v>
      </c>
      <c r="D6021" s="4">
        <v>629689</v>
      </c>
    </row>
    <row r="6022" spans="1:4" x14ac:dyDescent="0.25">
      <c r="A6022" t="str">
        <f>T("   841370")</f>
        <v xml:space="preserve">   841370</v>
      </c>
      <c r="B6022" t="str">
        <f>T("   Autres pompes centrifuges")</f>
        <v xml:space="preserve">   Autres pompes centrifuges</v>
      </c>
      <c r="C6022" s="4">
        <v>177</v>
      </c>
      <c r="D6022" s="4">
        <v>300128</v>
      </c>
    </row>
    <row r="6023" spans="1:4" x14ac:dyDescent="0.25">
      <c r="A6023" t="str">
        <f>T("   841381")</f>
        <v xml:space="preserve">   841381</v>
      </c>
      <c r="B6023" t="str">
        <f>T("   POMPES")</f>
        <v xml:space="preserve">   POMPES</v>
      </c>
      <c r="C6023" s="4">
        <v>3.59</v>
      </c>
      <c r="D6023" s="4">
        <v>1655649</v>
      </c>
    </row>
    <row r="6024" spans="1:4" x14ac:dyDescent="0.25">
      <c r="A6024" t="str">
        <f>T("   841451")</f>
        <v xml:space="preserve">   841451</v>
      </c>
      <c r="B6024" t="str">
        <f>T("   VENTILATEURS DE TABLE, DE SOL, MURAUX, PLAFONNIERS, DE TOITURES OU DE FENETRES, A MO")</f>
        <v xml:space="preserve">   VENTILATEURS DE TABLE, DE SOL, MURAUX, PLAFONNIERS, DE TOITURES OU DE FENETRES, A MO</v>
      </c>
      <c r="C6024" s="4">
        <v>14980</v>
      </c>
      <c r="D6024" s="4">
        <v>14378738</v>
      </c>
    </row>
    <row r="6025" spans="1:4" x14ac:dyDescent="0.25">
      <c r="A6025" t="str">
        <f>T("   841459")</f>
        <v xml:space="preserve">   841459</v>
      </c>
      <c r="B6025" t="str">
        <f>T("   AUTRES")</f>
        <v xml:space="preserve">   AUTRES</v>
      </c>
      <c r="C6025" s="4">
        <v>6000</v>
      </c>
      <c r="D6025" s="4">
        <v>613323</v>
      </c>
    </row>
    <row r="6026" spans="1:4" x14ac:dyDescent="0.25">
      <c r="A6026" t="str">
        <f>T("   841490")</f>
        <v xml:space="preserve">   841490</v>
      </c>
      <c r="B6026" t="str">
        <f>T("   PARTIES")</f>
        <v xml:space="preserve">   PARTIES</v>
      </c>
      <c r="C6026" s="4">
        <v>13</v>
      </c>
      <c r="D6026" s="4">
        <v>28878</v>
      </c>
    </row>
    <row r="6027" spans="1:4" x14ac:dyDescent="0.25">
      <c r="A6027" t="str">
        <f>T("   841620")</f>
        <v xml:space="preserve">   841620</v>
      </c>
      <c r="B6027" t="str">
        <f>T("   AUTRES BRULEURS, Y COMPRIS LES BRULEURS MIXTES")</f>
        <v xml:space="preserve">   AUTRES BRULEURS, Y COMPRIS LES BRULEURS MIXTES</v>
      </c>
      <c r="C6027" s="4">
        <v>269</v>
      </c>
      <c r="D6027" s="4">
        <v>501757</v>
      </c>
    </row>
    <row r="6028" spans="1:4" x14ac:dyDescent="0.25">
      <c r="A6028" t="str">
        <f>T("   841780")</f>
        <v xml:space="preserve">   841780</v>
      </c>
      <c r="B6028" t="str">
        <f>T("   AUTRES")</f>
        <v xml:space="preserve">   AUTRES</v>
      </c>
      <c r="C6028" s="4">
        <v>4280</v>
      </c>
      <c r="D6028" s="4">
        <v>42943530</v>
      </c>
    </row>
    <row r="6029" spans="1:4" x14ac:dyDescent="0.25">
      <c r="A6029" t="str">
        <f>T("   841810")</f>
        <v xml:space="preserve">   841810</v>
      </c>
      <c r="B6029" t="str">
        <f>T("   COMBINAISONS DE REFRIGERATEURS ET DE CONGELATEURSCONSERVATEURS MUNIS DE PORTES EXTER")</f>
        <v xml:space="preserve">   COMBINAISONS DE REFRIGERATEURS ET DE CONGELATEURSCONSERVATEURS MUNIS DE PORTES EXTER</v>
      </c>
      <c r="C6029" s="4">
        <v>400</v>
      </c>
      <c r="D6029" s="4">
        <v>775000</v>
      </c>
    </row>
    <row r="6030" spans="1:4" x14ac:dyDescent="0.25">
      <c r="A6030" t="str">
        <f>T("   841829")</f>
        <v xml:space="preserve">   841829</v>
      </c>
      <c r="B6030" t="str">
        <f>T("   AUTRES")</f>
        <v xml:space="preserve">   AUTRES</v>
      </c>
      <c r="C6030" s="4">
        <v>847754</v>
      </c>
      <c r="D6030" s="4">
        <v>154103350</v>
      </c>
    </row>
    <row r="6031" spans="1:4" x14ac:dyDescent="0.25">
      <c r="A6031" t="str">
        <f>T("   841891")</f>
        <v xml:space="preserve">   841891</v>
      </c>
      <c r="B6031" t="str">
        <f>T("   Meubles concus pour recevoir un equipement pour la production du froid")</f>
        <v xml:space="preserve">   Meubles concus pour recevoir un equipement pour la production du froid</v>
      </c>
      <c r="C6031" s="4">
        <v>6434</v>
      </c>
      <c r="D6031" s="4">
        <v>4109589</v>
      </c>
    </row>
    <row r="6032" spans="1:4" x14ac:dyDescent="0.25">
      <c r="A6032" t="str">
        <f>T("   841919")</f>
        <v xml:space="preserve">   841919</v>
      </c>
      <c r="B6032" t="str">
        <f>T("   AUTRES")</f>
        <v xml:space="preserve">   AUTRES</v>
      </c>
      <c r="C6032" s="4">
        <v>1</v>
      </c>
      <c r="D6032" s="4">
        <v>10000</v>
      </c>
    </row>
    <row r="6033" spans="1:4" x14ac:dyDescent="0.25">
      <c r="A6033" t="str">
        <f>T("   841920")</f>
        <v xml:space="preserve">   841920</v>
      </c>
      <c r="B6033" t="str">
        <f>T("   STERILISATEURS MEDICOCHIRURGICAUX OU DE LABORATOIRES")</f>
        <v xml:space="preserve">   STERILISATEURS MEDICOCHIRURGICAUX OU DE LABORATOIRES</v>
      </c>
      <c r="C6033" s="4">
        <v>7</v>
      </c>
      <c r="D6033" s="4">
        <v>89479</v>
      </c>
    </row>
    <row r="6034" spans="1:4" x14ac:dyDescent="0.25">
      <c r="A6034" t="str">
        <f>T("   841950")</f>
        <v xml:space="preserve">   841950</v>
      </c>
      <c r="B6034" t="str">
        <f>T("   Echangeurs de chaleur")</f>
        <v xml:space="preserve">   Echangeurs de chaleur</v>
      </c>
      <c r="C6034" s="4">
        <v>14566</v>
      </c>
      <c r="D6034" s="4">
        <v>194179440</v>
      </c>
    </row>
    <row r="6035" spans="1:4" x14ac:dyDescent="0.25">
      <c r="A6035" t="str">
        <f>T("   842129")</f>
        <v xml:space="preserve">   842129</v>
      </c>
      <c r="B6035" t="str">
        <f>T("   AUTRES")</f>
        <v xml:space="preserve">   AUTRES</v>
      </c>
      <c r="C6035" s="4">
        <v>2358</v>
      </c>
      <c r="D6035" s="4">
        <v>34927404</v>
      </c>
    </row>
    <row r="6036" spans="1:4" x14ac:dyDescent="0.25">
      <c r="A6036" t="str">
        <f>T("   842211")</f>
        <v xml:space="preserve">   842211</v>
      </c>
      <c r="B6036" t="str">
        <f>T("   DE TYPE MENAGER")</f>
        <v xml:space="preserve">   DE TYPE MENAGER</v>
      </c>
      <c r="C6036" s="4">
        <v>50</v>
      </c>
      <c r="D6036" s="4">
        <v>30000</v>
      </c>
    </row>
    <row r="6037" spans="1:4" x14ac:dyDescent="0.25">
      <c r="A6037" t="str">
        <f>T("   842230")</f>
        <v xml:space="preserve">   842230</v>
      </c>
      <c r="B6037" t="str">
        <f>T("   MACHINES ET APPAREILS A REMPLIR, FERMER, BOUCHER OU ETIQUETER LES BOUTEILLES, BOITES,")</f>
        <v xml:space="preserve">   MACHINES ET APPAREILS A REMPLIR, FERMER, BOUCHER OU ETIQUETER LES BOUTEILLES, BOITES,</v>
      </c>
      <c r="C6037" s="4">
        <v>1.5</v>
      </c>
      <c r="D6037" s="4">
        <v>1156996</v>
      </c>
    </row>
    <row r="6038" spans="1:4" x14ac:dyDescent="0.25">
      <c r="A6038" t="str">
        <f>T("   842240")</f>
        <v xml:space="preserve">   842240</v>
      </c>
      <c r="B6038" t="str">
        <f>T("   AUTRES MACHINES ET APPAREILS A EMPAQUETER OU A EMBALLER LES MARCHANDISES (Y COMPRIS L")</f>
        <v xml:space="preserve">   AUTRES MACHINES ET APPAREILS A EMPAQUETER OU A EMBALLER LES MARCHANDISES (Y COMPRIS L</v>
      </c>
      <c r="C6038" s="4">
        <v>110</v>
      </c>
      <c r="D6038" s="4">
        <v>229531</v>
      </c>
    </row>
    <row r="6039" spans="1:4" x14ac:dyDescent="0.25">
      <c r="A6039" t="str">
        <f>T("   842290")</f>
        <v xml:space="preserve">   842290</v>
      </c>
      <c r="B6039" t="str">
        <f>T("   PARTIES")</f>
        <v xml:space="preserve">   PARTIES</v>
      </c>
      <c r="C6039" s="4">
        <v>6</v>
      </c>
      <c r="D6039" s="4">
        <v>4758251</v>
      </c>
    </row>
    <row r="6040" spans="1:4" x14ac:dyDescent="0.25">
      <c r="A6040" t="str">
        <f>T("   842389")</f>
        <v xml:space="preserve">   842389</v>
      </c>
      <c r="B6040" t="str">
        <f>T("   AUTRES")</f>
        <v xml:space="preserve">   AUTRES</v>
      </c>
      <c r="C6040" s="4">
        <v>100</v>
      </c>
      <c r="D6040" s="4">
        <v>59748</v>
      </c>
    </row>
    <row r="6041" spans="1:4" x14ac:dyDescent="0.25">
      <c r="A6041" t="str">
        <f>T("   842390")</f>
        <v xml:space="preserve">   842390</v>
      </c>
      <c r="B6041" t="str">
        <f>T("   POIDS POUR TOUTES BALANCES; PARTIES D'APPAREILS OU INSTRUMENTS DE PESAGE")</f>
        <v xml:space="preserve">   POIDS POUR TOUTES BALANCES; PARTIES D'APPAREILS OU INSTRUMENTS DE PESAGE</v>
      </c>
      <c r="C6041" s="4">
        <v>269.60000000000002</v>
      </c>
      <c r="D6041" s="4">
        <v>8424114</v>
      </c>
    </row>
    <row r="6042" spans="1:4" x14ac:dyDescent="0.25">
      <c r="A6042" t="str">
        <f>T("   842420")</f>
        <v xml:space="preserve">   842420</v>
      </c>
      <c r="B6042" t="str">
        <f>T("   Pistolets aerographes et appareils similaires")</f>
        <v xml:space="preserve">   Pistolets aerographes et appareils similaires</v>
      </c>
      <c r="C6042" s="4">
        <v>163</v>
      </c>
      <c r="D6042" s="4">
        <v>295772</v>
      </c>
    </row>
    <row r="6043" spans="1:4" x14ac:dyDescent="0.25">
      <c r="A6043" t="str">
        <f>T("   842542")</f>
        <v xml:space="preserve">   842542</v>
      </c>
      <c r="B6043" t="str">
        <f>T("   AUTRES CRICS ET VERINS, HYDRAULIQUES")</f>
        <v xml:space="preserve">   AUTRES CRICS ET VERINS, HYDRAULIQUES</v>
      </c>
      <c r="C6043" s="4">
        <v>30</v>
      </c>
      <c r="D6043" s="4">
        <v>582539</v>
      </c>
    </row>
    <row r="6044" spans="1:4" x14ac:dyDescent="0.25">
      <c r="A6044" t="str">
        <f>T("   842549")</f>
        <v xml:space="preserve">   842549</v>
      </c>
      <c r="B6044" t="str">
        <f>T("   AUTRES")</f>
        <v xml:space="preserve">   AUTRES</v>
      </c>
      <c r="C6044" s="4">
        <v>1000</v>
      </c>
      <c r="D6044" s="4">
        <v>12516883</v>
      </c>
    </row>
    <row r="6045" spans="1:4" x14ac:dyDescent="0.25">
      <c r="A6045" t="str">
        <f>T("   842790")</f>
        <v xml:space="preserve">   842790</v>
      </c>
      <c r="B6045" t="str">
        <f>T("   AUTRES CHARIOTS")</f>
        <v xml:space="preserve">   AUTRES CHARIOTS</v>
      </c>
      <c r="C6045" s="4">
        <v>844</v>
      </c>
      <c r="D6045" s="4">
        <v>1535602</v>
      </c>
    </row>
    <row r="6046" spans="1:4" x14ac:dyDescent="0.25">
      <c r="A6046" t="str">
        <f>T("   843120")</f>
        <v xml:space="preserve">   843120</v>
      </c>
      <c r="B6046" t="str">
        <f>T("   DE MACHINES OU APPAREILS DU N° 84.27")</f>
        <v xml:space="preserve">   DE MACHINES OU APPAREILS DU N° 84.27</v>
      </c>
      <c r="C6046" s="4">
        <v>11674</v>
      </c>
      <c r="D6046" s="4">
        <v>119502563</v>
      </c>
    </row>
    <row r="6047" spans="1:4" x14ac:dyDescent="0.25">
      <c r="A6047" t="str">
        <f>T("   843139")</f>
        <v xml:space="preserve">   843139</v>
      </c>
      <c r="B6047" t="str">
        <f>T("   AUTRES")</f>
        <v xml:space="preserve">   AUTRES</v>
      </c>
      <c r="C6047" s="4">
        <v>8314.2000000000007</v>
      </c>
      <c r="D6047" s="4">
        <v>176946925</v>
      </c>
    </row>
    <row r="6048" spans="1:4" x14ac:dyDescent="0.25">
      <c r="A6048" t="str">
        <f>T("   843143")</f>
        <v xml:space="preserve">   843143</v>
      </c>
      <c r="B6048" t="str">
        <f>T("   PARTIES DE MACHINES DE SONDAGE OU DE FORAGE DES N°S 8430.41 OU 8430.49")</f>
        <v xml:space="preserve">   PARTIES DE MACHINES DE SONDAGE OU DE FORAGE DES N°S 8430.41 OU 8430.49</v>
      </c>
      <c r="C6048" s="4">
        <v>340</v>
      </c>
      <c r="D6048" s="4">
        <v>390865</v>
      </c>
    </row>
    <row r="6049" spans="1:4" x14ac:dyDescent="0.25">
      <c r="A6049" t="str">
        <f>T("   843149")</f>
        <v xml:space="preserve">   843149</v>
      </c>
      <c r="B6049" t="str">
        <f>T("   AUTRES")</f>
        <v xml:space="preserve">   AUTRES</v>
      </c>
      <c r="C6049" s="4">
        <v>405</v>
      </c>
      <c r="D6049" s="4">
        <v>5216345</v>
      </c>
    </row>
    <row r="6050" spans="1:4" x14ac:dyDescent="0.25">
      <c r="A6050" t="str">
        <f>T("   843390")</f>
        <v xml:space="preserve">   843390</v>
      </c>
      <c r="B6050" t="str">
        <f>T("   PARTIES")</f>
        <v xml:space="preserve">   PARTIES</v>
      </c>
      <c r="C6050" s="4">
        <v>365</v>
      </c>
      <c r="D6050" s="4">
        <v>611125</v>
      </c>
    </row>
    <row r="6051" spans="1:4" x14ac:dyDescent="0.25">
      <c r="A6051" t="str">
        <f>T("   844319")</f>
        <v xml:space="preserve">   844319</v>
      </c>
      <c r="B6051" t="str">
        <f>T("   AUTRES")</f>
        <v xml:space="preserve">   AUTRES</v>
      </c>
      <c r="C6051" s="4">
        <v>20000</v>
      </c>
      <c r="D6051" s="4">
        <v>127649816</v>
      </c>
    </row>
    <row r="6052" spans="1:4" x14ac:dyDescent="0.25">
      <c r="A6052" t="str">
        <f>T("   844332")</f>
        <v xml:space="preserve">   844332</v>
      </c>
      <c r="B6052" t="str">
        <f>T("   AUTRES, APTES A ETRE CONNECTEES A UNE MACHINE AUTOMATIQUE DE TRAITEMENT DE L’INFORMA")</f>
        <v xml:space="preserve">   AUTRES, APTES A ETRE CONNECTEES A UNE MACHINE AUTOMATIQUE DE TRAITEMENT DE L’INFORMA</v>
      </c>
      <c r="C6052" s="4">
        <v>3</v>
      </c>
      <c r="D6052" s="4">
        <v>1448697</v>
      </c>
    </row>
    <row r="6053" spans="1:4" x14ac:dyDescent="0.25">
      <c r="A6053" t="str">
        <f>T("   844339")</f>
        <v xml:space="preserve">   844339</v>
      </c>
      <c r="B6053" t="str">
        <f>T("   AUTRES")</f>
        <v xml:space="preserve">   AUTRES</v>
      </c>
      <c r="C6053" s="4">
        <v>371</v>
      </c>
      <c r="D6053" s="4">
        <v>19529684</v>
      </c>
    </row>
    <row r="6054" spans="1:4" x14ac:dyDescent="0.25">
      <c r="A6054" t="str">
        <f>T("   844391")</f>
        <v xml:space="preserve">   844391</v>
      </c>
      <c r="B6054" t="str">
        <f>T("   PARTIES ET ACCESSOIRES DE MACHINES ET D’APPAREILS SERVANT A L’IMPRESSION AU MOYEN DE")</f>
        <v xml:space="preserve">   PARTIES ET ACCESSOIRES DE MACHINES ET D’APPAREILS SERVANT A L’IMPRESSION AU MOYEN DE</v>
      </c>
      <c r="C6054" s="4">
        <v>272</v>
      </c>
      <c r="D6054" s="4">
        <v>437525</v>
      </c>
    </row>
    <row r="6055" spans="1:4" x14ac:dyDescent="0.25">
      <c r="A6055" t="str">
        <f>T("   845121")</f>
        <v xml:space="preserve">   845121</v>
      </c>
      <c r="B6055" t="str">
        <f>T("   D'UNE CAPACITE UNITAIRE EXPRIMEE EN POIDS DE LINGE SEC N'EXCEDANT PAS 10 KG")</f>
        <v xml:space="preserve">   D'UNE CAPACITE UNITAIRE EXPRIMEE EN POIDS DE LINGE SEC N'EXCEDANT PAS 10 KG</v>
      </c>
      <c r="C6055" s="4">
        <v>2243</v>
      </c>
      <c r="D6055" s="4">
        <v>1165398</v>
      </c>
    </row>
    <row r="6056" spans="1:4" x14ac:dyDescent="0.25">
      <c r="A6056" t="str">
        <f>T("   845190")</f>
        <v xml:space="preserve">   845190</v>
      </c>
      <c r="B6056" t="str">
        <f>T("   PARTIES")</f>
        <v xml:space="preserve">   PARTIES</v>
      </c>
      <c r="C6056" s="4">
        <v>880</v>
      </c>
      <c r="D6056" s="4">
        <v>1125923</v>
      </c>
    </row>
    <row r="6057" spans="1:4" x14ac:dyDescent="0.25">
      <c r="A6057" t="str">
        <f>T("   846291")</f>
        <v xml:space="preserve">   846291</v>
      </c>
      <c r="B6057" t="str">
        <f>T("   PRESSES HYDRAULIQUES")</f>
        <v xml:space="preserve">   PRESSES HYDRAULIQUES</v>
      </c>
      <c r="C6057" s="4">
        <v>7738</v>
      </c>
      <c r="D6057" s="4">
        <v>46470502</v>
      </c>
    </row>
    <row r="6058" spans="1:4" x14ac:dyDescent="0.25">
      <c r="A6058" t="str">
        <f>T("   846691")</f>
        <v xml:space="preserve">   846691</v>
      </c>
      <c r="B6058" t="str">
        <f>T("   POUR MACHINES DU N° 84.64")</f>
        <v xml:space="preserve">   POUR MACHINES DU N° 84.64</v>
      </c>
      <c r="C6058" s="4">
        <v>2577</v>
      </c>
      <c r="D6058" s="4">
        <v>6127736</v>
      </c>
    </row>
    <row r="6059" spans="1:4" x14ac:dyDescent="0.25">
      <c r="A6059" t="str">
        <f>T("   846789")</f>
        <v xml:space="preserve">   846789</v>
      </c>
      <c r="B6059" t="str">
        <f>T("   AUTRES")</f>
        <v xml:space="preserve">   AUTRES</v>
      </c>
      <c r="C6059" s="4">
        <v>542</v>
      </c>
      <c r="D6059" s="4">
        <v>1577808</v>
      </c>
    </row>
    <row r="6060" spans="1:4" x14ac:dyDescent="0.25">
      <c r="A6060" t="str">
        <f>T("   847130")</f>
        <v xml:space="preserve">   847130</v>
      </c>
      <c r="B6060" t="str">
        <f>T("   MACHINES AUTOMATIQUES DE TRAITEMENT DE L'INFORMATION PORTATIVES, D'UN POIDS N'EXCEDAN")</f>
        <v xml:space="preserve">   MACHINES AUTOMATIQUES DE TRAITEMENT DE L'INFORMATION PORTATIVES, D'UN POIDS N'EXCEDAN</v>
      </c>
      <c r="C6060" s="4">
        <v>5</v>
      </c>
      <c r="D6060" s="4">
        <v>10000</v>
      </c>
    </row>
    <row r="6061" spans="1:4" x14ac:dyDescent="0.25">
      <c r="A6061" t="str">
        <f>T("   847141")</f>
        <v xml:space="preserve">   847141</v>
      </c>
      <c r="B6061" t="str">
        <f>T("   COMPORTANT, SOUS UNE MEME ENVELOPPE, AU MOINS UNE UNITE CENTRALE DE TRAITEMENT ET, Q")</f>
        <v xml:space="preserve">   COMPORTANT, SOUS UNE MEME ENVELOPPE, AU MOINS UNE UNITE CENTRALE DE TRAITEMENT ET, Q</v>
      </c>
      <c r="C6061" s="4">
        <v>0.4</v>
      </c>
      <c r="D6061" s="4">
        <v>76713</v>
      </c>
    </row>
    <row r="6062" spans="1:4" x14ac:dyDescent="0.25">
      <c r="A6062" t="str">
        <f>T("   847149")</f>
        <v xml:space="preserve">   847149</v>
      </c>
      <c r="B6062" t="str">
        <f>T("   AUTRES, SE PRESENTANT SOUS FORME DE SYSTEMES")</f>
        <v xml:space="preserve">   AUTRES, SE PRESENTANT SOUS FORME DE SYSTEMES</v>
      </c>
      <c r="C6062" s="4">
        <v>1000</v>
      </c>
      <c r="D6062" s="4">
        <v>473892</v>
      </c>
    </row>
    <row r="6063" spans="1:4" x14ac:dyDescent="0.25">
      <c r="A6063" t="str">
        <f>T("   847180")</f>
        <v xml:space="preserve">   847180</v>
      </c>
      <c r="B6063" t="str">
        <f>T("   AUTRES UNITES DE MACHINES AUTOMATIQUES DE TRAITEMENT DE L'INFORMATION")</f>
        <v xml:space="preserve">   AUTRES UNITES DE MACHINES AUTOMATIQUES DE TRAITEMENT DE L'INFORMATION</v>
      </c>
      <c r="C6063" s="4">
        <v>13075</v>
      </c>
      <c r="D6063" s="4">
        <v>7934371</v>
      </c>
    </row>
    <row r="6064" spans="1:4" x14ac:dyDescent="0.25">
      <c r="A6064" t="str">
        <f>T("   847190")</f>
        <v xml:space="preserve">   847190</v>
      </c>
      <c r="B6064" t="str">
        <f>T("   AUTRES")</f>
        <v xml:space="preserve">   AUTRES</v>
      </c>
      <c r="C6064" s="4">
        <v>659.1</v>
      </c>
      <c r="D6064" s="4">
        <v>40159892</v>
      </c>
    </row>
    <row r="6065" spans="1:4" x14ac:dyDescent="0.25">
      <c r="A6065" t="str">
        <f>T("   847410")</f>
        <v xml:space="preserve">   847410</v>
      </c>
      <c r="B6065" t="str">
        <f>T("   MACHINES ET APPAREILS A TRIER, CRIBLER, SEPARER OU LAVER")</f>
        <v xml:space="preserve">   MACHINES ET APPAREILS A TRIER, CRIBLER, SEPARER OU LAVER</v>
      </c>
      <c r="C6065" s="4">
        <v>19040</v>
      </c>
      <c r="D6065" s="4">
        <v>13389456</v>
      </c>
    </row>
    <row r="6066" spans="1:4" x14ac:dyDescent="0.25">
      <c r="A6066" t="str">
        <f>T("   847490")</f>
        <v xml:space="preserve">   847490</v>
      </c>
      <c r="B6066" t="str">
        <f>T("   PARTIES")</f>
        <v xml:space="preserve">   PARTIES</v>
      </c>
      <c r="C6066" s="4">
        <v>13495</v>
      </c>
      <c r="D6066" s="4">
        <v>35501539</v>
      </c>
    </row>
    <row r="6067" spans="1:4" x14ac:dyDescent="0.25">
      <c r="A6067" t="str">
        <f>T("   847982")</f>
        <v xml:space="preserve">   847982</v>
      </c>
      <c r="B6067" t="str">
        <f>T("   A MELANGER, MALAXER, CONCASSER, BROYER, CRIBLER, TAMISER, HOMOGENEISER, EMULSIONNER")</f>
        <v xml:space="preserve">   A MELANGER, MALAXER, CONCASSER, BROYER, CRIBLER, TAMISER, HOMOGENEISER, EMULSIONNER</v>
      </c>
      <c r="C6067" s="4">
        <v>1900</v>
      </c>
      <c r="D6067" s="4">
        <v>154348</v>
      </c>
    </row>
    <row r="6068" spans="1:4" x14ac:dyDescent="0.25">
      <c r="A6068" t="str">
        <f>T("   848130")</f>
        <v xml:space="preserve">   848130</v>
      </c>
      <c r="B6068" t="str">
        <f>T("   Clapets et soupapes de retenue")</f>
        <v xml:space="preserve">   Clapets et soupapes de retenue</v>
      </c>
      <c r="C6068" s="4">
        <v>45</v>
      </c>
      <c r="D6068" s="4">
        <v>1297373</v>
      </c>
    </row>
    <row r="6069" spans="1:4" x14ac:dyDescent="0.25">
      <c r="A6069" t="str">
        <f>T("   848180")</f>
        <v xml:space="preserve">   848180</v>
      </c>
      <c r="B6069" t="str">
        <f>T("   Autres articles de robinetterie et organes similaires")</f>
        <v xml:space="preserve">   Autres articles de robinetterie et organes similaires</v>
      </c>
      <c r="C6069" s="4">
        <v>250</v>
      </c>
      <c r="D6069" s="4">
        <v>3054852</v>
      </c>
    </row>
    <row r="6070" spans="1:4" x14ac:dyDescent="0.25">
      <c r="A6070" t="str">
        <f>T("   848340")</f>
        <v xml:space="preserve">   848340</v>
      </c>
      <c r="B6070" t="str">
        <f>T("   ENGRENAGES ET ROUES DE FRICTION, AUTRES QUE LES ROUES DENTEES ET AUTRES ORGANES ELEME")</f>
        <v xml:space="preserve">   ENGRENAGES ET ROUES DE FRICTION, AUTRES QUE LES ROUES DENTEES ET AUTRES ORGANES ELEME</v>
      </c>
      <c r="C6070" s="4">
        <v>452</v>
      </c>
      <c r="D6070" s="4">
        <v>7894235</v>
      </c>
    </row>
    <row r="6071" spans="1:4" x14ac:dyDescent="0.25">
      <c r="A6071" t="str">
        <f>T("   850151")</f>
        <v xml:space="preserve">   850151</v>
      </c>
      <c r="B6071" t="str">
        <f>T("   D'UNE PUISSANCE N'EXCEDANT PAS 750 W")</f>
        <v xml:space="preserve">   D'UNE PUISSANCE N'EXCEDANT PAS 750 W</v>
      </c>
      <c r="C6071" s="4">
        <v>12000</v>
      </c>
      <c r="D6071" s="4">
        <v>38487797</v>
      </c>
    </row>
    <row r="6072" spans="1:4" x14ac:dyDescent="0.25">
      <c r="A6072" t="str">
        <f>T("   850152")</f>
        <v xml:space="preserve">   850152</v>
      </c>
      <c r="B6072" t="str">
        <f>T("   D'UNE PUISSANCE EXCEDANT 750 W MAIS N'EXCEDANT PAS 75 KW")</f>
        <v xml:space="preserve">   D'UNE PUISSANCE EXCEDANT 750 W MAIS N'EXCEDANT PAS 75 KW</v>
      </c>
      <c r="C6072" s="4">
        <v>1000</v>
      </c>
      <c r="D6072" s="4">
        <v>100000</v>
      </c>
    </row>
    <row r="6073" spans="1:4" x14ac:dyDescent="0.25">
      <c r="A6073" t="str">
        <f>T("   850211")</f>
        <v xml:space="preserve">   850211</v>
      </c>
      <c r="B6073" t="str">
        <f>T("   D'UNE PUISSANCE N'EXCEDANT PAS 75 KVA")</f>
        <v xml:space="preserve">   D'UNE PUISSANCE N'EXCEDANT PAS 75 KVA</v>
      </c>
      <c r="C6073" s="4">
        <v>34954</v>
      </c>
      <c r="D6073" s="4">
        <v>269067293</v>
      </c>
    </row>
    <row r="6074" spans="1:4" x14ac:dyDescent="0.25">
      <c r="A6074" t="str">
        <f>T("   850212")</f>
        <v xml:space="preserve">   850212</v>
      </c>
      <c r="B6074" t="str">
        <f>T("   D'UNE PUISSANCE EXCEDANT 75 KVA MAIS N'EXCEDANT PAS 375 KVA")</f>
        <v xml:space="preserve">   D'UNE PUISSANCE EXCEDANT 75 KVA MAIS N'EXCEDANT PAS 375 KVA</v>
      </c>
      <c r="C6074" s="4">
        <v>550</v>
      </c>
      <c r="D6074" s="4">
        <v>1636526</v>
      </c>
    </row>
    <row r="6075" spans="1:4" x14ac:dyDescent="0.25">
      <c r="A6075" t="str">
        <f>T("   850213")</f>
        <v xml:space="preserve">   850213</v>
      </c>
      <c r="B6075" t="str">
        <f>T("   D'UNE PUISSANCE EXCEDANT 375 KVA")</f>
        <v xml:space="preserve">   D'UNE PUISSANCE EXCEDANT 375 KVA</v>
      </c>
      <c r="C6075" s="4">
        <v>15443</v>
      </c>
      <c r="D6075" s="4">
        <v>27985310</v>
      </c>
    </row>
    <row r="6076" spans="1:4" x14ac:dyDescent="0.25">
      <c r="A6076" t="str">
        <f>T("   850220")</f>
        <v xml:space="preserve">   850220</v>
      </c>
      <c r="B6076" t="str">
        <f>T("   GROUPES ELECTROGENES A MOTEUR A PISTON A ALLUMAGE PAR ETINCELLES (MOTEURS A EXPLOSION")</f>
        <v xml:space="preserve">   GROUPES ELECTROGENES A MOTEUR A PISTON A ALLUMAGE PAR ETINCELLES (MOTEURS A EXPLOSION</v>
      </c>
      <c r="C6076" s="4">
        <v>55</v>
      </c>
      <c r="D6076" s="4">
        <v>180300</v>
      </c>
    </row>
    <row r="6077" spans="1:4" x14ac:dyDescent="0.25">
      <c r="A6077" t="str">
        <f>T("   850421")</f>
        <v xml:space="preserve">   850421</v>
      </c>
      <c r="B6077" t="str">
        <f>T("   D'UNE PUISSANCE N'EXCEDANT PAS 650 KVA")</f>
        <v xml:space="preserve">   D'UNE PUISSANCE N'EXCEDANT PAS 650 KVA</v>
      </c>
      <c r="C6077" s="4">
        <v>3180</v>
      </c>
      <c r="D6077" s="4">
        <v>106239938</v>
      </c>
    </row>
    <row r="6078" spans="1:4" x14ac:dyDescent="0.25">
      <c r="A6078" t="str">
        <f>T("   850940")</f>
        <v xml:space="preserve">   850940</v>
      </c>
      <c r="B6078" t="str">
        <f>T("   BROYEURS ET MELANGEURS POUR ALIMENTS; PRESSEFRUITS ET PRESSELEGUMES")</f>
        <v xml:space="preserve">   BROYEURS ET MELANGEURS POUR ALIMENTS; PRESSEFRUITS ET PRESSELEGUMES</v>
      </c>
      <c r="C6078" s="4">
        <v>6764</v>
      </c>
      <c r="D6078" s="4">
        <v>4114779</v>
      </c>
    </row>
    <row r="6079" spans="1:4" x14ac:dyDescent="0.25">
      <c r="A6079" t="str">
        <f>T("   851640")</f>
        <v xml:space="preserve">   851640</v>
      </c>
      <c r="B6079" t="str">
        <f>T("   Fers a repasser electriques")</f>
        <v xml:space="preserve">   Fers a repasser electriques</v>
      </c>
      <c r="C6079" s="4">
        <v>3978</v>
      </c>
      <c r="D6079" s="4">
        <v>3213454</v>
      </c>
    </row>
    <row r="6080" spans="1:4" x14ac:dyDescent="0.25">
      <c r="A6080" t="str">
        <f>T("   851679")</f>
        <v xml:space="preserve">   851679</v>
      </c>
      <c r="B6080" t="str">
        <f>T("   AUTRES")</f>
        <v xml:space="preserve">   AUTRES</v>
      </c>
      <c r="C6080" s="4">
        <v>30021</v>
      </c>
      <c r="D6080" s="4">
        <v>6008898</v>
      </c>
    </row>
    <row r="6081" spans="1:4" x14ac:dyDescent="0.25">
      <c r="A6081" t="str">
        <f>T("   851680")</f>
        <v xml:space="preserve">   851680</v>
      </c>
      <c r="B6081" t="str">
        <f>T("   Resistances chauffantes")</f>
        <v xml:space="preserve">   Resistances chauffantes</v>
      </c>
      <c r="C6081" s="4">
        <v>2</v>
      </c>
      <c r="D6081" s="4">
        <v>920972</v>
      </c>
    </row>
    <row r="6082" spans="1:4" x14ac:dyDescent="0.25">
      <c r="A6082" t="str">
        <f>T("   851711")</f>
        <v xml:space="preserve">   851711</v>
      </c>
      <c r="B6082" t="str">
        <f>T("   POSTES TELEPHONIQUES D'USAGERS PAR FIL A COMBINES SANS FIL")</f>
        <v xml:space="preserve">   POSTES TELEPHONIQUES D'USAGERS PAR FIL A COMBINES SANS FIL</v>
      </c>
      <c r="C6082" s="4">
        <v>669</v>
      </c>
      <c r="D6082" s="4">
        <v>540031</v>
      </c>
    </row>
    <row r="6083" spans="1:4" x14ac:dyDescent="0.25">
      <c r="A6083" t="str">
        <f>T("   851761")</f>
        <v xml:space="preserve">   851761</v>
      </c>
      <c r="B6083" t="str">
        <f>T("   STATIONS DE BASE")</f>
        <v xml:space="preserve">   STATIONS DE BASE</v>
      </c>
      <c r="C6083" s="4">
        <v>1.2</v>
      </c>
      <c r="D6083" s="4">
        <v>242747</v>
      </c>
    </row>
    <row r="6084" spans="1:4" x14ac:dyDescent="0.25">
      <c r="A6084" t="str">
        <f>T("   851762")</f>
        <v xml:space="preserve">   851762</v>
      </c>
      <c r="B6084" t="str">
        <f>T("   APPAREILS POUR LA RECEPTION, LA CONVERSION ET L'EMISSION, LA TRANSMISSION OU LA REGE")</f>
        <v xml:space="preserve">   APPAREILS POUR LA RECEPTION, LA CONVERSION ET L'EMISSION, LA TRANSMISSION OU LA REGE</v>
      </c>
      <c r="C6084" s="4">
        <v>51.9</v>
      </c>
      <c r="D6084" s="4">
        <v>1954666</v>
      </c>
    </row>
    <row r="6085" spans="1:4" x14ac:dyDescent="0.25">
      <c r="A6085" t="str">
        <f>T("   851769")</f>
        <v xml:space="preserve">   851769</v>
      </c>
      <c r="B6085" t="str">
        <f>T("   AUTRES")</f>
        <v xml:space="preserve">   AUTRES</v>
      </c>
      <c r="C6085" s="4">
        <v>1509.6</v>
      </c>
      <c r="D6085" s="4">
        <v>17745305</v>
      </c>
    </row>
    <row r="6086" spans="1:4" x14ac:dyDescent="0.25">
      <c r="A6086" t="str">
        <f>T("   851810")</f>
        <v xml:space="preserve">   851810</v>
      </c>
      <c r="B6086" t="str">
        <f>T("   MICROPHONES ET LEURS SUPPORTS")</f>
        <v xml:space="preserve">   MICROPHONES ET LEURS SUPPORTS</v>
      </c>
      <c r="C6086" s="4">
        <v>352</v>
      </c>
      <c r="D6086" s="4">
        <v>836874</v>
      </c>
    </row>
    <row r="6087" spans="1:4" x14ac:dyDescent="0.25">
      <c r="A6087" t="str">
        <f>T("   852190")</f>
        <v xml:space="preserve">   852190</v>
      </c>
      <c r="B6087" t="str">
        <f>T("   AUTRES")</f>
        <v xml:space="preserve">   AUTRES</v>
      </c>
      <c r="C6087" s="4">
        <v>50500</v>
      </c>
      <c r="D6087" s="4">
        <v>11720292</v>
      </c>
    </row>
    <row r="6088" spans="1:4" x14ac:dyDescent="0.25">
      <c r="A6088" t="str">
        <f>T("   852380")</f>
        <v xml:space="preserve">   852380</v>
      </c>
      <c r="B6088" t="str">
        <f>T("   AUTRES")</f>
        <v xml:space="preserve">   AUTRES</v>
      </c>
      <c r="C6088" s="4">
        <v>7824</v>
      </c>
      <c r="D6088" s="4">
        <v>14302781</v>
      </c>
    </row>
    <row r="6089" spans="1:4" x14ac:dyDescent="0.25">
      <c r="A6089" t="str">
        <f>T("   852719")</f>
        <v xml:space="preserve">   852719</v>
      </c>
      <c r="B6089" t="str">
        <f>T("   AUTRES")</f>
        <v xml:space="preserve">   AUTRES</v>
      </c>
      <c r="C6089" s="4">
        <v>148466</v>
      </c>
      <c r="D6089" s="4">
        <v>13511642</v>
      </c>
    </row>
    <row r="6090" spans="1:4" x14ac:dyDescent="0.25">
      <c r="A6090" t="str">
        <f>T("   852729")</f>
        <v xml:space="preserve">   852729</v>
      </c>
      <c r="B6090" t="str">
        <f>T("   AUTRES")</f>
        <v xml:space="preserve">   AUTRES</v>
      </c>
      <c r="C6090" s="4">
        <v>268310</v>
      </c>
      <c r="D6090" s="4">
        <v>121624373</v>
      </c>
    </row>
    <row r="6091" spans="1:4" x14ac:dyDescent="0.25">
      <c r="A6091" t="str">
        <f>T("   852791")</f>
        <v xml:space="preserve">   852791</v>
      </c>
      <c r="B6091" t="str">
        <f>T("   COMBINES A UN APPAREIL D'ENREGISTREMENT OU DE REPRODUCTION DU SON")</f>
        <v xml:space="preserve">   COMBINES A UN APPAREIL D'ENREGISTREMENT OU DE REPRODUCTION DU SON</v>
      </c>
      <c r="C6091" s="4">
        <v>427</v>
      </c>
      <c r="D6091" s="4">
        <v>344490</v>
      </c>
    </row>
    <row r="6092" spans="1:4" x14ac:dyDescent="0.25">
      <c r="A6092" t="str">
        <f>T("   852849")</f>
        <v xml:space="preserve">   852849</v>
      </c>
      <c r="B6092" t="str">
        <f>T("   AUTRES")</f>
        <v xml:space="preserve">   AUTRES</v>
      </c>
      <c r="C6092" s="4">
        <v>1494</v>
      </c>
      <c r="D6092" s="4">
        <v>255000</v>
      </c>
    </row>
    <row r="6093" spans="1:4" x14ac:dyDescent="0.25">
      <c r="A6093" t="str">
        <f>T("   852851")</f>
        <v xml:space="preserve">   852851</v>
      </c>
      <c r="B6093" t="str">
        <f>T("   DES TYPES UTILISES EXCLUSIVEMENT OU PRINCIPALEMENT DANS UN SYSTEME AUTOMATIQUE DE TR")</f>
        <v xml:space="preserve">   DES TYPES UTILISES EXCLUSIVEMENT OU PRINCIPALEMENT DANS UN SYSTEME AUTOMATIQUE DE TR</v>
      </c>
      <c r="C6093" s="4">
        <v>1480</v>
      </c>
      <c r="D6093" s="4">
        <v>2847745</v>
      </c>
    </row>
    <row r="6094" spans="1:4" x14ac:dyDescent="0.25">
      <c r="A6094" t="str">
        <f>T("   852859")</f>
        <v xml:space="preserve">   852859</v>
      </c>
      <c r="B6094" t="str">
        <f>T("   AUTRES")</f>
        <v xml:space="preserve">   AUTRES</v>
      </c>
      <c r="C6094" s="4">
        <v>220</v>
      </c>
      <c r="D6094" s="4">
        <v>13704636</v>
      </c>
    </row>
    <row r="6095" spans="1:4" x14ac:dyDescent="0.25">
      <c r="A6095" t="str">
        <f>T("   852871")</f>
        <v xml:space="preserve">   852871</v>
      </c>
      <c r="B6095" t="str">
        <f>T("   NON CONCUS POUR INCORPORER UN DISPOSITIF D'AFFICHAGE OU UN ECRAN VIDEO")</f>
        <v xml:space="preserve">   NON CONCUS POUR INCORPORER UN DISPOSITIF D'AFFICHAGE OU UN ECRAN VIDEO</v>
      </c>
      <c r="C6095" s="4">
        <v>14960</v>
      </c>
      <c r="D6095" s="4">
        <v>1799396</v>
      </c>
    </row>
    <row r="6096" spans="1:4" x14ac:dyDescent="0.25">
      <c r="A6096" t="str">
        <f>T("   852872")</f>
        <v xml:space="preserve">   852872</v>
      </c>
      <c r="B6096" t="str">
        <f>T("   AUTRES, EN COULEURS")</f>
        <v xml:space="preserve">   AUTRES, EN COULEURS</v>
      </c>
      <c r="C6096" s="4">
        <v>25</v>
      </c>
      <c r="D6096" s="4">
        <v>50000</v>
      </c>
    </row>
    <row r="6097" spans="1:4" x14ac:dyDescent="0.25">
      <c r="A6097" t="str">
        <f>T("   852873")</f>
        <v xml:space="preserve">   852873</v>
      </c>
      <c r="B6097" t="str">
        <f>T("   AUTRES, EN MONOCHROMES")</f>
        <v xml:space="preserve">   AUTRES, EN MONOCHROMES</v>
      </c>
      <c r="C6097" s="4">
        <v>470</v>
      </c>
      <c r="D6097" s="4">
        <v>298474</v>
      </c>
    </row>
    <row r="6098" spans="1:4" x14ac:dyDescent="0.25">
      <c r="A6098" t="str">
        <f>T("   853180")</f>
        <v xml:space="preserve">   853180</v>
      </c>
      <c r="B6098" t="str">
        <f>T("   AUTRES APPAREILS")</f>
        <v xml:space="preserve">   AUTRES APPAREILS</v>
      </c>
      <c r="C6098" s="4">
        <v>2.04</v>
      </c>
      <c r="D6098" s="4">
        <v>941651</v>
      </c>
    </row>
    <row r="6099" spans="1:4" x14ac:dyDescent="0.25">
      <c r="A6099" t="str">
        <f>T("   853590")</f>
        <v xml:space="preserve">   853590</v>
      </c>
      <c r="B6099" t="str">
        <f>T("   AUTRES")</f>
        <v xml:space="preserve">   AUTRES</v>
      </c>
      <c r="C6099" s="4">
        <v>3566</v>
      </c>
      <c r="D6099" s="4">
        <v>119145295</v>
      </c>
    </row>
    <row r="6100" spans="1:4" x14ac:dyDescent="0.25">
      <c r="A6100" t="str">
        <f>T("   853650")</f>
        <v xml:space="preserve">   853650</v>
      </c>
      <c r="B6100" t="str">
        <f>T("   AUTRES INTERRUPTEURS, SECTIONNEURS ET COMMUTATEURS")</f>
        <v xml:space="preserve">   AUTRES INTERRUPTEURS, SECTIONNEURS ET COMMUTATEURS</v>
      </c>
      <c r="C6100" s="4">
        <v>212</v>
      </c>
      <c r="D6100" s="4">
        <v>317346</v>
      </c>
    </row>
    <row r="6101" spans="1:4" x14ac:dyDescent="0.25">
      <c r="A6101" t="str">
        <f>T("   853710")</f>
        <v xml:space="preserve">   853710</v>
      </c>
      <c r="B6101" t="str">
        <f>T("   POUR UNE TENSION N'EXCEDANT PAS 1.000 V")</f>
        <v xml:space="preserve">   POUR UNE TENSION N'EXCEDANT PAS 1.000 V</v>
      </c>
      <c r="C6101" s="4">
        <v>2706</v>
      </c>
      <c r="D6101" s="4">
        <v>7869908</v>
      </c>
    </row>
    <row r="6102" spans="1:4" x14ac:dyDescent="0.25">
      <c r="A6102" t="str">
        <f>T("   853890")</f>
        <v xml:space="preserve">   853890</v>
      </c>
      <c r="B6102" t="str">
        <f>T("   AUTRES")</f>
        <v xml:space="preserve">   AUTRES</v>
      </c>
      <c r="C6102" s="4">
        <v>48</v>
      </c>
      <c r="D6102" s="4">
        <v>1464035</v>
      </c>
    </row>
    <row r="6103" spans="1:4" x14ac:dyDescent="0.25">
      <c r="A6103" t="str">
        <f>T("   854129")</f>
        <v xml:space="preserve">   854129</v>
      </c>
      <c r="B6103" t="str">
        <f>T("   AUTRES")</f>
        <v xml:space="preserve">   AUTRES</v>
      </c>
      <c r="C6103" s="4">
        <v>2.5</v>
      </c>
      <c r="D6103" s="4">
        <v>399412</v>
      </c>
    </row>
    <row r="6104" spans="1:4" x14ac:dyDescent="0.25">
      <c r="A6104" t="str">
        <f>T("   854390")</f>
        <v xml:space="preserve">   854390</v>
      </c>
      <c r="B6104" t="str">
        <f>T("   PARTIES")</f>
        <v xml:space="preserve">   PARTIES</v>
      </c>
      <c r="C6104" s="4">
        <v>12</v>
      </c>
      <c r="D6104" s="4">
        <v>30000</v>
      </c>
    </row>
    <row r="6105" spans="1:4" x14ac:dyDescent="0.25">
      <c r="A6105" t="str">
        <f>T("   854449")</f>
        <v xml:space="preserve">   854449</v>
      </c>
      <c r="B6105" t="str">
        <f>T("   AUTRES")</f>
        <v xml:space="preserve">   AUTRES</v>
      </c>
      <c r="C6105" s="4">
        <v>6597</v>
      </c>
      <c r="D6105" s="4">
        <v>217727138</v>
      </c>
    </row>
    <row r="6106" spans="1:4" x14ac:dyDescent="0.25">
      <c r="A6106" t="str">
        <f>T("   860900")</f>
        <v xml:space="preserve">   860900</v>
      </c>
      <c r="B6106" t="str">
        <f>T("   CADRES ET CONTENEURS (Y COMPRIS LES CONTENEURSCITERNES ET LES CONTENEURSRESERVOIRS) S")</f>
        <v xml:space="preserve">   CADRES ET CONTENEURS (Y COMPRIS LES CONTENEURSCITERNES ET LES CONTENEURSRESERVOIRS) S</v>
      </c>
      <c r="C6106" s="4">
        <v>87700</v>
      </c>
      <c r="D6106" s="4">
        <v>865606465</v>
      </c>
    </row>
    <row r="6107" spans="1:4" x14ac:dyDescent="0.25">
      <c r="A6107" t="str">
        <f>T("   870110")</f>
        <v xml:space="preserve">   870110</v>
      </c>
      <c r="B6107" t="str">
        <f>T("   Motoculteurs")</f>
        <v xml:space="preserve">   Motoculteurs</v>
      </c>
      <c r="C6107" s="4">
        <v>2300</v>
      </c>
      <c r="D6107" s="4">
        <v>5000000</v>
      </c>
    </row>
    <row r="6108" spans="1:4" x14ac:dyDescent="0.25">
      <c r="A6108" t="str">
        <f>T("   870120")</f>
        <v xml:space="preserve">   870120</v>
      </c>
      <c r="B6108" t="str">
        <f>T("   TRACTEURS ROUTIERS POUR SEMIREMORQUES")</f>
        <v xml:space="preserve">   TRACTEURS ROUTIERS POUR SEMIREMORQUES</v>
      </c>
      <c r="C6108" s="4">
        <v>7500</v>
      </c>
      <c r="D6108" s="4">
        <v>3811914</v>
      </c>
    </row>
    <row r="6109" spans="1:4" x14ac:dyDescent="0.25">
      <c r="A6109" t="str">
        <f>T("   870210")</f>
        <v xml:space="preserve">   870210</v>
      </c>
      <c r="B6109" t="str">
        <f>T("   A MOTEUR A PISTON A ALLUMAGE PAR COMPRESSION (DIESEL OU SEMIDIESEL)")</f>
        <v xml:space="preserve">   A MOTEUR A PISTON A ALLUMAGE PAR COMPRESSION (DIESEL OU SEMIDIESEL)</v>
      </c>
      <c r="C6109" s="4">
        <v>3600</v>
      </c>
      <c r="D6109" s="4">
        <v>1520086</v>
      </c>
    </row>
    <row r="6110" spans="1:4" x14ac:dyDescent="0.25">
      <c r="A6110" t="str">
        <f>T("   870322")</f>
        <v xml:space="preserve">   870322</v>
      </c>
      <c r="B6110" t="str">
        <f>T("   D’UNE CYLINDREE EXCEDANT 1.000 CM³ MAIS N’EXCEDANT PAS 1.500 CM³")</f>
        <v xml:space="preserve">   D’UNE CYLINDREE EXCEDANT 1.000 CM³ MAIS N’EXCEDANT PAS 1.500 CM³</v>
      </c>
      <c r="C6110" s="4">
        <v>2240</v>
      </c>
      <c r="D6110" s="4">
        <v>2401063</v>
      </c>
    </row>
    <row r="6111" spans="1:4" x14ac:dyDescent="0.25">
      <c r="A6111" t="str">
        <f>T("   870323")</f>
        <v xml:space="preserve">   870323</v>
      </c>
      <c r="B6111" t="str">
        <f>T("   D’UNE CYLINDREE EXCEDANT 1.500 CM³ MAIS N’EXCEDANT PAS 3.000 CM³")</f>
        <v xml:space="preserve">   D’UNE CYLINDREE EXCEDANT 1.500 CM³ MAIS N’EXCEDANT PAS 3.000 CM³</v>
      </c>
      <c r="C6111" s="4">
        <v>15843</v>
      </c>
      <c r="D6111" s="4">
        <v>37574908</v>
      </c>
    </row>
    <row r="6112" spans="1:4" x14ac:dyDescent="0.25">
      <c r="A6112" t="str">
        <f>T("   870324")</f>
        <v xml:space="preserve">   870324</v>
      </c>
      <c r="B6112" t="str">
        <f>T("   D’UNE CYLINDREE EXCEDANT 3.000 CM³")</f>
        <v xml:space="preserve">   D’UNE CYLINDREE EXCEDANT 3.000 CM³</v>
      </c>
      <c r="C6112" s="4">
        <v>1800</v>
      </c>
      <c r="D6112" s="4">
        <v>1633341</v>
      </c>
    </row>
    <row r="6113" spans="1:4" x14ac:dyDescent="0.25">
      <c r="A6113" t="str">
        <f>T("   870332")</f>
        <v xml:space="preserve">   870332</v>
      </c>
      <c r="B6113" t="str">
        <f>T("   D'UNE CYLINDREE EXCEDANT 1.500 CM³ MAIS N'EXCEDANT PAS 2.500 CM³")</f>
        <v xml:space="preserve">   D'UNE CYLINDREE EXCEDANT 1.500 CM³ MAIS N'EXCEDANT PAS 2.500 CM³</v>
      </c>
      <c r="C6113" s="4">
        <v>950</v>
      </c>
      <c r="D6113" s="4">
        <v>1200000</v>
      </c>
    </row>
    <row r="6114" spans="1:4" x14ac:dyDescent="0.25">
      <c r="A6114" t="str">
        <f>T("   870510")</f>
        <v xml:space="preserve">   870510</v>
      </c>
      <c r="B6114" t="str">
        <f>T("   CAMIONSGRUES")</f>
        <v xml:space="preserve">   CAMIONSGRUES</v>
      </c>
      <c r="C6114" s="4">
        <v>78000</v>
      </c>
      <c r="D6114" s="4">
        <v>27285000</v>
      </c>
    </row>
    <row r="6115" spans="1:4" x14ac:dyDescent="0.25">
      <c r="A6115" t="str">
        <f>T("   870821")</f>
        <v xml:space="preserve">   870821</v>
      </c>
      <c r="B6115" t="str">
        <f>T("   Ceintures de securite")</f>
        <v xml:space="preserve">   Ceintures de securite</v>
      </c>
      <c r="C6115" s="4">
        <v>3.6</v>
      </c>
      <c r="D6115" s="4">
        <v>197146</v>
      </c>
    </row>
    <row r="6116" spans="1:4" x14ac:dyDescent="0.25">
      <c r="A6116" t="str">
        <f>T("   870899")</f>
        <v xml:space="preserve">   870899</v>
      </c>
      <c r="B6116" t="str">
        <f>T("   AUTRES")</f>
        <v xml:space="preserve">   AUTRES</v>
      </c>
      <c r="C6116" s="4">
        <v>397.6</v>
      </c>
      <c r="D6116" s="4">
        <v>1533207</v>
      </c>
    </row>
    <row r="6117" spans="1:4" x14ac:dyDescent="0.25">
      <c r="A6117" t="str">
        <f>T("   871120")</f>
        <v xml:space="preserve">   871120</v>
      </c>
      <c r="B6117" t="str">
        <f>T("   A MOTEUR A PISTON ALTERNATIF, D'UNE CYLINDREE EXCEDANT 50 CM³ MAIS N'EXCEDANT PAS 250")</f>
        <v xml:space="preserve">   A MOTEUR A PISTON ALTERNATIF, D'UNE CYLINDREE EXCEDANT 50 CM³ MAIS N'EXCEDANT PAS 250</v>
      </c>
      <c r="C6117" s="4">
        <v>282</v>
      </c>
      <c r="D6117" s="4">
        <v>415878</v>
      </c>
    </row>
    <row r="6118" spans="1:4" x14ac:dyDescent="0.25">
      <c r="A6118" t="str">
        <f>T("   871200")</f>
        <v xml:space="preserve">   871200</v>
      </c>
      <c r="B6118" t="str">
        <f>T("   BICYCLETTES ET AUTRES CYCLES (Y COMPRIS LES TRIPORTEURS), SANS MOTEUR.")</f>
        <v xml:space="preserve">   BICYCLETTES ET AUTRES CYCLES (Y COMPRIS LES TRIPORTEURS), SANS MOTEUR.</v>
      </c>
      <c r="C6118" s="4">
        <v>70444</v>
      </c>
      <c r="D6118" s="4">
        <v>21328580</v>
      </c>
    </row>
    <row r="6119" spans="1:4" x14ac:dyDescent="0.25">
      <c r="A6119" t="str">
        <f>T("   871640")</f>
        <v xml:space="preserve">   871640</v>
      </c>
      <c r="B6119" t="str">
        <f>T("   AUTRES REMORQUES ET SEMIREMORQUES")</f>
        <v xml:space="preserve">   AUTRES REMORQUES ET SEMIREMORQUES</v>
      </c>
      <c r="C6119" s="4">
        <v>12500</v>
      </c>
      <c r="D6119" s="4">
        <v>4000000</v>
      </c>
    </row>
    <row r="6120" spans="1:4" x14ac:dyDescent="0.25">
      <c r="A6120" t="str">
        <f>T("   880212")</f>
        <v xml:space="preserve">   880212</v>
      </c>
      <c r="B6120" t="str">
        <f>T("   D'UN POIDS A VIDE EXCEDANT 2.000 KG")</f>
        <v xml:space="preserve">   D'UN POIDS A VIDE EXCEDANT 2.000 KG</v>
      </c>
      <c r="C6120" s="4">
        <v>11800</v>
      </c>
      <c r="D6120" s="4">
        <v>11372874904</v>
      </c>
    </row>
    <row r="6121" spans="1:4" x14ac:dyDescent="0.25">
      <c r="A6121" t="str">
        <f>T("   880330")</f>
        <v xml:space="preserve">   880330</v>
      </c>
      <c r="B6121" t="str">
        <f>T("   AUTRES PARTIES D'AVIONS OU D'HELICOPTERES")</f>
        <v xml:space="preserve">   AUTRES PARTIES D'AVIONS OU D'HELICOPTERES</v>
      </c>
      <c r="C6121" s="4">
        <v>49.4</v>
      </c>
      <c r="D6121" s="4">
        <v>12007773</v>
      </c>
    </row>
    <row r="6122" spans="1:4" x14ac:dyDescent="0.25">
      <c r="A6122" t="str">
        <f>T("   901380")</f>
        <v xml:space="preserve">   901380</v>
      </c>
      <c r="B6122" t="str">
        <f>T("   AUTRES DISPOSITIFS, APPAREILS ET INSTRUMENTS")</f>
        <v xml:space="preserve">   AUTRES DISPOSITIFS, APPAREILS ET INSTRUMENTS</v>
      </c>
      <c r="C6122" s="4">
        <v>6</v>
      </c>
      <c r="D6122" s="4">
        <v>86640</v>
      </c>
    </row>
    <row r="6123" spans="1:4" x14ac:dyDescent="0.25">
      <c r="A6123" t="str">
        <f>T("   901480")</f>
        <v xml:space="preserve">   901480</v>
      </c>
      <c r="B6123" t="str">
        <f>T("   AUTRES INSTRUMENTS ET APPAREILS")</f>
        <v xml:space="preserve">   AUTRES INSTRUMENTS ET APPAREILS</v>
      </c>
      <c r="C6123" s="4">
        <v>6</v>
      </c>
      <c r="D6123" s="4">
        <v>1127904</v>
      </c>
    </row>
    <row r="6124" spans="1:4" x14ac:dyDescent="0.25">
      <c r="A6124" t="str">
        <f>T("   901720")</f>
        <v xml:space="preserve">   901720</v>
      </c>
      <c r="B6124" t="str">
        <f>T("   AUTRES INSTRUMENTS DE DESSIN, DE TRACAGE OU DE CALCUL")</f>
        <v xml:space="preserve">   AUTRES INSTRUMENTS DE DESSIN, DE TRACAGE OU DE CALCUL</v>
      </c>
      <c r="C6124" s="4">
        <v>100</v>
      </c>
      <c r="D6124" s="4">
        <v>676590</v>
      </c>
    </row>
    <row r="6125" spans="1:4" x14ac:dyDescent="0.25">
      <c r="A6125" t="str">
        <f>T("   901819")</f>
        <v xml:space="preserve">   901819</v>
      </c>
      <c r="B6125" t="str">
        <f>T("   AUTRES")</f>
        <v xml:space="preserve">   AUTRES</v>
      </c>
      <c r="C6125" s="4">
        <v>27</v>
      </c>
      <c r="D6125" s="4">
        <v>2255845</v>
      </c>
    </row>
    <row r="6126" spans="1:4" x14ac:dyDescent="0.25">
      <c r="A6126" t="str">
        <f>T("   901890")</f>
        <v xml:space="preserve">   901890</v>
      </c>
      <c r="B6126" t="str">
        <f>T("   AUTRES INSTRUMENTS ET APPAREILS")</f>
        <v xml:space="preserve">   AUTRES INSTRUMENTS ET APPAREILS</v>
      </c>
      <c r="C6126" s="4">
        <v>260</v>
      </c>
      <c r="D6126" s="4">
        <v>3636851</v>
      </c>
    </row>
    <row r="6127" spans="1:4" x14ac:dyDescent="0.25">
      <c r="A6127" t="str">
        <f>T("   902212")</f>
        <v xml:space="preserve">   902212</v>
      </c>
      <c r="B6127" t="str">
        <f>T("   APPAREILS DE TOMOGRAPHIE PILOTES PAR UNE MACHINE AUTOMATIQUE DE TRAITEMENT DE L'INFO")</f>
        <v xml:space="preserve">   APPAREILS DE TOMOGRAPHIE PILOTES PAR UNE MACHINE AUTOMATIQUE DE TRAITEMENT DE L'INFO</v>
      </c>
      <c r="C6127" s="4">
        <v>25</v>
      </c>
      <c r="D6127" s="4">
        <v>597475</v>
      </c>
    </row>
    <row r="6128" spans="1:4" x14ac:dyDescent="0.25">
      <c r="A6128" t="str">
        <f>T("   902519")</f>
        <v xml:space="preserve">   902519</v>
      </c>
      <c r="B6128" t="str">
        <f>T("   AUTRES")</f>
        <v xml:space="preserve">   AUTRES</v>
      </c>
      <c r="C6128" s="4">
        <v>6</v>
      </c>
      <c r="D6128" s="4">
        <v>73488</v>
      </c>
    </row>
    <row r="6129" spans="1:4" x14ac:dyDescent="0.25">
      <c r="A6129" t="str">
        <f>T("   902610")</f>
        <v xml:space="preserve">   902610</v>
      </c>
      <c r="B6129" t="str">
        <f>T("   POUR LA MESURE OU LE CONTROLE DU DEBIT OU DU NIVEAU DES LIQUIDES")</f>
        <v xml:space="preserve">   POUR LA MESURE OU LE CONTROLE DU DEBIT OU DU NIVEAU DES LIQUIDES</v>
      </c>
      <c r="C6129" s="4">
        <v>2011</v>
      </c>
      <c r="D6129" s="4">
        <v>162020706</v>
      </c>
    </row>
    <row r="6130" spans="1:4" x14ac:dyDescent="0.25">
      <c r="A6130" t="str">
        <f>T("   902780")</f>
        <v xml:space="preserve">   902780</v>
      </c>
      <c r="B6130" t="str">
        <f>T("   AUTRES INSTRUMENTS ET APPAREILS")</f>
        <v xml:space="preserve">   AUTRES INSTRUMENTS ET APPAREILS</v>
      </c>
      <c r="C6130" s="4">
        <v>10</v>
      </c>
      <c r="D6130" s="4">
        <v>372585</v>
      </c>
    </row>
    <row r="6131" spans="1:4" x14ac:dyDescent="0.25">
      <c r="A6131" t="str">
        <f>T("   902790")</f>
        <v xml:space="preserve">   902790</v>
      </c>
      <c r="B6131" t="str">
        <f>T("   MICROTOMES; PARTIES ET ACCESSOIRES")</f>
        <v xml:space="preserve">   MICROTOMES; PARTIES ET ACCESSOIRES</v>
      </c>
      <c r="C6131" s="4">
        <v>11</v>
      </c>
      <c r="D6131" s="4">
        <v>1567153</v>
      </c>
    </row>
    <row r="6132" spans="1:4" x14ac:dyDescent="0.25">
      <c r="A6132" t="str">
        <f>T("   902820")</f>
        <v xml:space="preserve">   902820</v>
      </c>
      <c r="B6132" t="str">
        <f>T("   Compteurs de liquides")</f>
        <v xml:space="preserve">   Compteurs de liquides</v>
      </c>
      <c r="C6132" s="4">
        <v>2563</v>
      </c>
      <c r="D6132" s="4">
        <v>85632954</v>
      </c>
    </row>
    <row r="6133" spans="1:4" x14ac:dyDescent="0.25">
      <c r="A6133" t="str">
        <f>T("   903039")</f>
        <v xml:space="preserve">   903039</v>
      </c>
      <c r="B6133" t="str">
        <f>T("   AUTRES, AVEC DISPOSITIF ENREGISTREUR")</f>
        <v xml:space="preserve">   AUTRES, AVEC DISPOSITIF ENREGISTREUR</v>
      </c>
      <c r="C6133" s="4">
        <v>3.2</v>
      </c>
      <c r="D6133" s="4">
        <v>840219</v>
      </c>
    </row>
    <row r="6134" spans="1:4" x14ac:dyDescent="0.25">
      <c r="A6134" t="str">
        <f>T("   940159")</f>
        <v xml:space="preserve">   940159</v>
      </c>
      <c r="B6134" t="str">
        <f>T("   AUTRES")</f>
        <v xml:space="preserve">   AUTRES</v>
      </c>
      <c r="C6134" s="4">
        <v>200</v>
      </c>
      <c r="D6134" s="4">
        <v>80000</v>
      </c>
    </row>
    <row r="6135" spans="1:4" x14ac:dyDescent="0.25">
      <c r="A6135" t="str">
        <f>T("   940180")</f>
        <v xml:space="preserve">   940180</v>
      </c>
      <c r="B6135" t="str">
        <f>T("   AUTRES SIEGES")</f>
        <v xml:space="preserve">   AUTRES SIEGES</v>
      </c>
      <c r="C6135" s="4">
        <v>1900</v>
      </c>
      <c r="D6135" s="4">
        <v>400000</v>
      </c>
    </row>
    <row r="6136" spans="1:4" x14ac:dyDescent="0.25">
      <c r="A6136" t="str">
        <f>T("   940320")</f>
        <v xml:space="preserve">   940320</v>
      </c>
      <c r="B6136" t="str">
        <f>T("   AUTRES MEUBLES EN METAL")</f>
        <v xml:space="preserve">   AUTRES MEUBLES EN METAL</v>
      </c>
      <c r="C6136" s="4">
        <v>80</v>
      </c>
      <c r="D6136" s="4">
        <v>101851</v>
      </c>
    </row>
    <row r="6137" spans="1:4" x14ac:dyDescent="0.25">
      <c r="A6137" t="str">
        <f>T("   940360")</f>
        <v xml:space="preserve">   940360</v>
      </c>
      <c r="B6137" t="str">
        <f>T("   Autres meubles en bois")</f>
        <v xml:space="preserve">   Autres meubles en bois</v>
      </c>
      <c r="C6137" s="4">
        <v>56271</v>
      </c>
      <c r="D6137" s="4">
        <v>13243748</v>
      </c>
    </row>
    <row r="6138" spans="1:4" x14ac:dyDescent="0.25">
      <c r="A6138" t="str">
        <f>T("   940370")</f>
        <v xml:space="preserve">   940370</v>
      </c>
      <c r="B6138" t="str">
        <f>T("   MEUBLES EN MATIERES PLASTIQUES")</f>
        <v xml:space="preserve">   MEUBLES EN MATIERES PLASTIQUES</v>
      </c>
      <c r="C6138" s="4">
        <v>3838</v>
      </c>
      <c r="D6138" s="4">
        <v>9386841</v>
      </c>
    </row>
    <row r="6139" spans="1:4" x14ac:dyDescent="0.25">
      <c r="A6139" t="str">
        <f>T("   940389")</f>
        <v xml:space="preserve">   940389</v>
      </c>
      <c r="B6139" t="str">
        <f>T("   AUTRES")</f>
        <v xml:space="preserve">   AUTRES</v>
      </c>
      <c r="C6139" s="4">
        <v>53800</v>
      </c>
      <c r="D6139" s="4">
        <v>27415012</v>
      </c>
    </row>
    <row r="6140" spans="1:4" x14ac:dyDescent="0.25">
      <c r="A6140" t="str">
        <f>T("   940390")</f>
        <v xml:space="preserve">   940390</v>
      </c>
      <c r="B6140" t="str">
        <f>T("   PARTIES")</f>
        <v xml:space="preserve">   PARTIES</v>
      </c>
      <c r="C6140" s="4">
        <v>161</v>
      </c>
      <c r="D6140" s="4">
        <v>346872</v>
      </c>
    </row>
    <row r="6141" spans="1:4" x14ac:dyDescent="0.25">
      <c r="A6141" t="str">
        <f>T("   940410")</f>
        <v xml:space="preserve">   940410</v>
      </c>
      <c r="B6141" t="str">
        <f>T("   Sommiers")</f>
        <v xml:space="preserve">   Sommiers</v>
      </c>
      <c r="C6141" s="4">
        <v>200</v>
      </c>
      <c r="D6141" s="4">
        <v>50000</v>
      </c>
    </row>
    <row r="6142" spans="1:4" x14ac:dyDescent="0.25">
      <c r="A6142" t="str">
        <f>T("   940421")</f>
        <v xml:space="preserve">   940421</v>
      </c>
      <c r="B6142" t="str">
        <f>T("   EN CAOUTCHOUC ALVEOLAIRE OU EN MATIERES PLASTIQUES ALVEOLAIRES, RECOUVERTS OU NON")</f>
        <v xml:space="preserve">   EN CAOUTCHOUC ALVEOLAIRE OU EN MATIERES PLASTIQUES ALVEOLAIRES, RECOUVERTS OU NON</v>
      </c>
      <c r="C6142" s="4">
        <v>814</v>
      </c>
      <c r="D6142" s="4">
        <v>1041520</v>
      </c>
    </row>
    <row r="6143" spans="1:4" x14ac:dyDescent="0.25">
      <c r="A6143" t="str">
        <f>T("   940429")</f>
        <v xml:space="preserve">   940429</v>
      </c>
      <c r="B6143" t="str">
        <f>T("   EN AUTRES MATIERES")</f>
        <v xml:space="preserve">   EN AUTRES MATIERES</v>
      </c>
      <c r="C6143" s="4">
        <v>180</v>
      </c>
      <c r="D6143" s="4">
        <v>150000</v>
      </c>
    </row>
    <row r="6144" spans="1:4" x14ac:dyDescent="0.25">
      <c r="A6144" t="str">
        <f>T("   940490")</f>
        <v xml:space="preserve">   940490</v>
      </c>
      <c r="B6144" t="str">
        <f>T("   AUTRES")</f>
        <v xml:space="preserve">   AUTRES</v>
      </c>
      <c r="C6144" s="4">
        <v>37340</v>
      </c>
      <c r="D6144" s="4">
        <v>8700612</v>
      </c>
    </row>
    <row r="6145" spans="1:4" x14ac:dyDescent="0.25">
      <c r="A6145" t="str">
        <f>T("   940540")</f>
        <v xml:space="preserve">   940540</v>
      </c>
      <c r="B6145" t="str">
        <f>T("   AUTRES APPAREILS D'ECLAIRAGE ELECTRIQUES")</f>
        <v xml:space="preserve">   AUTRES APPAREILS D'ECLAIRAGE ELECTRIQUES</v>
      </c>
      <c r="C6145" s="4">
        <v>3863</v>
      </c>
      <c r="D6145" s="4">
        <v>11235895</v>
      </c>
    </row>
    <row r="6146" spans="1:4" x14ac:dyDescent="0.25">
      <c r="A6146" t="str">
        <f>T("   950300")</f>
        <v xml:space="preserve">   950300</v>
      </c>
      <c r="B6146" t="str">
        <f>T("   TRICYCLES, TROTTINETTES, AUTOS A PEDALES ET JOUETS A ROUES SIMILAIRES; LANDAUS ET POUSS")</f>
        <v xml:space="preserve">   TRICYCLES, TROTTINETTES, AUTOS A PEDALES ET JOUETS A ROUES SIMILAIRES; LANDAUS ET POUSS</v>
      </c>
      <c r="C6146" s="4">
        <v>9000</v>
      </c>
      <c r="D6146" s="4">
        <v>600000</v>
      </c>
    </row>
    <row r="6147" spans="1:4" x14ac:dyDescent="0.25">
      <c r="A6147" t="str">
        <f>T("   950890")</f>
        <v xml:space="preserve">   950890</v>
      </c>
      <c r="B6147" t="str">
        <f>T("   AUTRES")</f>
        <v xml:space="preserve">   AUTRES</v>
      </c>
      <c r="C6147" s="4">
        <v>120</v>
      </c>
      <c r="D6147" s="4">
        <v>560655</v>
      </c>
    </row>
    <row r="6148" spans="1:4" x14ac:dyDescent="0.25">
      <c r="A6148" t="str">
        <f>T("   961210")</f>
        <v xml:space="preserve">   961210</v>
      </c>
      <c r="B6148" t="str">
        <f>T("   Rubans encreurs")</f>
        <v xml:space="preserve">   Rubans encreurs</v>
      </c>
      <c r="C6148" s="4">
        <v>145</v>
      </c>
      <c r="D6148" s="4">
        <v>3994713</v>
      </c>
    </row>
    <row r="6149" spans="1:4" s="5" customFormat="1" x14ac:dyDescent="0.25">
      <c r="A6149" s="5" t="str">
        <f>T("   ZZ_Total_Produit_SH6")</f>
        <v xml:space="preserve">   ZZ_Total_Produit_SH6</v>
      </c>
      <c r="B6149" s="5" t="str">
        <f>T("   ZZ_Total_Produit_SH6")</f>
        <v xml:space="preserve">   ZZ_Total_Produit_SH6</v>
      </c>
      <c r="C6149" s="1">
        <v>71706697.310000002</v>
      </c>
      <c r="D6149" s="1">
        <v>48092568472.357002</v>
      </c>
    </row>
    <row r="6150" spans="1:4" s="5" customFormat="1" x14ac:dyDescent="0.25">
      <c r="B6150" s="5" t="str">
        <f>T("Géorgie")</f>
        <v>Géorgie</v>
      </c>
      <c r="C6150" s="1"/>
      <c r="D6150" s="1"/>
    </row>
    <row r="6151" spans="1:4" x14ac:dyDescent="0.25">
      <c r="A6151" t="str">
        <f>T("   382200")</f>
        <v xml:space="preserve">   382200</v>
      </c>
      <c r="B6151" t="str">
        <f>T("   REACTIFS DE DIAGNOSTIC OU DE LABORATOIRE SUR TOUT SUPPORT ET REACTIFS DE DIAGNOSTIC OU")</f>
        <v xml:space="preserve">   REACTIFS DE DIAGNOSTIC OU DE LABORATOIRE SUR TOUT SUPPORT ET REACTIFS DE DIAGNOSTIC OU</v>
      </c>
      <c r="C6151" s="4">
        <v>120</v>
      </c>
      <c r="D6151" s="4">
        <v>6570388</v>
      </c>
    </row>
    <row r="6152" spans="1:4" x14ac:dyDescent="0.25">
      <c r="A6152" t="str">
        <f>T("   400599")</f>
        <v xml:space="preserve">   400599</v>
      </c>
      <c r="B6152" t="str">
        <f>T("   AUTRES")</f>
        <v xml:space="preserve">   AUTRES</v>
      </c>
      <c r="C6152" s="4">
        <v>56</v>
      </c>
      <c r="D6152" s="4">
        <v>177640</v>
      </c>
    </row>
    <row r="6153" spans="1:4" x14ac:dyDescent="0.25">
      <c r="A6153" t="str">
        <f>T("   420229")</f>
        <v xml:space="preserve">   420229</v>
      </c>
      <c r="B6153" t="str">
        <f>T("   AUTRES")</f>
        <v xml:space="preserve">   AUTRES</v>
      </c>
      <c r="C6153" s="4">
        <v>2550</v>
      </c>
      <c r="D6153" s="4">
        <v>425997</v>
      </c>
    </row>
    <row r="6154" spans="1:4" x14ac:dyDescent="0.25">
      <c r="A6154" t="str">
        <f>T("   420500")</f>
        <v xml:space="preserve">   420500</v>
      </c>
      <c r="B6154" t="str">
        <f>T("   AUTRES OUVRAGES EN CUIR NATUREL OU RECONSTITUE.")</f>
        <v xml:space="preserve">   AUTRES OUVRAGES EN CUIR NATUREL OU RECONSTITUE.</v>
      </c>
      <c r="C6154" s="4">
        <v>10</v>
      </c>
      <c r="D6154" s="4">
        <v>54615</v>
      </c>
    </row>
    <row r="6155" spans="1:4" x14ac:dyDescent="0.25">
      <c r="A6155" t="str">
        <f>T("   490199")</f>
        <v xml:space="preserve">   490199</v>
      </c>
      <c r="B6155" t="str">
        <f>T("   AUTRES")</f>
        <v xml:space="preserve">   AUTRES</v>
      </c>
      <c r="C6155" s="4">
        <v>128</v>
      </c>
      <c r="D6155" s="4">
        <v>7400930</v>
      </c>
    </row>
    <row r="6156" spans="1:4" x14ac:dyDescent="0.25">
      <c r="A6156" t="str">
        <f>T("   591000")</f>
        <v xml:space="preserve">   591000</v>
      </c>
      <c r="B6156" t="str">
        <f>T("   COURROIES TRANSPORTEUSES OU DE TRANSMISSION EN MATIERES TEXTILES, MEME IMPREGNEES, ENDU")</f>
        <v xml:space="preserve">   COURROIES TRANSPORTEUSES OU DE TRANSMISSION EN MATIERES TEXTILES, MEME IMPREGNEES, ENDU</v>
      </c>
      <c r="C6156" s="4">
        <v>24</v>
      </c>
      <c r="D6156" s="4">
        <v>663620</v>
      </c>
    </row>
    <row r="6157" spans="1:4" x14ac:dyDescent="0.25">
      <c r="A6157" t="str">
        <f>T("   610590")</f>
        <v xml:space="preserve">   610590</v>
      </c>
      <c r="B6157" t="str">
        <f>T("   D'AUTRES MATIERES TEXTILES")</f>
        <v xml:space="preserve">   D'AUTRES MATIERES TEXTILES</v>
      </c>
      <c r="C6157" s="4">
        <v>4760</v>
      </c>
      <c r="D6157" s="4">
        <v>1338459</v>
      </c>
    </row>
    <row r="6158" spans="1:4" x14ac:dyDescent="0.25">
      <c r="A6158" t="str">
        <f>T("   610990")</f>
        <v xml:space="preserve">   610990</v>
      </c>
      <c r="B6158" t="str">
        <f>T("   D'AUTRES MATIERES TEXTILES")</f>
        <v xml:space="preserve">   D'AUTRES MATIERES TEXTILES</v>
      </c>
      <c r="C6158" s="4">
        <v>15</v>
      </c>
      <c r="D6158" s="4">
        <v>201775</v>
      </c>
    </row>
    <row r="6159" spans="1:4" x14ac:dyDescent="0.25">
      <c r="A6159" t="str">
        <f>T("   640590")</f>
        <v xml:space="preserve">   640590</v>
      </c>
      <c r="B6159" t="str">
        <f>T("   AUTRES")</f>
        <v xml:space="preserve">   AUTRES</v>
      </c>
      <c r="C6159" s="4">
        <v>3840</v>
      </c>
      <c r="D6159" s="4">
        <v>832332</v>
      </c>
    </row>
    <row r="6160" spans="1:4" x14ac:dyDescent="0.25">
      <c r="A6160" t="str">
        <f>T("   732619")</f>
        <v xml:space="preserve">   732619</v>
      </c>
      <c r="B6160" t="str">
        <f>T("   AUTRES")</f>
        <v xml:space="preserve">   AUTRES</v>
      </c>
      <c r="C6160" s="4">
        <v>10</v>
      </c>
      <c r="D6160" s="4">
        <v>54615</v>
      </c>
    </row>
    <row r="6161" spans="1:4" x14ac:dyDescent="0.25">
      <c r="A6161" t="str">
        <f>T("   761699")</f>
        <v xml:space="preserve">   761699</v>
      </c>
      <c r="B6161" t="str">
        <f>T("   AUTRES")</f>
        <v xml:space="preserve">   AUTRES</v>
      </c>
      <c r="C6161" s="4">
        <v>33</v>
      </c>
      <c r="D6161" s="4">
        <v>2531231</v>
      </c>
    </row>
    <row r="6162" spans="1:4" x14ac:dyDescent="0.25">
      <c r="A6162" t="str">
        <f>T("   841451")</f>
        <v xml:space="preserve">   841451</v>
      </c>
      <c r="B6162" t="str">
        <f>T("   VENTILATEURS DE TABLE, DE SOL, MURAUX, PLAFONNIERS, DE TOITURES OU DE FENETRES, A MO")</f>
        <v xml:space="preserve">   VENTILATEURS DE TABLE, DE SOL, MURAUX, PLAFONNIERS, DE TOITURES OU DE FENETRES, A MO</v>
      </c>
      <c r="C6162" s="4">
        <v>3300</v>
      </c>
      <c r="D6162" s="4">
        <v>1095686</v>
      </c>
    </row>
    <row r="6163" spans="1:4" x14ac:dyDescent="0.25">
      <c r="A6163" t="str">
        <f>T("   842290")</f>
        <v xml:space="preserve">   842290</v>
      </c>
      <c r="B6163" t="str">
        <f>T("   PARTIES")</f>
        <v xml:space="preserve">   PARTIES</v>
      </c>
      <c r="C6163" s="4">
        <v>18</v>
      </c>
      <c r="D6163" s="4">
        <v>270469</v>
      </c>
    </row>
    <row r="6164" spans="1:4" x14ac:dyDescent="0.25">
      <c r="A6164" t="str">
        <f>T("   843290")</f>
        <v xml:space="preserve">   843290</v>
      </c>
      <c r="B6164" t="str">
        <f>T("   PARTIES")</f>
        <v xml:space="preserve">   PARTIES</v>
      </c>
      <c r="C6164" s="4">
        <v>68</v>
      </c>
      <c r="D6164" s="4">
        <v>150000</v>
      </c>
    </row>
    <row r="6165" spans="1:4" x14ac:dyDescent="0.25">
      <c r="A6165" t="str">
        <f>T("   844339")</f>
        <v xml:space="preserve">   844339</v>
      </c>
      <c r="B6165" t="str">
        <f>T("   AUTRES")</f>
        <v xml:space="preserve">   AUTRES</v>
      </c>
      <c r="C6165" s="4">
        <v>4440</v>
      </c>
      <c r="D6165" s="4">
        <v>951543</v>
      </c>
    </row>
    <row r="6166" spans="1:4" x14ac:dyDescent="0.25">
      <c r="A6166" t="str">
        <f>T("   847190")</f>
        <v xml:space="preserve">   847190</v>
      </c>
      <c r="B6166" t="str">
        <f>T("   AUTRES")</f>
        <v xml:space="preserve">   AUTRES</v>
      </c>
      <c r="C6166" s="4">
        <v>2.5</v>
      </c>
      <c r="D6166" s="4">
        <v>298398</v>
      </c>
    </row>
    <row r="6167" spans="1:4" x14ac:dyDescent="0.25">
      <c r="A6167" t="str">
        <f>T("   847340")</f>
        <v xml:space="preserve">   847340</v>
      </c>
      <c r="B6167" t="str">
        <f>T("   PARTIES ET ACCESSOIRES DES MACHINES DU N° 84.72")</f>
        <v xml:space="preserve">   PARTIES ET ACCESSOIRES DES MACHINES DU N° 84.72</v>
      </c>
      <c r="C6167" s="4">
        <v>6</v>
      </c>
      <c r="D6167" s="4">
        <v>13000</v>
      </c>
    </row>
    <row r="6168" spans="1:4" x14ac:dyDescent="0.25">
      <c r="A6168" t="str">
        <f>T("   847990")</f>
        <v xml:space="preserve">   847990</v>
      </c>
      <c r="B6168" t="str">
        <f>T("   PARTIES")</f>
        <v xml:space="preserve">   PARTIES</v>
      </c>
      <c r="C6168" s="4">
        <v>18.5</v>
      </c>
      <c r="D6168" s="4">
        <v>2418063</v>
      </c>
    </row>
    <row r="6169" spans="1:4" x14ac:dyDescent="0.25">
      <c r="A6169" t="str">
        <f>T("   848120")</f>
        <v xml:space="preserve">   848120</v>
      </c>
      <c r="B6169" t="str">
        <f>T("   VALVES POUR TRANSMISSIONS OLEOHYDRAULIQUES OU PNEUMATIQUES")</f>
        <v xml:space="preserve">   VALVES POUR TRANSMISSIONS OLEOHYDRAULIQUES OU PNEUMATIQUES</v>
      </c>
      <c r="C6169" s="4">
        <v>2</v>
      </c>
      <c r="D6169" s="4">
        <v>926763</v>
      </c>
    </row>
    <row r="6170" spans="1:4" x14ac:dyDescent="0.25">
      <c r="A6170" t="str">
        <f>T("   848180")</f>
        <v xml:space="preserve">   848180</v>
      </c>
      <c r="B6170" t="str">
        <f>T("   Autres articles de robinetterie et organes similaires")</f>
        <v xml:space="preserve">   Autres articles de robinetterie et organes similaires</v>
      </c>
      <c r="C6170" s="4">
        <v>16</v>
      </c>
      <c r="D6170" s="4">
        <v>116605</v>
      </c>
    </row>
    <row r="6171" spans="1:4" x14ac:dyDescent="0.25">
      <c r="A6171" t="str">
        <f>T("   848340")</f>
        <v xml:space="preserve">   848340</v>
      </c>
      <c r="B6171" t="str">
        <f>T("   ENGRENAGES ET ROUES DE FRICTION, AUTRES QUE LES ROUES DENTEES ET AUTRES ORGANES ELEME")</f>
        <v xml:space="preserve">   ENGRENAGES ET ROUES DE FRICTION, AUTRES QUE LES ROUES DENTEES ET AUTRES ORGANES ELEME</v>
      </c>
      <c r="C6171" s="4">
        <v>72</v>
      </c>
      <c r="D6171" s="4">
        <v>232592</v>
      </c>
    </row>
    <row r="6172" spans="1:4" x14ac:dyDescent="0.25">
      <c r="A6172" t="str">
        <f>T("   848360")</f>
        <v xml:space="preserve">   848360</v>
      </c>
      <c r="B6172" t="str">
        <f>T("   EMBRAYAGES ET ORGANES D'ACCOUPLEMENT, Y COMPRIS LES JOINTS D'ARTICULATION")</f>
        <v xml:space="preserve">   EMBRAYAGES ET ORGANES D'ACCOUPLEMENT, Y COMPRIS LES JOINTS D'ARTICULATION</v>
      </c>
      <c r="C6172" s="4">
        <v>23</v>
      </c>
      <c r="D6172" s="4">
        <v>161661</v>
      </c>
    </row>
    <row r="6173" spans="1:4" x14ac:dyDescent="0.25">
      <c r="A6173" t="str">
        <f>T("   848490")</f>
        <v xml:space="preserve">   848490</v>
      </c>
      <c r="B6173" t="str">
        <f>T("   AUTRES")</f>
        <v xml:space="preserve">   AUTRES</v>
      </c>
      <c r="C6173" s="4">
        <v>15</v>
      </c>
      <c r="D6173" s="4">
        <v>192087</v>
      </c>
    </row>
    <row r="6174" spans="1:4" x14ac:dyDescent="0.25">
      <c r="A6174" t="str">
        <f>T("   851640")</f>
        <v xml:space="preserve">   851640</v>
      </c>
      <c r="B6174" t="str">
        <f>T("   Fers a repasser electriques")</f>
        <v xml:space="preserve">   Fers a repasser electriques</v>
      </c>
      <c r="C6174" s="4">
        <v>4260</v>
      </c>
      <c r="D6174" s="4">
        <v>824304</v>
      </c>
    </row>
    <row r="6175" spans="1:4" x14ac:dyDescent="0.25">
      <c r="A6175" t="str">
        <f>T("   851769")</f>
        <v xml:space="preserve">   851769</v>
      </c>
      <c r="B6175" t="str">
        <f>T("   AUTRES")</f>
        <v xml:space="preserve">   AUTRES</v>
      </c>
      <c r="C6175" s="4">
        <v>5</v>
      </c>
      <c r="D6175" s="4">
        <v>299443</v>
      </c>
    </row>
    <row r="6176" spans="1:4" x14ac:dyDescent="0.25">
      <c r="A6176" t="str">
        <f>T("   851829")</f>
        <v xml:space="preserve">   851829</v>
      </c>
      <c r="B6176" t="str">
        <f>T("   AUTRES")</f>
        <v xml:space="preserve">   AUTRES</v>
      </c>
      <c r="C6176" s="4">
        <v>1050</v>
      </c>
      <c r="D6176" s="4">
        <v>406335</v>
      </c>
    </row>
    <row r="6177" spans="1:4" x14ac:dyDescent="0.25">
      <c r="A6177" t="str">
        <f>T("   852719")</f>
        <v xml:space="preserve">   852719</v>
      </c>
      <c r="B6177" t="str">
        <f>T("   AUTRES")</f>
        <v xml:space="preserve">   AUTRES</v>
      </c>
      <c r="C6177" s="4">
        <v>2100</v>
      </c>
      <c r="D6177" s="4">
        <v>558165</v>
      </c>
    </row>
    <row r="6178" spans="1:4" x14ac:dyDescent="0.25">
      <c r="A6178" t="str">
        <f>T("   852873")</f>
        <v xml:space="preserve">   852873</v>
      </c>
      <c r="B6178" t="str">
        <f>T("   AUTRES, EN MONOCHROMES")</f>
        <v xml:space="preserve">   AUTRES, EN MONOCHROMES</v>
      </c>
      <c r="C6178" s="4">
        <v>15</v>
      </c>
      <c r="D6178" s="4">
        <v>280278</v>
      </c>
    </row>
    <row r="6179" spans="1:4" x14ac:dyDescent="0.25">
      <c r="A6179" t="str">
        <f>T("   853321")</f>
        <v xml:space="preserve">   853321</v>
      </c>
      <c r="B6179" t="str">
        <f>T("   POUR UNE PUISSANCE N'EXCEDANT PAS 20 W")</f>
        <v xml:space="preserve">   POUR UNE PUISSANCE N'EXCEDANT PAS 20 W</v>
      </c>
      <c r="C6179" s="4">
        <v>0.9</v>
      </c>
      <c r="D6179" s="4">
        <v>93940</v>
      </c>
    </row>
    <row r="6180" spans="1:4" x14ac:dyDescent="0.25">
      <c r="A6180" t="str">
        <f>T("   853641")</f>
        <v xml:space="preserve">   853641</v>
      </c>
      <c r="B6180" t="str">
        <f>T("   POUR UNE TENSION N'EXCEDANT PAS 60 V")</f>
        <v xml:space="preserve">   POUR UNE TENSION N'EXCEDANT PAS 60 V</v>
      </c>
      <c r="C6180" s="4">
        <v>2</v>
      </c>
      <c r="D6180" s="4">
        <v>376928</v>
      </c>
    </row>
    <row r="6181" spans="1:4" x14ac:dyDescent="0.25">
      <c r="A6181" t="str">
        <f>T("   853650")</f>
        <v xml:space="preserve">   853650</v>
      </c>
      <c r="B6181" t="str">
        <f>T("   AUTRES INTERRUPTEURS, SECTIONNEURS ET COMMUTATEURS")</f>
        <v xml:space="preserve">   AUTRES INTERRUPTEURS, SECTIONNEURS ET COMMUTATEURS</v>
      </c>
      <c r="C6181" s="4">
        <v>24</v>
      </c>
      <c r="D6181" s="4">
        <v>600931</v>
      </c>
    </row>
    <row r="6182" spans="1:4" x14ac:dyDescent="0.25">
      <c r="A6182" t="str">
        <f>T("   853690")</f>
        <v xml:space="preserve">   853690</v>
      </c>
      <c r="B6182" t="str">
        <f>T("   AUTRES APPAREILS")</f>
        <v xml:space="preserve">   AUTRES APPAREILS</v>
      </c>
      <c r="C6182" s="4">
        <v>7</v>
      </c>
      <c r="D6182" s="4">
        <v>1574070</v>
      </c>
    </row>
    <row r="6183" spans="1:4" x14ac:dyDescent="0.25">
      <c r="A6183" t="str">
        <f>T("   854129")</f>
        <v xml:space="preserve">   854129</v>
      </c>
      <c r="B6183" t="str">
        <f>T("   AUTRES")</f>
        <v xml:space="preserve">   AUTRES</v>
      </c>
      <c r="C6183" s="4">
        <v>0.9</v>
      </c>
      <c r="D6183" s="4">
        <v>162815</v>
      </c>
    </row>
    <row r="6184" spans="1:4" x14ac:dyDescent="0.25">
      <c r="A6184" t="str">
        <f>T("   871200")</f>
        <v xml:space="preserve">   871200</v>
      </c>
      <c r="B6184" t="str">
        <f>T("   BICYCLETTES ET AUTRES CYCLES (Y COMPRIS LES TRIPORTEURS), SANS MOTEUR.")</f>
        <v xml:space="preserve">   BICYCLETTES ET AUTRES CYCLES (Y COMPRIS LES TRIPORTEURS), SANS MOTEUR.</v>
      </c>
      <c r="C6184" s="4">
        <v>30</v>
      </c>
      <c r="D6184" s="4">
        <v>123845</v>
      </c>
    </row>
    <row r="6185" spans="1:4" x14ac:dyDescent="0.25">
      <c r="A6185" t="str">
        <f>T("   901890")</f>
        <v xml:space="preserve">   901890</v>
      </c>
      <c r="B6185" t="str">
        <f>T("   AUTRES INSTRUMENTS ET APPAREILS")</f>
        <v xml:space="preserve">   AUTRES INSTRUMENTS ET APPAREILS</v>
      </c>
      <c r="C6185" s="4">
        <v>214.8</v>
      </c>
      <c r="D6185" s="4">
        <v>2352624</v>
      </c>
    </row>
    <row r="6186" spans="1:4" x14ac:dyDescent="0.25">
      <c r="A6186" t="str">
        <f>T("   902290")</f>
        <v xml:space="preserve">   902290</v>
      </c>
      <c r="B6186" t="str">
        <f>T("   AUTRES, Y COMPRIS LES PARTIES ET ACCESSOIRES")</f>
        <v xml:space="preserve">   AUTRES, Y COMPRIS LES PARTIES ET ACCESSOIRES</v>
      </c>
      <c r="C6186" s="4">
        <v>135.5</v>
      </c>
      <c r="D6186" s="4">
        <v>14639047</v>
      </c>
    </row>
    <row r="6187" spans="1:4" x14ac:dyDescent="0.25">
      <c r="A6187" t="str">
        <f>T("   910599")</f>
        <v xml:space="preserve">   910599</v>
      </c>
      <c r="B6187" t="str">
        <f>T("   AUTRES")</f>
        <v xml:space="preserve">   AUTRES</v>
      </c>
      <c r="C6187" s="4">
        <v>45</v>
      </c>
      <c r="D6187" s="4">
        <v>163845</v>
      </c>
    </row>
    <row r="6188" spans="1:4" x14ac:dyDescent="0.25">
      <c r="A6188" t="str">
        <f>T("   961800")</f>
        <v xml:space="preserve">   961800</v>
      </c>
      <c r="B6188" t="str">
        <f>T("   MANNEQUINS ET ARTICLES SIMILAIRES; AUTOMATES ET SCENES ANIMEES POUR ETALAGES.")</f>
        <v xml:space="preserve">   MANNEQUINS ET ARTICLES SIMILAIRES; AUTOMATES ET SCENES ANIMEES POUR ETALAGES.</v>
      </c>
      <c r="C6188" s="4">
        <v>15</v>
      </c>
      <c r="D6188" s="4">
        <v>76461</v>
      </c>
    </row>
    <row r="6189" spans="1:4" s="5" customFormat="1" x14ac:dyDescent="0.25">
      <c r="A6189" s="5" t="str">
        <f>T("   ZZ_Total_Produit_SH6")</f>
        <v xml:space="preserve">   ZZ_Total_Produit_SH6</v>
      </c>
      <c r="B6189" s="5" t="str">
        <f>T("   ZZ_Total_Produit_SH6")</f>
        <v xml:space="preserve">   ZZ_Total_Produit_SH6</v>
      </c>
      <c r="C6189" s="1">
        <v>27432.1</v>
      </c>
      <c r="D6189" s="1">
        <v>49611500</v>
      </c>
    </row>
    <row r="6190" spans="1:4" s="5" customFormat="1" x14ac:dyDescent="0.25">
      <c r="B6190" s="5" t="str">
        <f>T("Ghana")</f>
        <v>Ghana</v>
      </c>
      <c r="C6190" s="1"/>
      <c r="D6190" s="1"/>
    </row>
    <row r="6191" spans="1:4" x14ac:dyDescent="0.25">
      <c r="A6191" t="str">
        <f>T("   020713")</f>
        <v xml:space="preserve">   020713</v>
      </c>
      <c r="B6191" t="str">
        <f>T("   MORCEAUX ET ABATS, FRAIS OU REFRIGERES")</f>
        <v xml:space="preserve">   MORCEAUX ET ABATS, FRAIS OU REFRIGERES</v>
      </c>
      <c r="C6191" s="4">
        <v>100000</v>
      </c>
      <c r="D6191" s="4">
        <v>62200095</v>
      </c>
    </row>
    <row r="6192" spans="1:4" x14ac:dyDescent="0.25">
      <c r="A6192" t="str">
        <f>T("   030219")</f>
        <v xml:space="preserve">   030219</v>
      </c>
      <c r="B6192" t="str">
        <f>T("   AUTRES")</f>
        <v xml:space="preserve">   AUTRES</v>
      </c>
      <c r="C6192" s="4">
        <v>3500</v>
      </c>
      <c r="D6192" s="4">
        <v>1400000</v>
      </c>
    </row>
    <row r="6193" spans="1:4" x14ac:dyDescent="0.25">
      <c r="A6193" t="str">
        <f>T("   030269")</f>
        <v xml:space="preserve">   030269</v>
      </c>
      <c r="B6193" t="str">
        <f>T("   Autres poissons entiers,frais ou refrigeres.(foies,oeufs laitances exclus)")</f>
        <v xml:space="preserve">   Autres poissons entiers,frais ou refrigeres.(foies,oeufs laitances exclus)</v>
      </c>
      <c r="C6193" s="4">
        <v>168000</v>
      </c>
      <c r="D6193" s="4">
        <v>67200000</v>
      </c>
    </row>
    <row r="6194" spans="1:4" x14ac:dyDescent="0.25">
      <c r="A6194" t="str">
        <f>T("   030379")</f>
        <v xml:space="preserve">   030379</v>
      </c>
      <c r="B6194" t="str">
        <f>T("   AUTRES POISSONS ENTIERS CONGELES.(FOIES,OEUFS,LAITANCES EXCLUS)")</f>
        <v xml:space="preserve">   AUTRES POISSONS ENTIERS CONGELES.(FOIES,OEUFS,LAITANCES EXCLUS)</v>
      </c>
      <c r="C6194" s="4">
        <v>351</v>
      </c>
      <c r="D6194" s="4">
        <v>960000</v>
      </c>
    </row>
    <row r="6195" spans="1:4" x14ac:dyDescent="0.25">
      <c r="A6195" t="str">
        <f>T("   040229")</f>
        <v xml:space="preserve">   040229</v>
      </c>
      <c r="B6195" t="str">
        <f>T("   AUTRES")</f>
        <v xml:space="preserve">   AUTRES</v>
      </c>
      <c r="C6195" s="4">
        <v>93787.4</v>
      </c>
      <c r="D6195" s="4">
        <v>444842410</v>
      </c>
    </row>
    <row r="6196" spans="1:4" x14ac:dyDescent="0.25">
      <c r="A6196" t="str">
        <f>T("   040299")</f>
        <v xml:space="preserve">   040299</v>
      </c>
      <c r="B6196" t="str">
        <f>T("   AUTRES")</f>
        <v xml:space="preserve">   AUTRES</v>
      </c>
      <c r="C6196" s="4">
        <v>10500</v>
      </c>
      <c r="D6196" s="4">
        <v>1820544</v>
      </c>
    </row>
    <row r="6197" spans="1:4" x14ac:dyDescent="0.25">
      <c r="A6197" t="str">
        <f>T("   080300")</f>
        <v xml:space="preserve">   080300</v>
      </c>
      <c r="B6197" t="str">
        <f>T("   Bananes,y compris les plantains,fraiches ou seches")</f>
        <v xml:space="preserve">   Bananes,y compris les plantains,fraiches ou seches</v>
      </c>
      <c r="C6197" s="4">
        <v>358656</v>
      </c>
      <c r="D6197" s="4">
        <v>91348066</v>
      </c>
    </row>
    <row r="6198" spans="1:4" x14ac:dyDescent="0.25">
      <c r="A6198" t="str">
        <f>T("   090112")</f>
        <v xml:space="preserve">   090112</v>
      </c>
      <c r="B6198" t="str">
        <f>T("   DECAFEINE")</f>
        <v xml:space="preserve">   DECAFEINE</v>
      </c>
      <c r="C6198" s="4">
        <v>3380</v>
      </c>
      <c r="D6198" s="4">
        <v>1200000</v>
      </c>
    </row>
    <row r="6199" spans="1:4" x14ac:dyDescent="0.25">
      <c r="A6199" t="str">
        <f>T("   090190")</f>
        <v xml:space="preserve">   090190</v>
      </c>
      <c r="B6199" t="str">
        <f>T("   AUTRES")</f>
        <v xml:space="preserve">   AUTRES</v>
      </c>
      <c r="C6199" s="4">
        <v>8100</v>
      </c>
      <c r="D6199" s="4">
        <v>3933940</v>
      </c>
    </row>
    <row r="6200" spans="1:4" x14ac:dyDescent="0.25">
      <c r="A6200" t="str">
        <f>T("   110100")</f>
        <v xml:space="preserve">   110100</v>
      </c>
      <c r="B6200" t="str">
        <f>T("   FARINES DE FROMENT (BLE) OU DE METEIL.")</f>
        <v xml:space="preserve">   FARINES DE FROMENT (BLE) OU DE METEIL.</v>
      </c>
      <c r="C6200" s="4">
        <v>148000</v>
      </c>
      <c r="D6200" s="4">
        <v>47885102.906000003</v>
      </c>
    </row>
    <row r="6201" spans="1:4" x14ac:dyDescent="0.25">
      <c r="A6201" t="str">
        <f>T("   151110")</f>
        <v xml:space="preserve">   151110</v>
      </c>
      <c r="B6201" t="str">
        <f>T("   HUILE BRUTE")</f>
        <v xml:space="preserve">   HUILE BRUTE</v>
      </c>
      <c r="C6201" s="4">
        <v>145792</v>
      </c>
      <c r="D6201" s="4">
        <v>36448000</v>
      </c>
    </row>
    <row r="6202" spans="1:4" x14ac:dyDescent="0.25">
      <c r="A6202" t="str">
        <f>T("   151190")</f>
        <v xml:space="preserve">   151190</v>
      </c>
      <c r="B6202" t="str">
        <f>T("   AUTRES")</f>
        <v xml:space="preserve">   AUTRES</v>
      </c>
      <c r="C6202" s="4">
        <v>1483214</v>
      </c>
      <c r="D6202" s="4">
        <v>650183189.148</v>
      </c>
    </row>
    <row r="6203" spans="1:4" x14ac:dyDescent="0.25">
      <c r="A6203" t="str">
        <f>T("   151620")</f>
        <v xml:space="preserve">   151620</v>
      </c>
      <c r="B6203" t="str">
        <f>T("   GRAISSES ET HUILES VEGETALES ET LEURS FRACTIONS")</f>
        <v xml:space="preserve">   GRAISSES ET HUILES VEGETALES ET LEURS FRACTIONS</v>
      </c>
      <c r="C6203" s="4">
        <v>142322</v>
      </c>
      <c r="D6203" s="4">
        <v>47775362</v>
      </c>
    </row>
    <row r="6204" spans="1:4" x14ac:dyDescent="0.25">
      <c r="A6204" t="str">
        <f>T("   160100")</f>
        <v xml:space="preserve">   160100</v>
      </c>
      <c r="B6204" t="str">
        <f>T("   SAUCISSES, SAUCISSONS ET PRODUITS SIMILAIRES, DE VIANDE, D'ABATS OU DE SANG; PREPARATIO")</f>
        <v xml:space="preserve">   SAUCISSES, SAUCISSONS ET PRODUITS SIMILAIRES, DE VIANDE, D'ABATS OU DE SANG; PREPARATIO</v>
      </c>
      <c r="C6204" s="4">
        <v>338183.04</v>
      </c>
      <c r="D6204" s="4">
        <v>253647605</v>
      </c>
    </row>
    <row r="6205" spans="1:4" x14ac:dyDescent="0.25">
      <c r="A6205" t="str">
        <f>T("   170410")</f>
        <v xml:space="preserve">   170410</v>
      </c>
      <c r="B6205" t="str">
        <f>T("   GOMMES A MACHER (CHEWINGGUM), MEME ENROBEES DE SUCRE")</f>
        <v xml:space="preserve">   GOMMES A MACHER (CHEWINGGUM), MEME ENROBEES DE SUCRE</v>
      </c>
      <c r="C6205" s="4">
        <v>7520</v>
      </c>
      <c r="D6205" s="4">
        <v>2405389</v>
      </c>
    </row>
    <row r="6206" spans="1:4" x14ac:dyDescent="0.25">
      <c r="A6206" t="str">
        <f>T("   170490")</f>
        <v xml:space="preserve">   170490</v>
      </c>
      <c r="B6206" t="str">
        <f>T("   AUTRES")</f>
        <v xml:space="preserve">   AUTRES</v>
      </c>
      <c r="C6206" s="4">
        <v>107460</v>
      </c>
      <c r="D6206" s="4">
        <v>25411594</v>
      </c>
    </row>
    <row r="6207" spans="1:4" x14ac:dyDescent="0.25">
      <c r="A6207" t="str">
        <f>T("   180610")</f>
        <v xml:space="preserve">   180610</v>
      </c>
      <c r="B6207" t="str">
        <f>T("   POUDRE DE CACAO, AVEC ADDITION DE SUCRE OU D'AUTRES EDULCORANTS")</f>
        <v xml:space="preserve">   POUDRE DE CACAO, AVEC ADDITION DE SUCRE OU D'AUTRES EDULCORANTS</v>
      </c>
      <c r="C6207" s="4">
        <v>13000</v>
      </c>
      <c r="D6207" s="4">
        <v>4000000</v>
      </c>
    </row>
    <row r="6208" spans="1:4" x14ac:dyDescent="0.25">
      <c r="A6208" t="str">
        <f>T("   180632")</f>
        <v xml:space="preserve">   180632</v>
      </c>
      <c r="B6208" t="str">
        <f>T("   NON FOURRES")</f>
        <v xml:space="preserve">   NON FOURRES</v>
      </c>
      <c r="C6208" s="4">
        <v>7647</v>
      </c>
      <c r="D6208" s="4">
        <v>1515000</v>
      </c>
    </row>
    <row r="6209" spans="1:4" x14ac:dyDescent="0.25">
      <c r="A6209" t="str">
        <f>T("   190110")</f>
        <v xml:space="preserve">   190110</v>
      </c>
      <c r="B6209" t="str">
        <f>T("   PREPARATIONS POUR L'ALIMENTATION DES ENFANTS, CONDITIONNEES POUR LA VENTE AU DETAIL")</f>
        <v xml:space="preserve">   PREPARATIONS POUR L'ALIMENTATION DES ENFANTS, CONDITIONNEES POUR LA VENTE AU DETAIL</v>
      </c>
      <c r="C6209" s="4">
        <v>53440</v>
      </c>
      <c r="D6209" s="4">
        <v>155222240</v>
      </c>
    </row>
    <row r="6210" spans="1:4" x14ac:dyDescent="0.25">
      <c r="A6210" t="str">
        <f>T("   190190")</f>
        <v xml:space="preserve">   190190</v>
      </c>
      <c r="B6210" t="str">
        <f>T("   AUTRES")</f>
        <v xml:space="preserve">   AUTRES</v>
      </c>
      <c r="C6210" s="4">
        <v>4000</v>
      </c>
      <c r="D6210" s="4">
        <v>1000000</v>
      </c>
    </row>
    <row r="6211" spans="1:4" x14ac:dyDescent="0.25">
      <c r="A6211" t="str">
        <f>T("   190531")</f>
        <v xml:space="preserve">   190531</v>
      </c>
      <c r="B6211" t="str">
        <f>T("   BISCUITS ADDITIONNES D’EDULCORANTS")</f>
        <v xml:space="preserve">   BISCUITS ADDITIONNES D’EDULCORANTS</v>
      </c>
      <c r="C6211" s="4">
        <v>21000</v>
      </c>
      <c r="D6211" s="4">
        <v>5010000</v>
      </c>
    </row>
    <row r="6212" spans="1:4" x14ac:dyDescent="0.25">
      <c r="A6212" t="str">
        <f>T("   190590")</f>
        <v xml:space="preserve">   190590</v>
      </c>
      <c r="B6212" t="str">
        <f>T("   AUTRES")</f>
        <v xml:space="preserve">   AUTRES</v>
      </c>
      <c r="C6212" s="4">
        <v>64700</v>
      </c>
      <c r="D6212" s="4">
        <v>19209832</v>
      </c>
    </row>
    <row r="6213" spans="1:4" x14ac:dyDescent="0.25">
      <c r="A6213" t="str">
        <f>T("   200290")</f>
        <v xml:space="preserve">   200290</v>
      </c>
      <c r="B6213" t="str">
        <f>T("   AUTRES")</f>
        <v xml:space="preserve">   AUTRES</v>
      </c>
      <c r="C6213" s="4">
        <v>54550</v>
      </c>
      <c r="D6213" s="4">
        <v>19215327</v>
      </c>
    </row>
    <row r="6214" spans="1:4" x14ac:dyDescent="0.25">
      <c r="A6214" t="str">
        <f>T("   200819")</f>
        <v xml:space="preserve">   200819</v>
      </c>
      <c r="B6214" t="str">
        <f>T("   AUTRES, Y COMPRIS LES MELANGES")</f>
        <v xml:space="preserve">   AUTRES, Y COMPRIS LES MELANGES</v>
      </c>
      <c r="C6214" s="4">
        <v>2000</v>
      </c>
      <c r="D6214" s="4">
        <v>987503</v>
      </c>
    </row>
    <row r="6215" spans="1:4" x14ac:dyDescent="0.25">
      <c r="A6215" t="str">
        <f>T("   200980")</f>
        <v xml:space="preserve">   200980</v>
      </c>
      <c r="B6215" t="str">
        <f>T("   AUTRES JUS DE FRUITS OU DE LEGUMES,SANS ALCOOL,SUCRES OU NON")</f>
        <v xml:space="preserve">   AUTRES JUS DE FRUITS OU DE LEGUMES,SANS ALCOOL,SUCRES OU NON</v>
      </c>
      <c r="C6215" s="4">
        <v>35200</v>
      </c>
      <c r="D6215" s="4">
        <v>3059320</v>
      </c>
    </row>
    <row r="6216" spans="1:4" x14ac:dyDescent="0.25">
      <c r="A6216" t="str">
        <f>T("   200990")</f>
        <v xml:space="preserve">   200990</v>
      </c>
      <c r="B6216" t="str">
        <f>T("   MELANGES DE JUS")</f>
        <v xml:space="preserve">   MELANGES DE JUS</v>
      </c>
      <c r="C6216" s="4">
        <v>307580</v>
      </c>
      <c r="D6216" s="4">
        <v>28061543</v>
      </c>
    </row>
    <row r="6217" spans="1:4" x14ac:dyDescent="0.25">
      <c r="A6217" t="str">
        <f>T("   210120")</f>
        <v xml:space="preserve">   210120</v>
      </c>
      <c r="B6217" t="str">
        <f>T("   EXTRAITS, ESSENCES ET CONCENTRES DE THE OU DE MATE ET PREPARATIONS A BASE DE CES EXTR")</f>
        <v xml:space="preserve">   EXTRAITS, ESSENCES ET CONCENTRES DE THE OU DE MATE ET PREPARATIONS A BASE DE CES EXTR</v>
      </c>
      <c r="C6217" s="4">
        <v>8000</v>
      </c>
      <c r="D6217" s="4">
        <v>2351292</v>
      </c>
    </row>
    <row r="6218" spans="1:4" x14ac:dyDescent="0.25">
      <c r="A6218" t="str">
        <f>T("   220110")</f>
        <v xml:space="preserve">   220110</v>
      </c>
      <c r="B6218" t="str">
        <f>T("   EAUX MINERALES ET EAUX GAZEIFIEES")</f>
        <v xml:space="preserve">   EAUX MINERALES ET EAUX GAZEIFIEES</v>
      </c>
      <c r="C6218" s="4">
        <v>247486</v>
      </c>
      <c r="D6218" s="4">
        <v>12845151</v>
      </c>
    </row>
    <row r="6219" spans="1:4" x14ac:dyDescent="0.25">
      <c r="A6219" t="str">
        <f>T("   220290")</f>
        <v xml:space="preserve">   220290</v>
      </c>
      <c r="B6219" t="str">
        <f>T("   AUTRES")</f>
        <v xml:space="preserve">   AUTRES</v>
      </c>
      <c r="C6219" s="4">
        <v>356630</v>
      </c>
      <c r="D6219" s="4">
        <v>40124541</v>
      </c>
    </row>
    <row r="6220" spans="1:4" x14ac:dyDescent="0.25">
      <c r="A6220" t="str">
        <f>T("   220830")</f>
        <v xml:space="preserve">   220830</v>
      </c>
      <c r="B6220" t="str">
        <f>T("   Whiskies")</f>
        <v xml:space="preserve">   Whiskies</v>
      </c>
      <c r="C6220" s="4">
        <v>18500</v>
      </c>
      <c r="D6220" s="4">
        <v>3139198</v>
      </c>
    </row>
    <row r="6221" spans="1:4" x14ac:dyDescent="0.25">
      <c r="A6221" t="str">
        <f>T("   220890")</f>
        <v xml:space="preserve">   220890</v>
      </c>
      <c r="B6221" t="str">
        <f>T("   AUTRES")</f>
        <v xml:space="preserve">   AUTRES</v>
      </c>
      <c r="C6221" s="4">
        <v>6000</v>
      </c>
      <c r="D6221" s="4">
        <v>810000</v>
      </c>
    </row>
    <row r="6222" spans="1:4" x14ac:dyDescent="0.25">
      <c r="A6222" t="str">
        <f>T("   230230")</f>
        <v xml:space="preserve">   230230</v>
      </c>
      <c r="B6222" t="str">
        <f>T("   DE FROMENT")</f>
        <v xml:space="preserve">   DE FROMENT</v>
      </c>
      <c r="C6222" s="4">
        <v>925000</v>
      </c>
      <c r="D6222" s="4">
        <v>71200000</v>
      </c>
    </row>
    <row r="6223" spans="1:4" x14ac:dyDescent="0.25">
      <c r="A6223" t="str">
        <f>T("   230660")</f>
        <v xml:space="preserve">   230660</v>
      </c>
      <c r="B6223" t="str">
        <f>T("   DE NOIX OU D'AMANDES DE PALMISTE")</f>
        <v xml:space="preserve">   DE NOIX OU D'AMANDES DE PALMISTE</v>
      </c>
      <c r="C6223" s="4">
        <v>74000</v>
      </c>
      <c r="D6223" s="4">
        <v>2400000</v>
      </c>
    </row>
    <row r="6224" spans="1:4" x14ac:dyDescent="0.25">
      <c r="A6224" t="str">
        <f>T("   230990")</f>
        <v xml:space="preserve">   230990</v>
      </c>
      <c r="B6224" t="str">
        <f>T("   AUTRES")</f>
        <v xml:space="preserve">   AUTRES</v>
      </c>
      <c r="C6224" s="4">
        <v>143190</v>
      </c>
      <c r="D6224" s="4">
        <v>40228191</v>
      </c>
    </row>
    <row r="6225" spans="1:4" x14ac:dyDescent="0.25">
      <c r="A6225" t="str">
        <f>T("   250100")</f>
        <v xml:space="preserve">   250100</v>
      </c>
      <c r="B6225" t="str">
        <f>T("   SEL (Y COMPRIS LE SEL PREPARE POUR LA TABLE ET LE SEL DENATURE) ET CHLORURE DE SODIUM P")</f>
        <v xml:space="preserve">   SEL (Y COMPRIS LE SEL PREPARE POUR LA TABLE ET LE SEL DENATURE) ET CHLORURE DE SODIUM P</v>
      </c>
      <c r="C6225" s="4">
        <v>1013220</v>
      </c>
      <c r="D6225" s="4">
        <v>35462700</v>
      </c>
    </row>
    <row r="6226" spans="1:4" x14ac:dyDescent="0.25">
      <c r="A6226" t="str">
        <f>T("   270119")</f>
        <v xml:space="preserve">   270119</v>
      </c>
      <c r="B6226" t="str">
        <f>T("   AUTRES HOUILLES")</f>
        <v xml:space="preserve">   AUTRES HOUILLES</v>
      </c>
      <c r="C6226" s="4">
        <v>6000</v>
      </c>
      <c r="D6226" s="4">
        <v>1213070</v>
      </c>
    </row>
    <row r="6227" spans="1:4" x14ac:dyDescent="0.25">
      <c r="A6227" t="str">
        <f>T("   271019")</f>
        <v xml:space="preserve">   271019</v>
      </c>
      <c r="B6227" t="str">
        <f>T("   AUTRES")</f>
        <v xml:space="preserve">   AUTRES</v>
      </c>
      <c r="C6227" s="4">
        <v>2530524</v>
      </c>
      <c r="D6227" s="4">
        <v>806860820</v>
      </c>
    </row>
    <row r="6228" spans="1:4" x14ac:dyDescent="0.25">
      <c r="A6228" t="str">
        <f>T("   271112")</f>
        <v xml:space="preserve">   271112</v>
      </c>
      <c r="B6228" t="str">
        <f>T("   PROPANE")</f>
        <v xml:space="preserve">   PROPANE</v>
      </c>
      <c r="C6228" s="4">
        <v>465</v>
      </c>
      <c r="D6228" s="4">
        <v>2173255</v>
      </c>
    </row>
    <row r="6229" spans="1:4" x14ac:dyDescent="0.25">
      <c r="A6229" t="str">
        <f>T("   271113")</f>
        <v xml:space="preserve">   271113</v>
      </c>
      <c r="B6229" t="str">
        <f>T("   BUTANES")</f>
        <v xml:space="preserve">   BUTANES</v>
      </c>
      <c r="C6229" s="4">
        <v>101000</v>
      </c>
      <c r="D6229" s="4">
        <v>35350000</v>
      </c>
    </row>
    <row r="6230" spans="1:4" x14ac:dyDescent="0.25">
      <c r="A6230" t="str">
        <f>T("   280421")</f>
        <v xml:space="preserve">   280421</v>
      </c>
      <c r="B6230" t="str">
        <f>T("   Argon")</f>
        <v xml:space="preserve">   Argon</v>
      </c>
      <c r="C6230" s="4">
        <v>1278</v>
      </c>
      <c r="D6230" s="4">
        <v>3044127</v>
      </c>
    </row>
    <row r="6231" spans="1:4" x14ac:dyDescent="0.25">
      <c r="A6231" t="str">
        <f>T("   280440")</f>
        <v xml:space="preserve">   280440</v>
      </c>
      <c r="B6231" t="str">
        <f>T("   OXYGENE")</f>
        <v xml:space="preserve">   OXYGENE</v>
      </c>
      <c r="C6231" s="4">
        <v>65000</v>
      </c>
      <c r="D6231" s="4">
        <v>22103176</v>
      </c>
    </row>
    <row r="6232" spans="1:4" x14ac:dyDescent="0.25">
      <c r="A6232" t="str">
        <f>T("   280469")</f>
        <v xml:space="preserve">   280469</v>
      </c>
      <c r="B6232" t="str">
        <f>T("   AUTRE")</f>
        <v xml:space="preserve">   AUTRE</v>
      </c>
      <c r="C6232" s="4">
        <v>20000</v>
      </c>
      <c r="D6232" s="4">
        <v>11465853</v>
      </c>
    </row>
    <row r="6233" spans="1:4" x14ac:dyDescent="0.25">
      <c r="A6233" t="str">
        <f>T("   282890")</f>
        <v xml:space="preserve">   282890</v>
      </c>
      <c r="B6233" t="str">
        <f>T("   AUTRES")</f>
        <v xml:space="preserve">   AUTRES</v>
      </c>
      <c r="C6233" s="4">
        <v>58000</v>
      </c>
      <c r="D6233" s="4">
        <v>14549357</v>
      </c>
    </row>
    <row r="6234" spans="1:4" x14ac:dyDescent="0.25">
      <c r="A6234" t="str">
        <f>T("   283650")</f>
        <v xml:space="preserve">   283650</v>
      </c>
      <c r="B6234" t="str">
        <f>T("   Carbonate de calcium")</f>
        <v xml:space="preserve">   Carbonate de calcium</v>
      </c>
      <c r="C6234" s="4">
        <v>2500</v>
      </c>
      <c r="D6234" s="4">
        <v>330902</v>
      </c>
    </row>
    <row r="6235" spans="1:4" x14ac:dyDescent="0.25">
      <c r="A6235" t="str">
        <f>T("   290312")</f>
        <v xml:space="preserve">   290312</v>
      </c>
      <c r="B6235" t="str">
        <f>T("   DICHLOROMETHANE (CHLORURE DE METHYLENE)")</f>
        <v xml:space="preserve">   DICHLOROMETHANE (CHLORURE DE METHYLENE)</v>
      </c>
      <c r="C6235" s="4">
        <v>2290</v>
      </c>
      <c r="D6235" s="4">
        <v>4866134</v>
      </c>
    </row>
    <row r="6236" spans="1:4" x14ac:dyDescent="0.25">
      <c r="A6236" t="str">
        <f>T("   290531")</f>
        <v xml:space="preserve">   290531</v>
      </c>
      <c r="B6236" t="str">
        <f>T("   ETHYLENE GLYCOL (ETHANEDIOL)")</f>
        <v xml:space="preserve">   ETHYLENE GLYCOL (ETHANEDIOL)</v>
      </c>
      <c r="C6236" s="4">
        <v>75</v>
      </c>
      <c r="D6236" s="4">
        <v>1196942</v>
      </c>
    </row>
    <row r="6237" spans="1:4" x14ac:dyDescent="0.25">
      <c r="A6237" t="str">
        <f>T("   290545")</f>
        <v xml:space="preserve">   290545</v>
      </c>
      <c r="B6237" t="str">
        <f>T("   GLYCEROL")</f>
        <v xml:space="preserve">   GLYCEROL</v>
      </c>
      <c r="C6237" s="4">
        <v>2550</v>
      </c>
      <c r="D6237" s="4">
        <v>950000</v>
      </c>
    </row>
    <row r="6238" spans="1:4" x14ac:dyDescent="0.25">
      <c r="A6238" t="str">
        <f>T("   300420")</f>
        <v xml:space="preserve">   300420</v>
      </c>
      <c r="B6238" t="str">
        <f>T("   CONTENANT D'AUTRES ANTIBIOTIQUES")</f>
        <v xml:space="preserve">   CONTENANT D'AUTRES ANTIBIOTIQUES</v>
      </c>
      <c r="C6238" s="4">
        <v>29249.54</v>
      </c>
      <c r="D6238" s="4">
        <v>26304055</v>
      </c>
    </row>
    <row r="6239" spans="1:4" x14ac:dyDescent="0.25">
      <c r="A6239" t="str">
        <f>T("   300450")</f>
        <v xml:space="preserve">   300450</v>
      </c>
      <c r="B6239" t="str">
        <f>T("   AUTRES MEDICAMENTS CONTENANT DES VITAMINES OU D'AUTRES PRODUITS DU N° 29.36")</f>
        <v xml:space="preserve">   AUTRES MEDICAMENTS CONTENANT DES VITAMINES OU D'AUTRES PRODUITS DU N° 29.36</v>
      </c>
      <c r="C6239" s="4">
        <v>13865</v>
      </c>
      <c r="D6239" s="4">
        <v>10589988</v>
      </c>
    </row>
    <row r="6240" spans="1:4" x14ac:dyDescent="0.25">
      <c r="A6240" t="str">
        <f>T("   300490")</f>
        <v xml:space="preserve">   300490</v>
      </c>
      <c r="B6240" t="str">
        <f>T("   AUTRES")</f>
        <v xml:space="preserve">   AUTRES</v>
      </c>
      <c r="C6240" s="4">
        <v>54180</v>
      </c>
      <c r="D6240" s="4">
        <v>68888707</v>
      </c>
    </row>
    <row r="6241" spans="1:4" x14ac:dyDescent="0.25">
      <c r="A6241" t="str">
        <f>T("   300590")</f>
        <v xml:space="preserve">   300590</v>
      </c>
      <c r="B6241" t="str">
        <f>T("   AUTRES")</f>
        <v xml:space="preserve">   AUTRES</v>
      </c>
      <c r="C6241" s="4">
        <v>14270</v>
      </c>
      <c r="D6241" s="4">
        <v>6070000</v>
      </c>
    </row>
    <row r="6242" spans="1:4" x14ac:dyDescent="0.25">
      <c r="A6242" t="str">
        <f>T("   320300")</f>
        <v xml:space="preserve">   320300</v>
      </c>
      <c r="B6242" t="str">
        <f>T("   MATIERES COLORANTES D'ORIGINE VEGETALE OU ANIMALE (Y COMPRIS LES EXTRAITS TINCTORIAUX M")</f>
        <v xml:space="preserve">   MATIERES COLORANTES D'ORIGINE VEGETALE OU ANIMALE (Y COMPRIS LES EXTRAITS TINCTORIAUX M</v>
      </c>
      <c r="C6242" s="4">
        <v>1020</v>
      </c>
      <c r="D6242" s="4">
        <v>550000</v>
      </c>
    </row>
    <row r="6243" spans="1:4" x14ac:dyDescent="0.25">
      <c r="A6243" t="str">
        <f>T("   320411")</f>
        <v xml:space="preserve">   320411</v>
      </c>
      <c r="B6243" t="str">
        <f>T("   Colorants disperses et preparations a base de ces colorants")</f>
        <v xml:space="preserve">   Colorants disperses et preparations a base de ces colorants</v>
      </c>
      <c r="C6243" s="4">
        <v>343</v>
      </c>
      <c r="D6243" s="4">
        <v>5513203</v>
      </c>
    </row>
    <row r="6244" spans="1:4" x14ac:dyDescent="0.25">
      <c r="A6244" t="str">
        <f>T("   320820")</f>
        <v xml:space="preserve">   320820</v>
      </c>
      <c r="B6244" t="str">
        <f>T("   A BASE DE POLYMERES ACRYLIQUES OU VINYLIQUES")</f>
        <v xml:space="preserve">   A BASE DE POLYMERES ACRYLIQUES OU VINYLIQUES</v>
      </c>
      <c r="C6244" s="4">
        <v>1347375</v>
      </c>
      <c r="D6244" s="4">
        <v>278909498</v>
      </c>
    </row>
    <row r="6245" spans="1:4" x14ac:dyDescent="0.25">
      <c r="A6245" t="str">
        <f>T("   320910")</f>
        <v xml:space="preserve">   320910</v>
      </c>
      <c r="B6245" t="str">
        <f>T("   A BASE DE POLYMERES ACRYLIQUES OU VINYLIQUES")</f>
        <v xml:space="preserve">   A BASE DE POLYMERES ACRYLIQUES OU VINYLIQUES</v>
      </c>
      <c r="C6245" s="4">
        <v>275200</v>
      </c>
      <c r="D6245" s="4">
        <v>45663456</v>
      </c>
    </row>
    <row r="6246" spans="1:4" x14ac:dyDescent="0.25">
      <c r="A6246" t="str">
        <f>T("   330499")</f>
        <v xml:space="preserve">   330499</v>
      </c>
      <c r="B6246" t="str">
        <f>T("   AUTRES")</f>
        <v xml:space="preserve">   AUTRES</v>
      </c>
      <c r="C6246" s="4">
        <v>1272518</v>
      </c>
      <c r="D6246" s="4">
        <v>465769974</v>
      </c>
    </row>
    <row r="6247" spans="1:4" x14ac:dyDescent="0.25">
      <c r="A6247" t="str">
        <f>T("   330610")</f>
        <v xml:space="preserve">   330610</v>
      </c>
      <c r="B6247" t="str">
        <f>T("   Dentifrices")</f>
        <v xml:space="preserve">   Dentifrices</v>
      </c>
      <c r="C6247" s="4">
        <v>533076</v>
      </c>
      <c r="D6247" s="4">
        <v>142755959</v>
      </c>
    </row>
    <row r="6248" spans="1:4" x14ac:dyDescent="0.25">
      <c r="A6248" t="str">
        <f>T("   330720")</f>
        <v xml:space="preserve">   330720</v>
      </c>
      <c r="B6248" t="str">
        <f>T("   Desodorisants corporels et antisudoraux")</f>
        <v xml:space="preserve">   Desodorisants corporels et antisudoraux</v>
      </c>
      <c r="C6248" s="4">
        <v>725</v>
      </c>
      <c r="D6248" s="4">
        <v>603937</v>
      </c>
    </row>
    <row r="6249" spans="1:4" x14ac:dyDescent="0.25">
      <c r="A6249" t="str">
        <f>T("   340111")</f>
        <v xml:space="preserve">   340111</v>
      </c>
      <c r="B6249" t="str">
        <f>T("   DE TOILETTE (Y COMPRIS CEUX A USAGES MEDICAUX)")</f>
        <v xml:space="preserve">   DE TOILETTE (Y COMPRIS CEUX A USAGES MEDICAUX)</v>
      </c>
      <c r="C6249" s="4">
        <v>619212</v>
      </c>
      <c r="D6249" s="4">
        <v>99293000</v>
      </c>
    </row>
    <row r="6250" spans="1:4" x14ac:dyDescent="0.25">
      <c r="A6250" t="str">
        <f>T("   340119")</f>
        <v xml:space="preserve">   340119</v>
      </c>
      <c r="B6250" t="str">
        <f>T("   AUTRES")</f>
        <v xml:space="preserve">   AUTRES</v>
      </c>
      <c r="C6250" s="4">
        <v>458703</v>
      </c>
      <c r="D6250" s="4">
        <v>154581196</v>
      </c>
    </row>
    <row r="6251" spans="1:4" x14ac:dyDescent="0.25">
      <c r="A6251" t="str">
        <f>T("   340120")</f>
        <v xml:space="preserve">   340120</v>
      </c>
      <c r="B6251" t="str">
        <f>T("   SAVONS SOUS AUTRES FORMES")</f>
        <v xml:space="preserve">   SAVONS SOUS AUTRES FORMES</v>
      </c>
      <c r="C6251" s="4">
        <v>80000</v>
      </c>
      <c r="D6251" s="4">
        <v>15577604</v>
      </c>
    </row>
    <row r="6252" spans="1:4" x14ac:dyDescent="0.25">
      <c r="A6252" t="str">
        <f>T("   340290")</f>
        <v xml:space="preserve">   340290</v>
      </c>
      <c r="B6252" t="str">
        <f>T("   AUTRES")</f>
        <v xml:space="preserve">   AUTRES</v>
      </c>
      <c r="C6252" s="4">
        <v>320900</v>
      </c>
      <c r="D6252" s="4">
        <v>99656913</v>
      </c>
    </row>
    <row r="6253" spans="1:4" x14ac:dyDescent="0.25">
      <c r="A6253" t="str">
        <f>T("   360300")</f>
        <v xml:space="preserve">   360300</v>
      </c>
      <c r="B6253" t="str">
        <f>T("   MECHES DE SURETE; CORDEAUX DETONANTS; AMORCES ET CAPSULES FULMINANTES; ALLUMEURS; DETON")</f>
        <v xml:space="preserve">   MECHES DE SURETE; CORDEAUX DETONANTS; AMORCES ET CAPSULES FULMINANTES; ALLUMEURS; DETON</v>
      </c>
      <c r="C6253" s="4">
        <v>4620</v>
      </c>
      <c r="D6253" s="4">
        <v>33174746</v>
      </c>
    </row>
    <row r="6254" spans="1:4" x14ac:dyDescent="0.25">
      <c r="A6254" t="str">
        <f>T("   380850")</f>
        <v xml:space="preserve">   380850</v>
      </c>
      <c r="B6254" t="str">
        <f>T("   MARCHANDISES MENTIONNEES DANS LA NOTE 1 DE SOUSPOSITIONS DU PRESENT CHAPITRE")</f>
        <v xml:space="preserve">   MARCHANDISES MENTIONNEES DANS LA NOTE 1 DE SOUSPOSITIONS DU PRESENT CHAPITRE</v>
      </c>
      <c r="C6254" s="4">
        <v>6500</v>
      </c>
      <c r="D6254" s="4">
        <v>2000000</v>
      </c>
    </row>
    <row r="6255" spans="1:4" x14ac:dyDescent="0.25">
      <c r="A6255" t="str">
        <f>T("   380891")</f>
        <v xml:space="preserve">   380891</v>
      </c>
      <c r="B6255" t="str">
        <f>T("   INSECTICIDES")</f>
        <v xml:space="preserve">   INSECTICIDES</v>
      </c>
      <c r="C6255" s="4">
        <v>10000</v>
      </c>
      <c r="D6255" s="4">
        <v>2131000</v>
      </c>
    </row>
    <row r="6256" spans="1:4" x14ac:dyDescent="0.25">
      <c r="A6256" t="str">
        <f>T("   381400")</f>
        <v xml:space="preserve">   381400</v>
      </c>
      <c r="B6256" t="str">
        <f>T("   SOLVANTS ET DILUANTS ORGANIQUES COMPOSITES, NON DENOMMES NI COMPRIS AILLEURS; PREPARATI")</f>
        <v xml:space="preserve">   SOLVANTS ET DILUANTS ORGANIQUES COMPOSITES, NON DENOMMES NI COMPRIS AILLEURS; PREPARATI</v>
      </c>
      <c r="C6256" s="4">
        <v>109980</v>
      </c>
      <c r="D6256" s="4">
        <v>23587780</v>
      </c>
    </row>
    <row r="6257" spans="1:4" x14ac:dyDescent="0.25">
      <c r="A6257" t="str">
        <f>T("   391721")</f>
        <v xml:space="preserve">   391721</v>
      </c>
      <c r="B6257" t="str">
        <f>T("   EN POLYMERES DE L'ETHYLENE")</f>
        <v xml:space="preserve">   EN POLYMERES DE L'ETHYLENE</v>
      </c>
      <c r="C6257" s="4">
        <v>711</v>
      </c>
      <c r="D6257" s="4">
        <v>474327</v>
      </c>
    </row>
    <row r="6258" spans="1:4" x14ac:dyDescent="0.25">
      <c r="A6258" t="str">
        <f>T("   391723")</f>
        <v xml:space="preserve">   391723</v>
      </c>
      <c r="B6258" t="str">
        <f>T("   EN POLYMERES DU CHLORURE DE VINYLE")</f>
        <v xml:space="preserve">   EN POLYMERES DU CHLORURE DE VINYLE</v>
      </c>
      <c r="C6258" s="4">
        <v>370401</v>
      </c>
      <c r="D6258" s="4">
        <v>175774033</v>
      </c>
    </row>
    <row r="6259" spans="1:4" x14ac:dyDescent="0.25">
      <c r="A6259" t="str">
        <f>T("   391731")</f>
        <v xml:space="preserve">   391731</v>
      </c>
      <c r="B6259" t="str">
        <f>T("   TUBES ET TUYAUX SOUPLES POUVANT SUPPORTER AU MINIMUM UNE PRESSION DE 27,6 MPA")</f>
        <v xml:space="preserve">   TUBES ET TUYAUX SOUPLES POUVANT SUPPORTER AU MINIMUM UNE PRESSION DE 27,6 MPA</v>
      </c>
      <c r="C6259" s="4">
        <v>1242</v>
      </c>
      <c r="D6259" s="4">
        <v>551261</v>
      </c>
    </row>
    <row r="6260" spans="1:4" x14ac:dyDescent="0.25">
      <c r="A6260" t="str">
        <f>T("   391732")</f>
        <v xml:space="preserve">   391732</v>
      </c>
      <c r="B6260" t="str">
        <f>T("   AUTRES, NON RENFORCES D'AUTRES MATIERES NI AUTREMENT ASSOCIES A D'AUTRES MATIERES, S")</f>
        <v xml:space="preserve">   AUTRES, NON RENFORCES D'AUTRES MATIERES NI AUTREMENT ASSOCIES A D'AUTRES MATIERES, S</v>
      </c>
      <c r="C6260" s="4">
        <v>600</v>
      </c>
      <c r="D6260" s="4">
        <v>286141</v>
      </c>
    </row>
    <row r="6261" spans="1:4" x14ac:dyDescent="0.25">
      <c r="A6261" t="str">
        <f>T("   391740")</f>
        <v xml:space="preserve">   391740</v>
      </c>
      <c r="B6261" t="str">
        <f>T("   ACCESSOIRES")</f>
        <v xml:space="preserve">   ACCESSOIRES</v>
      </c>
      <c r="C6261" s="4">
        <v>15014</v>
      </c>
      <c r="D6261" s="4">
        <v>11697372</v>
      </c>
    </row>
    <row r="6262" spans="1:4" x14ac:dyDescent="0.25">
      <c r="A6262" t="str">
        <f>T("   392111")</f>
        <v xml:space="preserve">   392111</v>
      </c>
      <c r="B6262" t="str">
        <f>T("   EN POLYMERES DU STYRENE")</f>
        <v xml:space="preserve">   EN POLYMERES DU STYRENE</v>
      </c>
      <c r="C6262" s="4">
        <v>5900</v>
      </c>
      <c r="D6262" s="4">
        <v>6300000</v>
      </c>
    </row>
    <row r="6263" spans="1:4" x14ac:dyDescent="0.25">
      <c r="A6263" t="str">
        <f>T("   392310")</f>
        <v xml:space="preserve">   392310</v>
      </c>
      <c r="B6263" t="str">
        <f>T("   BOITES, CAISSES, CASIERS ET ARTICLES SIMILAIRES")</f>
        <v xml:space="preserve">   BOITES, CAISSES, CASIERS ET ARTICLES SIMILAIRES</v>
      </c>
      <c r="C6263" s="4">
        <v>89997</v>
      </c>
      <c r="D6263" s="4">
        <v>63740043</v>
      </c>
    </row>
    <row r="6264" spans="1:4" x14ac:dyDescent="0.25">
      <c r="A6264" t="str">
        <f>T("   392329")</f>
        <v xml:space="preserve">   392329</v>
      </c>
      <c r="B6264" t="str">
        <f>T("   EN AUTRES MATIERES PLASTIQUES")</f>
        <v xml:space="preserve">   EN AUTRES MATIERES PLASTIQUES</v>
      </c>
      <c r="C6264" s="4">
        <v>20264</v>
      </c>
      <c r="D6264" s="4">
        <v>24233161</v>
      </c>
    </row>
    <row r="6265" spans="1:4" x14ac:dyDescent="0.25">
      <c r="A6265" t="str">
        <f>T("   392330")</f>
        <v xml:space="preserve">   392330</v>
      </c>
      <c r="B6265" t="str">
        <f>T("   BONBONNES, BOUTEILLES, FLACONS ET ARTICLES SIMILAIRES")</f>
        <v xml:space="preserve">   BONBONNES, BOUTEILLES, FLACONS ET ARTICLES SIMILAIRES</v>
      </c>
      <c r="C6265" s="4">
        <v>31167</v>
      </c>
      <c r="D6265" s="4">
        <v>41749298</v>
      </c>
    </row>
    <row r="6266" spans="1:4" x14ac:dyDescent="0.25">
      <c r="A6266" t="str">
        <f>T("   392350")</f>
        <v xml:space="preserve">   392350</v>
      </c>
      <c r="B6266" t="str">
        <f>T("   BOUCHONS, COUVERCLES, CAPSULES ET AUTRES DISPOSITIFS DE FERMETURE")</f>
        <v xml:space="preserve">   BOUCHONS, COUVERCLES, CAPSULES ET AUTRES DISPOSITIFS DE FERMETURE</v>
      </c>
      <c r="C6266" s="4">
        <v>5261</v>
      </c>
      <c r="D6266" s="4">
        <v>7626339</v>
      </c>
    </row>
    <row r="6267" spans="1:4" x14ac:dyDescent="0.25">
      <c r="A6267" t="str">
        <f>T("   392390")</f>
        <v xml:space="preserve">   392390</v>
      </c>
      <c r="B6267" t="str">
        <f>T("   AUTRES")</f>
        <v xml:space="preserve">   AUTRES</v>
      </c>
      <c r="C6267" s="4">
        <v>874</v>
      </c>
      <c r="D6267" s="4">
        <v>1943572</v>
      </c>
    </row>
    <row r="6268" spans="1:4" x14ac:dyDescent="0.25">
      <c r="A6268" t="str">
        <f>T("   392410")</f>
        <v xml:space="preserve">   392410</v>
      </c>
      <c r="B6268" t="str">
        <f>T("   VAISSELLE ET AUTRES ARTICLES POUR LE SERVICE DE LA TABLE OU DE LA CUISINE")</f>
        <v xml:space="preserve">   VAISSELLE ET AUTRES ARTICLES POUR LE SERVICE DE LA TABLE OU DE LA CUISINE</v>
      </c>
      <c r="C6268" s="4">
        <v>17631</v>
      </c>
      <c r="D6268" s="4">
        <v>22724387</v>
      </c>
    </row>
    <row r="6269" spans="1:4" x14ac:dyDescent="0.25">
      <c r="A6269" t="str">
        <f>T("   392490")</f>
        <v xml:space="preserve">   392490</v>
      </c>
      <c r="B6269" t="str">
        <f>T("   AUTRES")</f>
        <v xml:space="preserve">   AUTRES</v>
      </c>
      <c r="C6269" s="4">
        <v>451192.84</v>
      </c>
      <c r="D6269" s="4">
        <v>223901323</v>
      </c>
    </row>
    <row r="6270" spans="1:4" x14ac:dyDescent="0.25">
      <c r="A6270" t="str">
        <f>T("   392510")</f>
        <v xml:space="preserve">   392510</v>
      </c>
      <c r="B6270" t="str">
        <f>T("   RESERVOIRS, FOUDRES, CUVES ET RECIPIENTS ANALOGUES, D'UNE CONTENANCE EXCEDANT 300 L")</f>
        <v xml:space="preserve">   RESERVOIRS, FOUDRES, CUVES ET RECIPIENTS ANALOGUES, D'UNE CONTENANCE EXCEDANT 300 L</v>
      </c>
      <c r="C6270" s="4">
        <v>6686</v>
      </c>
      <c r="D6270" s="4">
        <v>4260000</v>
      </c>
    </row>
    <row r="6271" spans="1:4" x14ac:dyDescent="0.25">
      <c r="A6271" t="str">
        <f>T("   392520")</f>
        <v xml:space="preserve">   392520</v>
      </c>
      <c r="B6271" t="str">
        <f>T("   PORTES, FENETRES ET LEURS CADRES, CHAMBRANLES ET SEUILS")</f>
        <v xml:space="preserve">   PORTES, FENETRES ET LEURS CADRES, CHAMBRANLES ET SEUILS</v>
      </c>
      <c r="C6271" s="4">
        <v>158</v>
      </c>
      <c r="D6271" s="4">
        <v>1666500</v>
      </c>
    </row>
    <row r="6272" spans="1:4" x14ac:dyDescent="0.25">
      <c r="A6272" t="str">
        <f>T("   392590")</f>
        <v xml:space="preserve">   392590</v>
      </c>
      <c r="B6272" t="str">
        <f>T("   AUTRES")</f>
        <v xml:space="preserve">   AUTRES</v>
      </c>
      <c r="C6272" s="4">
        <v>30356</v>
      </c>
      <c r="D6272" s="4">
        <v>30167070</v>
      </c>
    </row>
    <row r="6273" spans="1:4" x14ac:dyDescent="0.25">
      <c r="A6273" t="str">
        <f>T("   400912")</f>
        <v xml:space="preserve">   400912</v>
      </c>
      <c r="B6273" t="str">
        <f>T("   AVEC ACCESSOIRES")</f>
        <v xml:space="preserve">   AVEC ACCESSOIRES</v>
      </c>
      <c r="C6273" s="4">
        <v>115</v>
      </c>
      <c r="D6273" s="4">
        <v>1281597</v>
      </c>
    </row>
    <row r="6274" spans="1:4" x14ac:dyDescent="0.25">
      <c r="A6274" t="str">
        <f>T("   400922")</f>
        <v xml:space="preserve">   400922</v>
      </c>
      <c r="B6274" t="str">
        <f>T("   AVEC ACCESSOIRES")</f>
        <v xml:space="preserve">   AVEC ACCESSOIRES</v>
      </c>
      <c r="C6274" s="4">
        <v>267</v>
      </c>
      <c r="D6274" s="4">
        <v>1159600</v>
      </c>
    </row>
    <row r="6275" spans="1:4" x14ac:dyDescent="0.25">
      <c r="A6275" t="str">
        <f>T("   420219")</f>
        <v xml:space="preserve">   420219</v>
      </c>
      <c r="B6275" t="str">
        <f>T("   AUTRES")</f>
        <v xml:space="preserve">   AUTRES</v>
      </c>
      <c r="C6275" s="4">
        <v>3500</v>
      </c>
      <c r="D6275" s="4">
        <v>2275000</v>
      </c>
    </row>
    <row r="6276" spans="1:4" x14ac:dyDescent="0.25">
      <c r="A6276" t="str">
        <f>T("   420229")</f>
        <v xml:space="preserve">   420229</v>
      </c>
      <c r="B6276" t="str">
        <f>T("   AUTRES")</f>
        <v xml:space="preserve">   AUTRES</v>
      </c>
      <c r="C6276" s="4">
        <v>2100</v>
      </c>
      <c r="D6276" s="4">
        <v>550000</v>
      </c>
    </row>
    <row r="6277" spans="1:4" x14ac:dyDescent="0.25">
      <c r="A6277" t="str">
        <f>T("   420292")</f>
        <v xml:space="preserve">   420292</v>
      </c>
      <c r="B6277" t="str">
        <f>T("   A SURFACE EXTERIEURE EN FEUILLES DE MATIERES PLASTIQUES OU EN MATIERES TEXTILES")</f>
        <v xml:space="preserve">   A SURFACE EXTERIEURE EN FEUILLES DE MATIERES PLASTIQUES OU EN MATIERES TEXTILES</v>
      </c>
      <c r="C6277" s="4">
        <v>50</v>
      </c>
      <c r="D6277" s="4">
        <v>615851</v>
      </c>
    </row>
    <row r="6278" spans="1:4" x14ac:dyDescent="0.25">
      <c r="A6278" t="str">
        <f>T("   441231")</f>
        <v xml:space="preserve">   441231</v>
      </c>
      <c r="B6278" t="str">
        <f>T("   AYANT AU MOINS UN PLI EXTERIEUR EN BOIS TROPICAUX VISES A LA NOTE 2 DE SOUSPOSITION")</f>
        <v xml:space="preserve">   AYANT AU MOINS UN PLI EXTERIEUR EN BOIS TROPICAUX VISES A LA NOTE 2 DE SOUSPOSITION</v>
      </c>
      <c r="C6278" s="4">
        <v>590339</v>
      </c>
      <c r="D6278" s="4">
        <v>183119563</v>
      </c>
    </row>
    <row r="6279" spans="1:4" x14ac:dyDescent="0.25">
      <c r="A6279" t="str">
        <f>T("   441232")</f>
        <v xml:space="preserve">   441232</v>
      </c>
      <c r="B6279" t="str">
        <f>T("   AUTRES, AYANT AU MOINS UN PLI EXTERIEUR EN BOIS AUTRES QUE DE CONIFERES")</f>
        <v xml:space="preserve">   AUTRES, AYANT AU MOINS UN PLI EXTERIEUR EN BOIS AUTRES QUE DE CONIFERES</v>
      </c>
      <c r="C6279" s="4">
        <v>475036</v>
      </c>
      <c r="D6279" s="4">
        <v>127148655</v>
      </c>
    </row>
    <row r="6280" spans="1:4" x14ac:dyDescent="0.25">
      <c r="A6280" t="str">
        <f>T("   441239")</f>
        <v xml:space="preserve">   441239</v>
      </c>
      <c r="B6280" t="str">
        <f>T("   AUTRES")</f>
        <v xml:space="preserve">   AUTRES</v>
      </c>
      <c r="C6280" s="4">
        <v>107690</v>
      </c>
      <c r="D6280" s="4">
        <v>28500000</v>
      </c>
    </row>
    <row r="6281" spans="1:4" x14ac:dyDescent="0.25">
      <c r="A6281" t="str">
        <f>T("   441299")</f>
        <v xml:space="preserve">   441299</v>
      </c>
      <c r="B6281" t="str">
        <f>T("   AUTRES")</f>
        <v xml:space="preserve">   AUTRES</v>
      </c>
      <c r="C6281" s="4">
        <v>52301</v>
      </c>
      <c r="D6281" s="4">
        <v>7218690</v>
      </c>
    </row>
    <row r="6282" spans="1:4" x14ac:dyDescent="0.25">
      <c r="A6282" t="str">
        <f>T("   470790")</f>
        <v xml:space="preserve">   470790</v>
      </c>
      <c r="B6282" t="str">
        <f>T("   AUTRES, Y COMPRIS LES DECHETS ET REBUTS NON TRIES")</f>
        <v xml:space="preserve">   AUTRES, Y COMPRIS LES DECHETS ET REBUTS NON TRIES</v>
      </c>
      <c r="C6282" s="4">
        <v>27790</v>
      </c>
      <c r="D6282" s="4">
        <v>1594000</v>
      </c>
    </row>
    <row r="6283" spans="1:4" x14ac:dyDescent="0.25">
      <c r="A6283" t="str">
        <f>T("   480300")</f>
        <v xml:space="preserve">   480300</v>
      </c>
      <c r="B6283" t="str">
        <f>T("   PAPIERS DES TYPES UTILISES POUR PAPIERS DE TOILETTE, POUR SERVIETTES A DEMAQUILLER, POU")</f>
        <v xml:space="preserve">   PAPIERS DES TYPES UTILISES POUR PAPIERS DE TOILETTE, POUR SERVIETTES A DEMAQUILLER, POU</v>
      </c>
      <c r="C6283" s="4">
        <v>19597</v>
      </c>
      <c r="D6283" s="4">
        <v>5745602</v>
      </c>
    </row>
    <row r="6284" spans="1:4" x14ac:dyDescent="0.25">
      <c r="A6284" t="str">
        <f>T("   480439")</f>
        <v xml:space="preserve">   480439</v>
      </c>
      <c r="B6284" t="str">
        <f>T("   AUTRES")</f>
        <v xml:space="preserve">   AUTRES</v>
      </c>
      <c r="C6284" s="4">
        <v>979</v>
      </c>
      <c r="D6284" s="4">
        <v>1325329</v>
      </c>
    </row>
    <row r="6285" spans="1:4" x14ac:dyDescent="0.25">
      <c r="A6285" t="str">
        <f>T("   480449")</f>
        <v xml:space="preserve">   480449</v>
      </c>
      <c r="B6285" t="str">
        <f>T("   AUTRES")</f>
        <v xml:space="preserve">   AUTRES</v>
      </c>
      <c r="C6285" s="4">
        <v>27840</v>
      </c>
      <c r="D6285" s="4">
        <v>27523194</v>
      </c>
    </row>
    <row r="6286" spans="1:4" x14ac:dyDescent="0.25">
      <c r="A6286" t="str">
        <f>T("   480810")</f>
        <v xml:space="preserve">   480810</v>
      </c>
      <c r="B6286" t="str">
        <f>T("    PAPIERS ET CARTONS ONDULES, MEME PERFORES")</f>
        <v xml:space="preserve">    PAPIERS ET CARTONS ONDULES, MEME PERFORES</v>
      </c>
      <c r="C6286" s="4">
        <v>10837</v>
      </c>
      <c r="D6286" s="4">
        <v>9753585</v>
      </c>
    </row>
    <row r="6287" spans="1:4" x14ac:dyDescent="0.25">
      <c r="A6287" t="str">
        <f>T("   481810")</f>
        <v xml:space="preserve">   481810</v>
      </c>
      <c r="B6287" t="str">
        <f>T("   Papier hygienique")</f>
        <v xml:space="preserve">   Papier hygienique</v>
      </c>
      <c r="C6287" s="4">
        <v>3200</v>
      </c>
      <c r="D6287" s="4">
        <v>750000</v>
      </c>
    </row>
    <row r="6288" spans="1:4" x14ac:dyDescent="0.25">
      <c r="A6288" t="str">
        <f>T("   481840")</f>
        <v xml:space="preserve">   481840</v>
      </c>
      <c r="B6288" t="str">
        <f>T("   SERVIETTES,TAMPONS HYGIENIQUES,COUCHES POUR BEBES ET SIMILAIRES EN PAPIER")</f>
        <v xml:space="preserve">   SERVIETTES,TAMPONS HYGIENIQUES,COUCHES POUR BEBES ET SIMILAIRES EN PAPIER</v>
      </c>
      <c r="C6288" s="4">
        <v>61400</v>
      </c>
      <c r="D6288" s="4">
        <v>20943105</v>
      </c>
    </row>
    <row r="6289" spans="1:4" x14ac:dyDescent="0.25">
      <c r="A6289" t="str">
        <f>T("   481910")</f>
        <v xml:space="preserve">   481910</v>
      </c>
      <c r="B6289" t="str">
        <f>T("   BOITES ET CAISSES EN PAPIER OU CARTON ONDULE")</f>
        <v xml:space="preserve">   BOITES ET CAISSES EN PAPIER OU CARTON ONDULE</v>
      </c>
      <c r="C6289" s="4">
        <v>175287.08</v>
      </c>
      <c r="D6289" s="4">
        <v>104504364</v>
      </c>
    </row>
    <row r="6290" spans="1:4" x14ac:dyDescent="0.25">
      <c r="A6290" t="str">
        <f>T("   481920")</f>
        <v xml:space="preserve">   481920</v>
      </c>
      <c r="B6290" t="str">
        <f>T("   BOITES ET CARTONNAGES, PLIANTS, EN PAPIER OU CARTON NON ONDULE")</f>
        <v xml:space="preserve">   BOITES ET CARTONNAGES, PLIANTS, EN PAPIER OU CARTON NON ONDULE</v>
      </c>
      <c r="C6290" s="4">
        <v>34993</v>
      </c>
      <c r="D6290" s="4">
        <v>6220000</v>
      </c>
    </row>
    <row r="6291" spans="1:4" x14ac:dyDescent="0.25">
      <c r="A6291" t="str">
        <f>T("   481960")</f>
        <v xml:space="preserve">   481960</v>
      </c>
      <c r="B6291" t="str">
        <f>T("   CARTONNAGES DE BUREAU, DE MAGASIN OU SIMILAIRES")</f>
        <v xml:space="preserve">   CARTONNAGES DE BUREAU, DE MAGASIN OU SIMILAIRES</v>
      </c>
      <c r="C6291" s="4">
        <v>12600</v>
      </c>
      <c r="D6291" s="4">
        <v>8517300</v>
      </c>
    </row>
    <row r="6292" spans="1:4" x14ac:dyDescent="0.25">
      <c r="A6292" t="str">
        <f>T("   490199")</f>
        <v xml:space="preserve">   490199</v>
      </c>
      <c r="B6292" t="str">
        <f>T("   AUTRES")</f>
        <v xml:space="preserve">   AUTRES</v>
      </c>
      <c r="C6292" s="4">
        <v>691</v>
      </c>
      <c r="D6292" s="4">
        <v>1574764</v>
      </c>
    </row>
    <row r="6293" spans="1:4" x14ac:dyDescent="0.25">
      <c r="A6293" t="str">
        <f>T("   491110")</f>
        <v xml:space="preserve">   491110</v>
      </c>
      <c r="B6293" t="str">
        <f>T("   IMPRIMES PUBLICITAIRES, CATALOGUES COMMERCIAUX ET SIMILAIRES")</f>
        <v xml:space="preserve">   IMPRIMES PUBLICITAIRES, CATALOGUES COMMERCIAUX ET SIMILAIRES</v>
      </c>
      <c r="C6293" s="4">
        <v>564</v>
      </c>
      <c r="D6293" s="4">
        <v>369513</v>
      </c>
    </row>
    <row r="6294" spans="1:4" x14ac:dyDescent="0.25">
      <c r="A6294" t="str">
        <f>T("   491191")</f>
        <v xml:space="preserve">   491191</v>
      </c>
      <c r="B6294" t="str">
        <f>T("   IMAGES, GRAVURES ET PHOTOGRAPHIES")</f>
        <v xml:space="preserve">   IMAGES, GRAVURES ET PHOTOGRAPHIES</v>
      </c>
      <c r="C6294" s="4">
        <v>1</v>
      </c>
      <c r="D6294" s="4">
        <v>88562</v>
      </c>
    </row>
    <row r="6295" spans="1:4" x14ac:dyDescent="0.25">
      <c r="A6295" t="str">
        <f>T("   520420")</f>
        <v xml:space="preserve">   520420</v>
      </c>
      <c r="B6295" t="str">
        <f>T("   CONDITIONNES POUR LA VENTE AU DETAIL")</f>
        <v xml:space="preserve">   CONDITIONNES POUR LA VENTE AU DETAIL</v>
      </c>
      <c r="C6295" s="4">
        <v>4000</v>
      </c>
      <c r="D6295" s="4">
        <v>1000000</v>
      </c>
    </row>
    <row r="6296" spans="1:4" x14ac:dyDescent="0.25">
      <c r="A6296" t="str">
        <f>T("   520829")</f>
        <v xml:space="preserve">   520829</v>
      </c>
      <c r="B6296" t="str">
        <f>T("   AUTRES TISSUS")</f>
        <v xml:space="preserve">   AUTRES TISSUS</v>
      </c>
      <c r="C6296" s="4">
        <v>4860</v>
      </c>
      <c r="D6296" s="4">
        <v>3058438</v>
      </c>
    </row>
    <row r="6297" spans="1:4" x14ac:dyDescent="0.25">
      <c r="A6297" t="str">
        <f>T("   520852")</f>
        <v xml:space="preserve">   520852</v>
      </c>
      <c r="B6297" t="str">
        <f>T("   A ARMURE TOILE, D'UN POIDS EXCEDANT 100 G/M²")</f>
        <v xml:space="preserve">   A ARMURE TOILE, D'UN POIDS EXCEDANT 100 G/M²</v>
      </c>
      <c r="C6297" s="4">
        <v>144387</v>
      </c>
      <c r="D6297" s="4">
        <v>1197846156</v>
      </c>
    </row>
    <row r="6298" spans="1:4" x14ac:dyDescent="0.25">
      <c r="A6298" t="str">
        <f>T("   520859")</f>
        <v xml:space="preserve">   520859</v>
      </c>
      <c r="B6298" t="str">
        <f>T("   AUTRES TISSUS")</f>
        <v xml:space="preserve">   AUTRES TISSUS</v>
      </c>
      <c r="C6298" s="4">
        <v>400</v>
      </c>
      <c r="D6298" s="4">
        <v>1079410</v>
      </c>
    </row>
    <row r="6299" spans="1:4" x14ac:dyDescent="0.25">
      <c r="A6299" t="str">
        <f>T("   520951")</f>
        <v xml:space="preserve">   520951</v>
      </c>
      <c r="B6299" t="str">
        <f>T("   A ARMURE TOILE")</f>
        <v xml:space="preserve">   A ARMURE TOILE</v>
      </c>
      <c r="C6299" s="4">
        <v>4513</v>
      </c>
      <c r="D6299" s="4">
        <v>21972880</v>
      </c>
    </row>
    <row r="6300" spans="1:4" x14ac:dyDescent="0.25">
      <c r="A6300" t="str">
        <f>T("   551599")</f>
        <v xml:space="preserve">   551599</v>
      </c>
      <c r="B6300" t="str">
        <f>T("   AUTRES")</f>
        <v xml:space="preserve">   AUTRES</v>
      </c>
      <c r="C6300" s="4">
        <v>1800</v>
      </c>
      <c r="D6300" s="4">
        <v>715346</v>
      </c>
    </row>
    <row r="6301" spans="1:4" x14ac:dyDescent="0.25">
      <c r="A6301" t="str">
        <f>T("   560811")</f>
        <v xml:space="preserve">   560811</v>
      </c>
      <c r="B6301" t="str">
        <f>T("   FILETS CONFECTIONNES POUR LA PECHE")</f>
        <v xml:space="preserve">   FILETS CONFECTIONNES POUR LA PECHE</v>
      </c>
      <c r="C6301" s="4">
        <v>9300</v>
      </c>
      <c r="D6301" s="4">
        <v>3402811</v>
      </c>
    </row>
    <row r="6302" spans="1:4" x14ac:dyDescent="0.25">
      <c r="A6302" t="str">
        <f>T("   560819")</f>
        <v xml:space="preserve">   560819</v>
      </c>
      <c r="B6302" t="str">
        <f>T("   AUTRES")</f>
        <v xml:space="preserve">   AUTRES</v>
      </c>
      <c r="C6302" s="4">
        <v>1000</v>
      </c>
      <c r="D6302" s="4">
        <v>500000</v>
      </c>
    </row>
    <row r="6303" spans="1:4" x14ac:dyDescent="0.25">
      <c r="A6303" t="str">
        <f>T("   560890")</f>
        <v xml:space="preserve">   560890</v>
      </c>
      <c r="B6303" t="str">
        <f>T("   AUTRES")</f>
        <v xml:space="preserve">   AUTRES</v>
      </c>
      <c r="C6303" s="4">
        <v>21040</v>
      </c>
      <c r="D6303" s="4">
        <v>10119212</v>
      </c>
    </row>
    <row r="6304" spans="1:4" x14ac:dyDescent="0.25">
      <c r="A6304" t="str">
        <f>T("   570190")</f>
        <v xml:space="preserve">   570190</v>
      </c>
      <c r="B6304" t="str">
        <f>T("   D'AUTRES MATIERES TEXTILES")</f>
        <v xml:space="preserve">   D'AUTRES MATIERES TEXTILES</v>
      </c>
      <c r="C6304" s="4">
        <v>1280</v>
      </c>
      <c r="D6304" s="4">
        <v>200000</v>
      </c>
    </row>
    <row r="6305" spans="1:4" x14ac:dyDescent="0.25">
      <c r="A6305" t="str">
        <f>T("   581099")</f>
        <v xml:space="preserve">   581099</v>
      </c>
      <c r="B6305" t="str">
        <f>T("   D'AUTRES MATIERES TEXTILES")</f>
        <v xml:space="preserve">   D'AUTRES MATIERES TEXTILES</v>
      </c>
      <c r="C6305" s="4">
        <v>1900</v>
      </c>
      <c r="D6305" s="4">
        <v>400000</v>
      </c>
    </row>
    <row r="6306" spans="1:4" x14ac:dyDescent="0.25">
      <c r="A6306" t="str">
        <f>T("   610990")</f>
        <v xml:space="preserve">   610990</v>
      </c>
      <c r="B6306" t="str">
        <f>T("   D'AUTRES MATIERES TEXTILES")</f>
        <v xml:space="preserve">   D'AUTRES MATIERES TEXTILES</v>
      </c>
      <c r="C6306" s="4">
        <v>9430</v>
      </c>
      <c r="D6306" s="4">
        <v>1750000</v>
      </c>
    </row>
    <row r="6307" spans="1:4" x14ac:dyDescent="0.25">
      <c r="A6307" t="str">
        <f>T("   620322")</f>
        <v xml:space="preserve">   620322</v>
      </c>
      <c r="B6307" t="str">
        <f>T("   DE COTON")</f>
        <v xml:space="preserve">   DE COTON</v>
      </c>
      <c r="C6307" s="4">
        <v>21560</v>
      </c>
      <c r="D6307" s="4">
        <v>3000000</v>
      </c>
    </row>
    <row r="6308" spans="1:4" x14ac:dyDescent="0.25">
      <c r="A6308" t="str">
        <f>T("   621050")</f>
        <v xml:space="preserve">   621050</v>
      </c>
      <c r="B6308" t="str">
        <f>T("   AUTRES VETEMENTS POUR FEMMES OU FILLETTES")</f>
        <v xml:space="preserve">   AUTRES VETEMENTS POUR FEMMES OU FILLETTES</v>
      </c>
      <c r="C6308" s="4">
        <v>2400</v>
      </c>
      <c r="D6308" s="4">
        <v>429956</v>
      </c>
    </row>
    <row r="6309" spans="1:4" x14ac:dyDescent="0.25">
      <c r="A6309" t="str">
        <f>T("   621132")</f>
        <v xml:space="preserve">   621132</v>
      </c>
      <c r="B6309" t="str">
        <f>T("   DE COTON")</f>
        <v xml:space="preserve">   DE COTON</v>
      </c>
      <c r="C6309" s="4">
        <v>1335</v>
      </c>
      <c r="D6309" s="4">
        <v>22453728</v>
      </c>
    </row>
    <row r="6310" spans="1:4" x14ac:dyDescent="0.25">
      <c r="A6310" t="str">
        <f>T("   621142")</f>
        <v xml:space="preserve">   621142</v>
      </c>
      <c r="B6310" t="str">
        <f>T("   DE COTON")</f>
        <v xml:space="preserve">   DE COTON</v>
      </c>
      <c r="C6310" s="4">
        <v>406</v>
      </c>
      <c r="D6310" s="4">
        <v>7114049</v>
      </c>
    </row>
    <row r="6311" spans="1:4" x14ac:dyDescent="0.25">
      <c r="A6311" t="str">
        <f>T("   621490")</f>
        <v xml:space="preserve">   621490</v>
      </c>
      <c r="B6311" t="str">
        <f>T("   D'AUTRES MATIERES TEXTILES")</f>
        <v xml:space="preserve">   D'AUTRES MATIERES TEXTILES</v>
      </c>
      <c r="C6311" s="4">
        <v>5</v>
      </c>
      <c r="D6311" s="4">
        <v>216840</v>
      </c>
    </row>
    <row r="6312" spans="1:4" x14ac:dyDescent="0.25">
      <c r="A6312" t="str">
        <f>T("   630510")</f>
        <v xml:space="preserve">   630510</v>
      </c>
      <c r="B6312" t="str">
        <f>T("   DE JUTE OU D'AUTRES FIBRES TEXTILES LIBERIENNES DU N° 53.03")</f>
        <v xml:space="preserve">   DE JUTE OU D'AUTRES FIBRES TEXTILES LIBERIENNES DU N° 53.03</v>
      </c>
      <c r="C6312" s="4">
        <v>181620</v>
      </c>
      <c r="D6312" s="4">
        <v>29933398</v>
      </c>
    </row>
    <row r="6313" spans="1:4" x14ac:dyDescent="0.25">
      <c r="A6313" t="str">
        <f>T("   630900")</f>
        <v xml:space="preserve">   630900</v>
      </c>
      <c r="B6313" t="str">
        <f>T("   ARTICLES DE FRIPERIE.")</f>
        <v xml:space="preserve">   ARTICLES DE FRIPERIE.</v>
      </c>
      <c r="C6313" s="4">
        <v>2400</v>
      </c>
      <c r="D6313" s="4">
        <v>2655571</v>
      </c>
    </row>
    <row r="6314" spans="1:4" x14ac:dyDescent="0.25">
      <c r="A6314" t="str">
        <f>T("   640220")</f>
        <v xml:space="preserve">   640220</v>
      </c>
      <c r="B6314" t="str">
        <f>T("   CHAUSSURES AVEC DESSUS EN LANIERES OU BRIDES FIXEES A LA SEMELLE PAR DES TETONS")</f>
        <v xml:space="preserve">   CHAUSSURES AVEC DESSUS EN LANIERES OU BRIDES FIXEES A LA SEMELLE PAR DES TETONS</v>
      </c>
      <c r="C6314" s="4">
        <v>64130</v>
      </c>
      <c r="D6314" s="4">
        <v>10715180</v>
      </c>
    </row>
    <row r="6315" spans="1:4" x14ac:dyDescent="0.25">
      <c r="A6315" t="str">
        <f>T("   640419")</f>
        <v xml:space="preserve">   640419</v>
      </c>
      <c r="B6315" t="str">
        <f>T("   AUTRES")</f>
        <v xml:space="preserve">   AUTRES</v>
      </c>
      <c r="C6315" s="4">
        <v>2700</v>
      </c>
      <c r="D6315" s="4">
        <v>650000</v>
      </c>
    </row>
    <row r="6316" spans="1:4" x14ac:dyDescent="0.25">
      <c r="A6316" t="str">
        <f>T("   640590")</f>
        <v xml:space="preserve">   640590</v>
      </c>
      <c r="B6316" t="str">
        <f>T("   AUTRES")</f>
        <v xml:space="preserve">   AUTRES</v>
      </c>
      <c r="C6316" s="4">
        <v>7200</v>
      </c>
      <c r="D6316" s="4">
        <v>1450000</v>
      </c>
    </row>
    <row r="6317" spans="1:4" x14ac:dyDescent="0.25">
      <c r="A6317" t="str">
        <f>T("   670420")</f>
        <v xml:space="preserve">   670420</v>
      </c>
      <c r="B6317" t="str">
        <f>T("   EN CHEVEUX")</f>
        <v xml:space="preserve">   EN CHEVEUX</v>
      </c>
      <c r="C6317" s="4">
        <v>845</v>
      </c>
      <c r="D6317" s="4">
        <v>394000</v>
      </c>
    </row>
    <row r="6318" spans="1:4" x14ac:dyDescent="0.25">
      <c r="A6318" t="str">
        <f>T("   680520")</f>
        <v xml:space="preserve">   680520</v>
      </c>
      <c r="B6318" t="str">
        <f>T("   APPLIQUES SUR PAPIER OU CARTON SEULEMENT")</f>
        <v xml:space="preserve">   APPLIQUES SUR PAPIER OU CARTON SEULEMENT</v>
      </c>
      <c r="C6318" s="4">
        <v>1000</v>
      </c>
      <c r="D6318" s="4">
        <v>500100</v>
      </c>
    </row>
    <row r="6319" spans="1:4" x14ac:dyDescent="0.25">
      <c r="A6319" t="str">
        <f>T("   700529")</f>
        <v xml:space="preserve">   700529</v>
      </c>
      <c r="B6319" t="str">
        <f>T("   AUTRE")</f>
        <v xml:space="preserve">   AUTRE</v>
      </c>
      <c r="C6319" s="4">
        <v>13000</v>
      </c>
      <c r="D6319" s="4">
        <v>3940000</v>
      </c>
    </row>
    <row r="6320" spans="1:4" x14ac:dyDescent="0.25">
      <c r="A6320" t="str">
        <f>T("   711719")</f>
        <v xml:space="preserve">   711719</v>
      </c>
      <c r="B6320" t="str">
        <f>T("   AUTRES")</f>
        <v xml:space="preserve">   AUTRES</v>
      </c>
      <c r="C6320" s="4">
        <v>300</v>
      </c>
      <c r="D6320" s="4">
        <v>82165</v>
      </c>
    </row>
    <row r="6321" spans="1:4" x14ac:dyDescent="0.25">
      <c r="A6321" t="str">
        <f>T("   721041")</f>
        <v xml:space="preserve">   721041</v>
      </c>
      <c r="B6321" t="str">
        <f>T("   ONDULES")</f>
        <v xml:space="preserve">   ONDULES</v>
      </c>
      <c r="C6321" s="4">
        <v>141300</v>
      </c>
      <c r="D6321" s="4">
        <v>19807225</v>
      </c>
    </row>
    <row r="6322" spans="1:4" x14ac:dyDescent="0.25">
      <c r="A6322" t="str">
        <f>T("   721310")</f>
        <v xml:space="preserve">   721310</v>
      </c>
      <c r="B6322" t="str">
        <f>T("   COMPORTANT DES INDENTATIONS, BOURRELETS, CREUX OU RELIEFS OBTENUS AU COURS DU LAMINAG")</f>
        <v xml:space="preserve">   COMPORTANT DES INDENTATIONS, BOURRELETS, CREUX OU RELIEFS OBTENUS AU COURS DU LAMINAG</v>
      </c>
      <c r="C6322" s="4">
        <v>200000</v>
      </c>
      <c r="D6322" s="4">
        <v>54000000</v>
      </c>
    </row>
    <row r="6323" spans="1:4" x14ac:dyDescent="0.25">
      <c r="A6323" t="str">
        <f>T("   721320")</f>
        <v xml:space="preserve">   721320</v>
      </c>
      <c r="B6323" t="str">
        <f>T("   AUTRES, EN ACIERS DE DECOLLETAGE")</f>
        <v xml:space="preserve">   AUTRES, EN ACIERS DE DECOLLETAGE</v>
      </c>
      <c r="C6323" s="4">
        <v>225000</v>
      </c>
      <c r="D6323" s="4">
        <v>57600000</v>
      </c>
    </row>
    <row r="6324" spans="1:4" x14ac:dyDescent="0.25">
      <c r="A6324" t="str">
        <f>T("   721420")</f>
        <v xml:space="preserve">   721420</v>
      </c>
      <c r="B6324" t="str">
        <f>T("   COMPORTANT DES INDENTATIONS, BOURRELETS, CREUX OU RELIEFS OBTENUS AU COURS DU LAMINAG")</f>
        <v xml:space="preserve">   COMPORTANT DES INDENTATIONS, BOURRELETS, CREUX OU RELIEFS OBTENUS AU COURS DU LAMINAG</v>
      </c>
      <c r="C6324" s="4">
        <v>5635000</v>
      </c>
      <c r="D6324" s="4">
        <v>1577380000</v>
      </c>
    </row>
    <row r="6325" spans="1:4" x14ac:dyDescent="0.25">
      <c r="A6325" t="str">
        <f>T("   721499")</f>
        <v xml:space="preserve">   721499</v>
      </c>
      <c r="B6325" t="str">
        <f>T("   AUTRES")</f>
        <v xml:space="preserve">   AUTRES</v>
      </c>
      <c r="C6325" s="4">
        <v>72900</v>
      </c>
      <c r="D6325" s="4">
        <v>9927146</v>
      </c>
    </row>
    <row r="6326" spans="1:4" x14ac:dyDescent="0.25">
      <c r="A6326" t="str">
        <f>T("   721590")</f>
        <v xml:space="preserve">   721590</v>
      </c>
      <c r="B6326" t="str">
        <f>T("   AUTRES")</f>
        <v xml:space="preserve">   AUTRES</v>
      </c>
      <c r="C6326" s="4">
        <v>710000</v>
      </c>
      <c r="D6326" s="4">
        <v>161486565</v>
      </c>
    </row>
    <row r="6327" spans="1:4" x14ac:dyDescent="0.25">
      <c r="A6327" t="str">
        <f>T("   721631")</f>
        <v xml:space="preserve">   721631</v>
      </c>
      <c r="B6327" t="str">
        <f>T("   PROFILES EN U")</f>
        <v xml:space="preserve">   PROFILES EN U</v>
      </c>
      <c r="C6327" s="4">
        <v>80000</v>
      </c>
      <c r="D6327" s="4">
        <v>20480000</v>
      </c>
    </row>
    <row r="6328" spans="1:4" x14ac:dyDescent="0.25">
      <c r="A6328" t="str">
        <f>T("   721632")</f>
        <v xml:space="preserve">   721632</v>
      </c>
      <c r="B6328" t="str">
        <f>T("   PROFILES EN I")</f>
        <v xml:space="preserve">   PROFILES EN I</v>
      </c>
      <c r="C6328" s="4">
        <v>6640</v>
      </c>
      <c r="D6328" s="4">
        <v>2000000</v>
      </c>
    </row>
    <row r="6329" spans="1:4" x14ac:dyDescent="0.25">
      <c r="A6329" t="str">
        <f>T("   721650")</f>
        <v xml:space="preserve">   721650</v>
      </c>
      <c r="B6329" t="str">
        <f>T("   AUTRES PROFILES, SIMPLEMENT LAMINES OU FILES A CHAUD")</f>
        <v xml:space="preserve">   AUTRES PROFILES, SIMPLEMENT LAMINES OU FILES A CHAUD</v>
      </c>
      <c r="C6329" s="4">
        <v>55000</v>
      </c>
      <c r="D6329" s="4">
        <v>14080000</v>
      </c>
    </row>
    <row r="6330" spans="1:4" x14ac:dyDescent="0.25">
      <c r="A6330" t="str">
        <f>T("   721699")</f>
        <v xml:space="preserve">   721699</v>
      </c>
      <c r="B6330" t="str">
        <f>T("   AUTRES")</f>
        <v xml:space="preserve">   AUTRES</v>
      </c>
      <c r="C6330" s="4">
        <v>246500</v>
      </c>
      <c r="D6330" s="4">
        <v>31865629</v>
      </c>
    </row>
    <row r="6331" spans="1:4" x14ac:dyDescent="0.25">
      <c r="A6331" t="str">
        <f>T("   721911")</f>
        <v xml:space="preserve">   721911</v>
      </c>
      <c r="B6331" t="str">
        <f>T("   D'UNE EPAISSEUR EXCEDANT 10 MM")</f>
        <v xml:space="preserve">   D'UNE EPAISSEUR EXCEDANT 10 MM</v>
      </c>
      <c r="C6331" s="4">
        <v>14843</v>
      </c>
      <c r="D6331" s="4">
        <v>3990000</v>
      </c>
    </row>
    <row r="6332" spans="1:4" x14ac:dyDescent="0.25">
      <c r="A6332" t="str">
        <f>T("   722211")</f>
        <v xml:space="preserve">   722211</v>
      </c>
      <c r="B6332" t="str">
        <f>T("   DE SECTION CIRCULAIRE")</f>
        <v xml:space="preserve">   DE SECTION CIRCULAIRE</v>
      </c>
      <c r="C6332" s="4">
        <v>3917</v>
      </c>
      <c r="D6332" s="4">
        <v>1262400</v>
      </c>
    </row>
    <row r="6333" spans="1:4" x14ac:dyDescent="0.25">
      <c r="A6333" t="str">
        <f>T("   730419")</f>
        <v xml:space="preserve">   730419</v>
      </c>
      <c r="B6333" t="str">
        <f>T("   AUTRES")</f>
        <v xml:space="preserve">   AUTRES</v>
      </c>
      <c r="C6333" s="4">
        <v>90000</v>
      </c>
      <c r="D6333" s="4">
        <v>23040000</v>
      </c>
    </row>
    <row r="6334" spans="1:4" x14ac:dyDescent="0.25">
      <c r="A6334" t="str">
        <f>T("   730630")</f>
        <v xml:space="preserve">   730630</v>
      </c>
      <c r="B6334" t="str">
        <f>T("   AUTRES, SOUDES, DE SECTION CIRCULAIRE, EN FER OU EN ACIERS NON ALLIES")</f>
        <v xml:space="preserve">   AUTRES, SOUDES, DE SECTION CIRCULAIRE, EN FER OU EN ACIERS NON ALLIES</v>
      </c>
      <c r="C6334" s="4">
        <v>15000</v>
      </c>
      <c r="D6334" s="4">
        <v>3884000</v>
      </c>
    </row>
    <row r="6335" spans="1:4" x14ac:dyDescent="0.25">
      <c r="A6335" t="str">
        <f>T("   730799")</f>
        <v xml:space="preserve">   730799</v>
      </c>
      <c r="B6335" t="str">
        <f>T("   AUTRES")</f>
        <v xml:space="preserve">   AUTRES</v>
      </c>
      <c r="C6335" s="4">
        <v>155</v>
      </c>
      <c r="D6335" s="4">
        <v>3069529</v>
      </c>
    </row>
    <row r="6336" spans="1:4" x14ac:dyDescent="0.25">
      <c r="A6336" t="str">
        <f>T("   731100")</f>
        <v xml:space="preserve">   731100</v>
      </c>
      <c r="B6336" t="str">
        <f>T("   RECIPIENTS POUR GAZ COMPRIMES OU LIQUEFIES, EN FONTE, FER OU ACIER.")</f>
        <v xml:space="preserve">   RECIPIENTS POUR GAZ COMPRIMES OU LIQUEFIES, EN FONTE, FER OU ACIER.</v>
      </c>
      <c r="C6336" s="4">
        <v>11000</v>
      </c>
      <c r="D6336" s="4">
        <v>53721983</v>
      </c>
    </row>
    <row r="6337" spans="1:4" x14ac:dyDescent="0.25">
      <c r="A6337" t="str">
        <f>T("   731449")</f>
        <v xml:space="preserve">   731449</v>
      </c>
      <c r="B6337" t="str">
        <f>T("   AUTRES")</f>
        <v xml:space="preserve">   AUTRES</v>
      </c>
      <c r="C6337" s="4">
        <v>1500</v>
      </c>
      <c r="D6337" s="4">
        <v>1075000</v>
      </c>
    </row>
    <row r="6338" spans="1:4" x14ac:dyDescent="0.25">
      <c r="A6338" t="str">
        <f>T("   731700")</f>
        <v xml:space="preserve">   731700</v>
      </c>
      <c r="B6338" t="str">
        <f>T("   POINTES, CLOUS, PUNAISES, CRAMPONS APPOINTES, AGRAFES ONDULEES OU BISEAUTEES ET ARTICLE")</f>
        <v xml:space="preserve">   POINTES, CLOUS, PUNAISES, CRAMPONS APPOINTES, AGRAFES ONDULEES OU BISEAUTEES ET ARTICLE</v>
      </c>
      <c r="C6338" s="4">
        <v>2000</v>
      </c>
      <c r="D6338" s="4">
        <v>940000</v>
      </c>
    </row>
    <row r="6339" spans="1:4" x14ac:dyDescent="0.25">
      <c r="A6339" t="str">
        <f>T("   732010")</f>
        <v xml:space="preserve">   732010</v>
      </c>
      <c r="B6339" t="str">
        <f>T("   RESSORTS A LAMES ET LEURS LAMES")</f>
        <v xml:space="preserve">   RESSORTS A LAMES ET LEURS LAMES</v>
      </c>
      <c r="C6339" s="4">
        <v>10425</v>
      </c>
      <c r="D6339" s="4">
        <v>4558218</v>
      </c>
    </row>
    <row r="6340" spans="1:4" x14ac:dyDescent="0.25">
      <c r="A6340" t="str">
        <f>T("   732310")</f>
        <v xml:space="preserve">   732310</v>
      </c>
      <c r="B6340" t="str">
        <f>T("   PAILLE DE FER OU D'ACIER; EPONGES, TORCHONS, GANTS ET ARTICLES SIMILAIRES POUR LE REC")</f>
        <v xml:space="preserve">   PAILLE DE FER OU D'ACIER; EPONGES, TORCHONS, GANTS ET ARTICLES SIMILAIRES POUR LE REC</v>
      </c>
      <c r="C6340" s="4">
        <v>3800</v>
      </c>
      <c r="D6340" s="4">
        <v>550000</v>
      </c>
    </row>
    <row r="6341" spans="1:4" x14ac:dyDescent="0.25">
      <c r="A6341" t="str">
        <f>T("   732392")</f>
        <v xml:space="preserve">   732392</v>
      </c>
      <c r="B6341" t="str">
        <f>T("   EN FONTE, EMAILLES")</f>
        <v xml:space="preserve">   EN FONTE, EMAILLES</v>
      </c>
      <c r="C6341" s="4">
        <v>4200</v>
      </c>
      <c r="D6341" s="4">
        <v>2650000</v>
      </c>
    </row>
    <row r="6342" spans="1:4" x14ac:dyDescent="0.25">
      <c r="A6342" t="str">
        <f>T("   732490")</f>
        <v xml:space="preserve">   732490</v>
      </c>
      <c r="B6342" t="str">
        <f>T("   AUTRES, Y COMPRIS LES PARTIES")</f>
        <v xml:space="preserve">   AUTRES, Y COMPRIS LES PARTIES</v>
      </c>
      <c r="C6342" s="4">
        <v>6330</v>
      </c>
      <c r="D6342" s="4">
        <v>6230000</v>
      </c>
    </row>
    <row r="6343" spans="1:4" x14ac:dyDescent="0.25">
      <c r="A6343" t="str">
        <f>T("   741220")</f>
        <v xml:space="preserve">   741220</v>
      </c>
      <c r="B6343" t="str">
        <f>T("   EN ALLIAGES DE CUIVRE")</f>
        <v xml:space="preserve">   EN ALLIAGES DE CUIVRE</v>
      </c>
      <c r="C6343" s="4">
        <v>65</v>
      </c>
      <c r="D6343" s="4">
        <v>873275</v>
      </c>
    </row>
    <row r="6344" spans="1:4" x14ac:dyDescent="0.25">
      <c r="A6344" t="str">
        <f>T("   760421")</f>
        <v xml:space="preserve">   760421</v>
      </c>
      <c r="B6344" t="str">
        <f>T("   PROFILES CREUX")</f>
        <v xml:space="preserve">   PROFILES CREUX</v>
      </c>
      <c r="C6344" s="4">
        <v>500</v>
      </c>
      <c r="D6344" s="4">
        <v>300000</v>
      </c>
    </row>
    <row r="6345" spans="1:4" x14ac:dyDescent="0.25">
      <c r="A6345" t="str">
        <f>T("   761519")</f>
        <v xml:space="preserve">   761519</v>
      </c>
      <c r="B6345" t="str">
        <f>T("   AUTRES ARTICLES DE MENAGES OU D'ECONOMIE DOMESTIQUE EN ALUMINIUM")</f>
        <v xml:space="preserve">   AUTRES ARTICLES DE MENAGES OU D'ECONOMIE DOMESTIQUE EN ALUMINIUM</v>
      </c>
      <c r="C6345" s="4">
        <v>1029590</v>
      </c>
      <c r="D6345" s="4">
        <v>339173817</v>
      </c>
    </row>
    <row r="6346" spans="1:4" x14ac:dyDescent="0.25">
      <c r="A6346" t="str">
        <f>T("   820190")</f>
        <v xml:space="preserve">   820190</v>
      </c>
      <c r="B6346" t="str">
        <f>T("   AUTRES OUTILS AGRICOLES, HORTICOLES OU FORESTIERS, A MAIN")</f>
        <v xml:space="preserve">   AUTRES OUTILS AGRICOLES, HORTICOLES OU FORESTIERS, A MAIN</v>
      </c>
      <c r="C6346" s="4">
        <v>12620</v>
      </c>
      <c r="D6346" s="4">
        <v>4595000</v>
      </c>
    </row>
    <row r="6347" spans="1:4" x14ac:dyDescent="0.25">
      <c r="A6347" t="str">
        <f>T("   820719")</f>
        <v xml:space="preserve">   820719</v>
      </c>
      <c r="B6347" t="str">
        <f>T("   AUTRES, Y COMPRIS LES PARTIES")</f>
        <v xml:space="preserve">   AUTRES, Y COMPRIS LES PARTIES</v>
      </c>
      <c r="C6347" s="4">
        <v>2404</v>
      </c>
      <c r="D6347" s="4">
        <v>313700151</v>
      </c>
    </row>
    <row r="6348" spans="1:4" x14ac:dyDescent="0.25">
      <c r="A6348" t="str">
        <f>T("   820750")</f>
        <v xml:space="preserve">   820750</v>
      </c>
      <c r="B6348" t="str">
        <f>T("   OUTILS A PERCER")</f>
        <v xml:space="preserve">   OUTILS A PERCER</v>
      </c>
      <c r="C6348" s="4">
        <v>27317</v>
      </c>
      <c r="D6348" s="4">
        <v>287738635</v>
      </c>
    </row>
    <row r="6349" spans="1:4" x14ac:dyDescent="0.25">
      <c r="A6349" t="str">
        <f>T("   820760")</f>
        <v xml:space="preserve">   820760</v>
      </c>
      <c r="B6349" t="str">
        <f>T("   OUTILS A ALESER OU A BROCHER")</f>
        <v xml:space="preserve">   OUTILS A ALESER OU A BROCHER</v>
      </c>
      <c r="C6349" s="4">
        <v>42</v>
      </c>
      <c r="D6349" s="4">
        <v>7560551</v>
      </c>
    </row>
    <row r="6350" spans="1:4" x14ac:dyDescent="0.25">
      <c r="A6350" t="str">
        <f>T("   821210")</f>
        <v xml:space="preserve">   821210</v>
      </c>
      <c r="B6350" t="str">
        <f>T("   RASOIRS")</f>
        <v xml:space="preserve">   RASOIRS</v>
      </c>
      <c r="C6350" s="4">
        <v>34000</v>
      </c>
      <c r="D6350" s="4">
        <v>8270724</v>
      </c>
    </row>
    <row r="6351" spans="1:4" x14ac:dyDescent="0.25">
      <c r="A6351" t="str">
        <f>T("   830140")</f>
        <v xml:space="preserve">   830140</v>
      </c>
      <c r="B6351" t="str">
        <f>T("   AUTRES SERRURES; VERROUS")</f>
        <v xml:space="preserve">   AUTRES SERRURES; VERROUS</v>
      </c>
      <c r="C6351" s="4">
        <v>1307</v>
      </c>
      <c r="D6351" s="4">
        <v>4304750</v>
      </c>
    </row>
    <row r="6352" spans="1:4" x14ac:dyDescent="0.25">
      <c r="A6352" t="str">
        <f>T("   840890")</f>
        <v xml:space="preserve">   840890</v>
      </c>
      <c r="B6352" t="str">
        <f>T("   AUTRES MOTEURS")</f>
        <v xml:space="preserve">   AUTRES MOTEURS</v>
      </c>
      <c r="C6352" s="4">
        <v>870</v>
      </c>
      <c r="D6352" s="4">
        <v>13120555</v>
      </c>
    </row>
    <row r="6353" spans="1:4" x14ac:dyDescent="0.25">
      <c r="A6353" t="str">
        <f>T("   840999")</f>
        <v xml:space="preserve">   840999</v>
      </c>
      <c r="B6353" t="str">
        <f>T("   AUTRES")</f>
        <v xml:space="preserve">   AUTRES</v>
      </c>
      <c r="C6353" s="4">
        <v>132.19999999999999</v>
      </c>
      <c r="D6353" s="4">
        <v>4438440</v>
      </c>
    </row>
    <row r="6354" spans="1:4" x14ac:dyDescent="0.25">
      <c r="A6354" t="str">
        <f>T("   841451")</f>
        <v xml:space="preserve">   841451</v>
      </c>
      <c r="B6354" t="str">
        <f>T("   VENTILATEURS DE TABLE, DE SOL, MURAUX, PLAFONNIERS, DE TOITURES OU DE FENETRES, A MO")</f>
        <v xml:space="preserve">   VENTILATEURS DE TABLE, DE SOL, MURAUX, PLAFONNIERS, DE TOITURES OU DE FENETRES, A MO</v>
      </c>
      <c r="C6354" s="4">
        <v>10500</v>
      </c>
      <c r="D6354" s="4">
        <v>1720480</v>
      </c>
    </row>
    <row r="6355" spans="1:4" x14ac:dyDescent="0.25">
      <c r="A6355" t="str">
        <f>T("   842121")</f>
        <v xml:space="preserve">   842121</v>
      </c>
      <c r="B6355" t="str">
        <f>T("   POUR LA FILTRATION OU L'EPURATION DES EAUX")</f>
        <v xml:space="preserve">   POUR LA FILTRATION OU L'EPURATION DES EAUX</v>
      </c>
      <c r="C6355" s="4">
        <v>10.5</v>
      </c>
      <c r="D6355" s="4">
        <v>133863</v>
      </c>
    </row>
    <row r="6356" spans="1:4" x14ac:dyDescent="0.25">
      <c r="A6356" t="str">
        <f>T("   842490")</f>
        <v xml:space="preserve">   842490</v>
      </c>
      <c r="B6356" t="str">
        <f>T("   PARTIES")</f>
        <v xml:space="preserve">   PARTIES</v>
      </c>
      <c r="C6356" s="4">
        <v>888</v>
      </c>
      <c r="D6356" s="4">
        <v>165213344</v>
      </c>
    </row>
    <row r="6357" spans="1:4" x14ac:dyDescent="0.25">
      <c r="A6357" t="str">
        <f>T("   842959")</f>
        <v xml:space="preserve">   842959</v>
      </c>
      <c r="B6357" t="str">
        <f>T("   AUTRES")</f>
        <v xml:space="preserve">   AUTRES</v>
      </c>
      <c r="C6357" s="4">
        <v>10000</v>
      </c>
      <c r="D6357" s="4">
        <v>11270000</v>
      </c>
    </row>
    <row r="6358" spans="1:4" x14ac:dyDescent="0.25">
      <c r="A6358" t="str">
        <f>T("   843139")</f>
        <v xml:space="preserve">   843139</v>
      </c>
      <c r="B6358" t="str">
        <f>T("   AUTRES")</f>
        <v xml:space="preserve">   AUTRES</v>
      </c>
      <c r="C6358" s="4">
        <v>895</v>
      </c>
      <c r="D6358" s="4">
        <v>77060858</v>
      </c>
    </row>
    <row r="6359" spans="1:4" x14ac:dyDescent="0.25">
      <c r="A6359" t="str">
        <f>T("   843143")</f>
        <v xml:space="preserve">   843143</v>
      </c>
      <c r="B6359" t="str">
        <f>T("   PARTIES DE MACHINES DE SONDAGE OU DE FORAGE DES N°S 8430.41 OU 8430.49")</f>
        <v xml:space="preserve">   PARTIES DE MACHINES DE SONDAGE OU DE FORAGE DES N°S 8430.41 OU 8430.49</v>
      </c>
      <c r="C6359" s="4">
        <v>199113</v>
      </c>
      <c r="D6359" s="4">
        <v>2701795159</v>
      </c>
    </row>
    <row r="6360" spans="1:4" x14ac:dyDescent="0.25">
      <c r="A6360" t="str">
        <f>T("   847130")</f>
        <v xml:space="preserve">   847130</v>
      </c>
      <c r="B6360" t="str">
        <f>T("   MACHINES AUTOMATIQUES DE TRAITEMENT DE L'INFORMATION PORTATIVES, D'UN POIDS N'EXCEDAN")</f>
        <v xml:space="preserve">   MACHINES AUTOMATIQUES DE TRAITEMENT DE L'INFORMATION PORTATIVES, D'UN POIDS N'EXCEDAN</v>
      </c>
      <c r="C6360" s="4">
        <v>9</v>
      </c>
      <c r="D6360" s="4">
        <v>896332</v>
      </c>
    </row>
    <row r="6361" spans="1:4" x14ac:dyDescent="0.25">
      <c r="A6361" t="str">
        <f>T("   847330")</f>
        <v xml:space="preserve">   847330</v>
      </c>
      <c r="B6361" t="str">
        <f>T("   PARTIES ET ACCESSOIRES DES MACHINES DU N° 84.71")</f>
        <v xml:space="preserve">   PARTIES ET ACCESSOIRES DES MACHINES DU N° 84.71</v>
      </c>
      <c r="C6361" s="4">
        <v>18</v>
      </c>
      <c r="D6361" s="4">
        <v>4027024</v>
      </c>
    </row>
    <row r="6362" spans="1:4" x14ac:dyDescent="0.25">
      <c r="A6362" t="str">
        <f>T("   847350")</f>
        <v xml:space="preserve">   847350</v>
      </c>
      <c r="B6362" t="str">
        <f>T("   PARTIES ET ACCESSOIRES QUI PEUVENT ETRE UTILISES INDIFFEREMMENT AVEC LES MACHINES OU")</f>
        <v xml:space="preserve">   PARTIES ET ACCESSOIRES QUI PEUVENT ETRE UTILISES INDIFFEREMMENT AVEC LES MACHINES OU</v>
      </c>
      <c r="C6362" s="4">
        <v>35</v>
      </c>
      <c r="D6362" s="4">
        <v>41325</v>
      </c>
    </row>
    <row r="6363" spans="1:4" x14ac:dyDescent="0.25">
      <c r="A6363" t="str">
        <f>T("   847790")</f>
        <v xml:space="preserve">   847790</v>
      </c>
      <c r="B6363" t="str">
        <f>T("   PARTIES")</f>
        <v xml:space="preserve">   PARTIES</v>
      </c>
      <c r="C6363" s="4">
        <v>0.6</v>
      </c>
      <c r="D6363" s="4">
        <v>104979</v>
      </c>
    </row>
    <row r="6364" spans="1:4" x14ac:dyDescent="0.25">
      <c r="A6364" t="str">
        <f>T("   847989")</f>
        <v xml:space="preserve">   847989</v>
      </c>
      <c r="B6364" t="str">
        <f>T("   AUTRES")</f>
        <v xml:space="preserve">   AUTRES</v>
      </c>
      <c r="C6364" s="4">
        <v>95</v>
      </c>
      <c r="D6364" s="4">
        <v>467579</v>
      </c>
    </row>
    <row r="6365" spans="1:4" x14ac:dyDescent="0.25">
      <c r="A6365" t="str">
        <f>T("   848180")</f>
        <v xml:space="preserve">   848180</v>
      </c>
      <c r="B6365" t="str">
        <f>T("   Autres articles de robinetterie et organes similaires")</f>
        <v xml:space="preserve">   Autres articles de robinetterie et organes similaires</v>
      </c>
      <c r="C6365" s="4">
        <v>14884</v>
      </c>
      <c r="D6365" s="4">
        <v>255208544</v>
      </c>
    </row>
    <row r="6366" spans="1:4" x14ac:dyDescent="0.25">
      <c r="A6366" t="str">
        <f>T("   850440")</f>
        <v xml:space="preserve">   850440</v>
      </c>
      <c r="B6366" t="str">
        <f>T("   CONVERTISSEURS STATIQUES")</f>
        <v xml:space="preserve">   CONVERTISSEURS STATIQUES</v>
      </c>
      <c r="C6366" s="4">
        <v>300</v>
      </c>
      <c r="D6366" s="4">
        <v>1769382</v>
      </c>
    </row>
    <row r="6367" spans="1:4" x14ac:dyDescent="0.25">
      <c r="A6367" t="str">
        <f>T("   850450")</f>
        <v xml:space="preserve">   850450</v>
      </c>
      <c r="B6367" t="str">
        <f>T("   AUTRES BOBINES DE REACTANCE ET AUTRES SELFS")</f>
        <v xml:space="preserve">   AUTRES BOBINES DE REACTANCE ET AUTRES SELFS</v>
      </c>
      <c r="C6367" s="4">
        <v>26</v>
      </c>
      <c r="D6367" s="4">
        <v>3931058</v>
      </c>
    </row>
    <row r="6368" spans="1:4" x14ac:dyDescent="0.25">
      <c r="A6368" t="str">
        <f>T("   851712")</f>
        <v xml:space="preserve">   851712</v>
      </c>
      <c r="B6368" t="str">
        <f>T("   TELEPHONES POUR RESEAUX CELLULAIRES ET POUR AUTRES RESEAUX SANS FIL")</f>
        <v xml:space="preserve">   TELEPHONES POUR RESEAUX CELLULAIRES ET POUR AUTRES RESEAUX SANS FIL</v>
      </c>
      <c r="C6368" s="4">
        <v>34</v>
      </c>
      <c r="D6368" s="4">
        <v>40827</v>
      </c>
    </row>
    <row r="6369" spans="1:4" x14ac:dyDescent="0.25">
      <c r="A6369" t="str">
        <f>T("   852190")</f>
        <v xml:space="preserve">   852190</v>
      </c>
      <c r="B6369" t="str">
        <f>T("   AUTRES")</f>
        <v xml:space="preserve">   AUTRES</v>
      </c>
      <c r="C6369" s="4">
        <v>25</v>
      </c>
      <c r="D6369" s="4">
        <v>1524956</v>
      </c>
    </row>
    <row r="6370" spans="1:4" x14ac:dyDescent="0.25">
      <c r="A6370" t="str">
        <f>T("   852910")</f>
        <v xml:space="preserve">   852910</v>
      </c>
      <c r="B6370" t="str">
        <f>T("   ANTENNES ET REFLECTEURS D’ANTENNES DE TOUS TYPES; PARTIES RECONNAISSABLES COMME ETANT")</f>
        <v xml:space="preserve">   ANTENNES ET REFLECTEURS D’ANTENNES DE TOUS TYPES; PARTIES RECONNAISSABLES COMME ETANT</v>
      </c>
      <c r="C6370" s="4">
        <v>6</v>
      </c>
      <c r="D6370" s="4">
        <v>255173</v>
      </c>
    </row>
    <row r="6371" spans="1:4" x14ac:dyDescent="0.25">
      <c r="A6371" t="str">
        <f>T("   852990")</f>
        <v xml:space="preserve">   852990</v>
      </c>
      <c r="B6371" t="str">
        <f>T("   AUTRES")</f>
        <v xml:space="preserve">   AUTRES</v>
      </c>
      <c r="C6371" s="4">
        <v>21</v>
      </c>
      <c r="D6371" s="4">
        <v>25000</v>
      </c>
    </row>
    <row r="6372" spans="1:4" x14ac:dyDescent="0.25">
      <c r="A6372" t="str">
        <f>T("   853669")</f>
        <v xml:space="preserve">   853669</v>
      </c>
      <c r="B6372" t="str">
        <f>T("   AUTRES")</f>
        <v xml:space="preserve">   AUTRES</v>
      </c>
      <c r="C6372" s="4">
        <v>383</v>
      </c>
      <c r="D6372" s="4">
        <v>4176837</v>
      </c>
    </row>
    <row r="6373" spans="1:4" x14ac:dyDescent="0.25">
      <c r="A6373" t="str">
        <f>T("   854449")</f>
        <v xml:space="preserve">   854449</v>
      </c>
      <c r="B6373" t="str">
        <f>T("   AUTRES")</f>
        <v xml:space="preserve">   AUTRES</v>
      </c>
      <c r="C6373" s="4">
        <v>4000</v>
      </c>
      <c r="D6373" s="4">
        <v>600000</v>
      </c>
    </row>
    <row r="6374" spans="1:4" x14ac:dyDescent="0.25">
      <c r="A6374" t="str">
        <f>T("   860900")</f>
        <v xml:space="preserve">   860900</v>
      </c>
      <c r="B6374" t="str">
        <f>T("   CADRES ET CONTENEURS (Y COMPRIS LES CONTENEURSCITERNES ET LES CONTENEURSRESERVOIRS) S")</f>
        <v xml:space="preserve">   CADRES ET CONTENEURS (Y COMPRIS LES CONTENEURSCITERNES ET LES CONTENEURSRESERVOIRS) S</v>
      </c>
      <c r="C6374" s="4">
        <v>25380</v>
      </c>
      <c r="D6374" s="4">
        <v>126025942</v>
      </c>
    </row>
    <row r="6375" spans="1:4" x14ac:dyDescent="0.25">
      <c r="A6375" t="str">
        <f>T("   870110")</f>
        <v xml:space="preserve">   870110</v>
      </c>
      <c r="B6375" t="str">
        <f>T("   Motoculteurs")</f>
        <v xml:space="preserve">   Motoculteurs</v>
      </c>
      <c r="C6375" s="4">
        <v>4497.4399999999996</v>
      </c>
      <c r="D6375" s="4">
        <v>6960000</v>
      </c>
    </row>
    <row r="6376" spans="1:4" x14ac:dyDescent="0.25">
      <c r="A6376" t="str">
        <f>T("   870322")</f>
        <v xml:space="preserve">   870322</v>
      </c>
      <c r="B6376" t="str">
        <f>T("   D’UNE CYLINDREE EXCEDANT 1.000 CM³ MAIS N’EXCEDANT PAS 1.500 CM³")</f>
        <v xml:space="preserve">   D’UNE CYLINDREE EXCEDANT 1.000 CM³ MAIS N’EXCEDANT PAS 1.500 CM³</v>
      </c>
      <c r="C6376" s="4">
        <v>3000</v>
      </c>
      <c r="D6376" s="4">
        <v>2400000</v>
      </c>
    </row>
    <row r="6377" spans="1:4" x14ac:dyDescent="0.25">
      <c r="A6377" t="str">
        <f>T("   870421")</f>
        <v xml:space="preserve">   870421</v>
      </c>
      <c r="B6377" t="str">
        <f>T("   D'UN POIDS EN CHARGE MAXIMAL N'EXCEDANT PAS 5 TONNES")</f>
        <v xml:space="preserve">   D'UN POIDS EN CHARGE MAXIMAL N'EXCEDANT PAS 5 TONNES</v>
      </c>
      <c r="C6377" s="4">
        <v>1830</v>
      </c>
      <c r="D6377" s="4">
        <v>5646477</v>
      </c>
    </row>
    <row r="6378" spans="1:4" x14ac:dyDescent="0.25">
      <c r="A6378" t="str">
        <f>T("   870422")</f>
        <v xml:space="preserve">   870422</v>
      </c>
      <c r="B6378" t="str">
        <f>T("   D'UN POIDS EN CHARGE MAXIMAL EXCEDANT 5 TONNES MAIS N'EXCEDANT PAS 20 TONNES")</f>
        <v xml:space="preserve">   D'UN POIDS EN CHARGE MAXIMAL EXCEDANT 5 TONNES MAIS N'EXCEDANT PAS 20 TONNES</v>
      </c>
      <c r="C6378" s="4">
        <v>100200</v>
      </c>
      <c r="D6378" s="4">
        <v>222174588</v>
      </c>
    </row>
    <row r="6379" spans="1:4" x14ac:dyDescent="0.25">
      <c r="A6379" t="str">
        <f>T("   871200")</f>
        <v xml:space="preserve">   871200</v>
      </c>
      <c r="B6379" t="str">
        <f>T("   BICYCLETTES ET AUTRES CYCLES (Y COMPRIS LES TRIPORTEURS), SANS MOTEUR.")</f>
        <v xml:space="preserve">   BICYCLETTES ET AUTRES CYCLES (Y COMPRIS LES TRIPORTEURS), SANS MOTEUR.</v>
      </c>
      <c r="C6379" s="4">
        <v>7000</v>
      </c>
      <c r="D6379" s="4">
        <v>3120700</v>
      </c>
    </row>
    <row r="6380" spans="1:4" x14ac:dyDescent="0.25">
      <c r="A6380" t="str">
        <f>T("   900659")</f>
        <v xml:space="preserve">   900659</v>
      </c>
      <c r="B6380" t="str">
        <f>T("   AUTRES")</f>
        <v xml:space="preserve">   AUTRES</v>
      </c>
      <c r="C6380" s="4">
        <v>2000</v>
      </c>
      <c r="D6380" s="4">
        <v>620646</v>
      </c>
    </row>
    <row r="6381" spans="1:4" x14ac:dyDescent="0.25">
      <c r="A6381" t="str">
        <f>T("   901540")</f>
        <v xml:space="preserve">   901540</v>
      </c>
      <c r="B6381" t="str">
        <f>T("   INSTRUMENTS ET APPAREILS DE PHOTOGRAMMETRIE")</f>
        <v xml:space="preserve">   INSTRUMENTS ET APPAREILS DE PHOTOGRAMMETRIE</v>
      </c>
      <c r="C6381" s="4">
        <v>5500</v>
      </c>
      <c r="D6381" s="4">
        <v>20857207</v>
      </c>
    </row>
    <row r="6382" spans="1:4" x14ac:dyDescent="0.25">
      <c r="A6382" t="str">
        <f>T("   901580")</f>
        <v xml:space="preserve">   901580</v>
      </c>
      <c r="B6382" t="str">
        <f>T("   AUTRES INSTRUMENTS ET APPAREILS")</f>
        <v xml:space="preserve">   AUTRES INSTRUMENTS ET APPAREILS</v>
      </c>
      <c r="C6382" s="4">
        <v>80</v>
      </c>
      <c r="D6382" s="4">
        <v>99579</v>
      </c>
    </row>
    <row r="6383" spans="1:4" x14ac:dyDescent="0.25">
      <c r="A6383" t="str">
        <f>T("   901590")</f>
        <v xml:space="preserve">   901590</v>
      </c>
      <c r="B6383" t="str">
        <f>T("   PARTIES ET ACCESSOIRES")</f>
        <v xml:space="preserve">   PARTIES ET ACCESSOIRES</v>
      </c>
      <c r="C6383" s="4">
        <v>5156</v>
      </c>
      <c r="D6383" s="4">
        <v>88397452</v>
      </c>
    </row>
    <row r="6384" spans="1:4" x14ac:dyDescent="0.25">
      <c r="A6384" t="str">
        <f>T("   902620")</f>
        <v xml:space="preserve">   902620</v>
      </c>
      <c r="B6384" t="str">
        <f>T("   POUR LA MESURE OU LE CONTROLE DE LA PRESSION")</f>
        <v xml:space="preserve">   POUR LA MESURE OU LE CONTROLE DE LA PRESSION</v>
      </c>
      <c r="C6384" s="4">
        <v>740</v>
      </c>
      <c r="D6384" s="4">
        <v>14737074</v>
      </c>
    </row>
    <row r="6385" spans="1:4" x14ac:dyDescent="0.25">
      <c r="A6385" t="str">
        <f>T("   902690")</f>
        <v xml:space="preserve">   902690</v>
      </c>
      <c r="B6385" t="str">
        <f>T("   PARTIES ET ACCESSOIRES")</f>
        <v xml:space="preserve">   PARTIES ET ACCESSOIRES</v>
      </c>
      <c r="C6385" s="4">
        <v>13000</v>
      </c>
      <c r="D6385" s="4">
        <v>42155216</v>
      </c>
    </row>
    <row r="6386" spans="1:4" x14ac:dyDescent="0.25">
      <c r="A6386" t="str">
        <f>T("   902780")</f>
        <v xml:space="preserve">   902780</v>
      </c>
      <c r="B6386" t="str">
        <f>T("   AUTRES INSTRUMENTS ET APPAREILS")</f>
        <v xml:space="preserve">   AUTRES INSTRUMENTS ET APPAREILS</v>
      </c>
      <c r="C6386" s="4">
        <v>305</v>
      </c>
      <c r="D6386" s="4">
        <v>4894815</v>
      </c>
    </row>
    <row r="6387" spans="1:4" x14ac:dyDescent="0.25">
      <c r="A6387" t="str">
        <f>T("   903190")</f>
        <v xml:space="preserve">   903190</v>
      </c>
      <c r="B6387" t="str">
        <f>T("   PARTIES ET ACCESSOIRES")</f>
        <v xml:space="preserve">   PARTIES ET ACCESSOIRES</v>
      </c>
      <c r="C6387" s="4">
        <v>29</v>
      </c>
      <c r="D6387" s="4">
        <v>1901963</v>
      </c>
    </row>
    <row r="6388" spans="1:4" x14ac:dyDescent="0.25">
      <c r="A6388" t="str">
        <f>T("   940180")</f>
        <v xml:space="preserve">   940180</v>
      </c>
      <c r="B6388" t="str">
        <f>T("   AUTRES SIEGES")</f>
        <v xml:space="preserve">   AUTRES SIEGES</v>
      </c>
      <c r="C6388" s="4">
        <v>7500</v>
      </c>
      <c r="D6388" s="4">
        <v>3486766</v>
      </c>
    </row>
    <row r="6389" spans="1:4" x14ac:dyDescent="0.25">
      <c r="A6389" t="str">
        <f>T("   940330")</f>
        <v xml:space="preserve">   940330</v>
      </c>
      <c r="B6389" t="str">
        <f>T("   MEUBLES EN BOIS DES TYPES UTILISES DANS LES BUREAUX")</f>
        <v xml:space="preserve">   MEUBLES EN BOIS DES TYPES UTILISES DANS LES BUREAUX</v>
      </c>
      <c r="C6389" s="4">
        <v>6120</v>
      </c>
      <c r="D6389" s="4">
        <v>3000000</v>
      </c>
    </row>
    <row r="6390" spans="1:4" x14ac:dyDescent="0.25">
      <c r="A6390" t="str">
        <f>T("   940350")</f>
        <v xml:space="preserve">   940350</v>
      </c>
      <c r="B6390" t="str">
        <f>T("   MEUBLES EN BOIS DES TYPES UTILISES DANS LES CHAMBRES A COUCHER")</f>
        <v xml:space="preserve">   MEUBLES EN BOIS DES TYPES UTILISES DANS LES CHAMBRES A COUCHER</v>
      </c>
      <c r="C6390" s="4">
        <v>34800</v>
      </c>
      <c r="D6390" s="4">
        <v>3152922</v>
      </c>
    </row>
    <row r="6391" spans="1:4" x14ac:dyDescent="0.25">
      <c r="A6391" t="str">
        <f>T("   940360")</f>
        <v xml:space="preserve">   940360</v>
      </c>
      <c r="B6391" t="str">
        <f>T("   Autres meubles en bois")</f>
        <v xml:space="preserve">   Autres meubles en bois</v>
      </c>
      <c r="C6391" s="4">
        <v>6720</v>
      </c>
      <c r="D6391" s="4">
        <v>2000000</v>
      </c>
    </row>
    <row r="6392" spans="1:4" x14ac:dyDescent="0.25">
      <c r="A6392" t="str">
        <f>T("   940390")</f>
        <v xml:space="preserve">   940390</v>
      </c>
      <c r="B6392" t="str">
        <f>T("   PARTIES")</f>
        <v xml:space="preserve">   PARTIES</v>
      </c>
      <c r="C6392" s="4">
        <v>700</v>
      </c>
      <c r="D6392" s="4">
        <v>451512</v>
      </c>
    </row>
    <row r="6393" spans="1:4" x14ac:dyDescent="0.25">
      <c r="A6393" t="str">
        <f>T("   940421")</f>
        <v xml:space="preserve">   940421</v>
      </c>
      <c r="B6393" t="str">
        <f>T("   EN CAOUTCHOUC ALVEOLAIRE OU EN MATIERES PLASTIQUES ALVEOLAIRES, RECOUVERTS OU NON")</f>
        <v xml:space="preserve">   EN CAOUTCHOUC ALVEOLAIRE OU EN MATIERES PLASTIQUES ALVEOLAIRES, RECOUVERTS OU NON</v>
      </c>
      <c r="C6393" s="4">
        <v>20151</v>
      </c>
      <c r="D6393" s="4">
        <v>35239100</v>
      </c>
    </row>
    <row r="6394" spans="1:4" x14ac:dyDescent="0.25">
      <c r="A6394" t="str">
        <f>T("   950430")</f>
        <v xml:space="preserve">   950430</v>
      </c>
      <c r="B6394" t="str">
        <f>T("   AUTRES JEUX FONCTIONNANT PAR L'INTRODUCTION D'UNE PIECE DE MONNAIE, D'UN BILLET DE BA")</f>
        <v xml:space="preserve">   AUTRES JEUX FONCTIONNANT PAR L'INTRODUCTION D'UNE PIECE DE MONNAIE, D'UN BILLET DE BA</v>
      </c>
      <c r="C6394" s="4">
        <v>4550</v>
      </c>
      <c r="D6394" s="4">
        <v>9947962</v>
      </c>
    </row>
    <row r="6395" spans="1:4" x14ac:dyDescent="0.25">
      <c r="A6395" t="str">
        <f>T("   960810")</f>
        <v xml:space="preserve">   960810</v>
      </c>
      <c r="B6395" t="str">
        <f>T("   STYLOS ET CRAYONS A BILLE")</f>
        <v xml:space="preserve">   STYLOS ET CRAYONS A BILLE</v>
      </c>
      <c r="C6395" s="4">
        <v>2</v>
      </c>
      <c r="D6395" s="4">
        <v>192570</v>
      </c>
    </row>
    <row r="6396" spans="1:4" x14ac:dyDescent="0.25">
      <c r="A6396" t="str">
        <f>T("   961700")</f>
        <v xml:space="preserve">   961700</v>
      </c>
      <c r="B6396" t="str">
        <f>T("   BOUTEILLES ISOLANTES ET AUTRES RECIPIENTS ISOTHERMIQUES MONTES, DONT L'ISOLATION EST AS")</f>
        <v xml:space="preserve">   BOUTEILLES ISOLANTES ET AUTRES RECIPIENTS ISOTHERMIQUES MONTES, DONT L'ISOLATION EST AS</v>
      </c>
      <c r="C6396" s="4">
        <v>4539</v>
      </c>
      <c r="D6396" s="4">
        <v>3730000</v>
      </c>
    </row>
    <row r="6397" spans="1:4" s="5" customFormat="1" x14ac:dyDescent="0.25">
      <c r="A6397" s="5" t="str">
        <f>T("   ZZ_Total_Produit_SH6")</f>
        <v xml:space="preserve">   ZZ_Total_Produit_SH6</v>
      </c>
      <c r="B6397" s="5" t="str">
        <f>T("   ZZ_Total_Produit_SH6")</f>
        <v xml:space="preserve">   ZZ_Total_Produit_SH6</v>
      </c>
      <c r="C6397" s="1">
        <v>26712169.640000001</v>
      </c>
      <c r="D6397" s="1">
        <v>13922808932.054001</v>
      </c>
    </row>
    <row r="6398" spans="1:4" s="5" customFormat="1" x14ac:dyDescent="0.25">
      <c r="B6398" s="5" t="str">
        <f>T("Gambie")</f>
        <v>Gambie</v>
      </c>
      <c r="C6398" s="1"/>
      <c r="D6398" s="1"/>
    </row>
    <row r="6399" spans="1:4" x14ac:dyDescent="0.25">
      <c r="A6399" t="str">
        <f>T("   030269")</f>
        <v xml:space="preserve">   030269</v>
      </c>
      <c r="B6399" t="str">
        <f>T("   Autres poissons entiers,frais ou refrigeres.(foies,oeufs laitances exclus)")</f>
        <v xml:space="preserve">   Autres poissons entiers,frais ou refrigeres.(foies,oeufs laitances exclus)</v>
      </c>
      <c r="C6399" s="4">
        <v>12552</v>
      </c>
      <c r="D6399" s="4">
        <v>5020800</v>
      </c>
    </row>
    <row r="6400" spans="1:4" x14ac:dyDescent="0.25">
      <c r="A6400" t="str">
        <f>T("   030379")</f>
        <v xml:space="preserve">   030379</v>
      </c>
      <c r="B6400" t="str">
        <f>T("   AUTRES POISSONS ENTIERS CONGELES.(FOIES,OEUFS,LAITANCES EXCLUS)")</f>
        <v xml:space="preserve">   AUTRES POISSONS ENTIERS CONGELES.(FOIES,OEUFS,LAITANCES EXCLUS)</v>
      </c>
      <c r="C6400" s="4">
        <v>11134</v>
      </c>
      <c r="D6400" s="4">
        <v>2505767</v>
      </c>
    </row>
    <row r="6401" spans="1:4" x14ac:dyDescent="0.25">
      <c r="A6401" t="str">
        <f>T("   630619")</f>
        <v xml:space="preserve">   630619</v>
      </c>
      <c r="B6401" t="str">
        <f>T("   D'AUTRES MATIERES TEXTILES")</f>
        <v xml:space="preserve">   D'AUTRES MATIERES TEXTILES</v>
      </c>
      <c r="C6401" s="4">
        <v>40</v>
      </c>
      <c r="D6401" s="4">
        <v>676142</v>
      </c>
    </row>
    <row r="6402" spans="1:4" x14ac:dyDescent="0.25">
      <c r="A6402" t="str">
        <f>T("   842121")</f>
        <v xml:space="preserve">   842121</v>
      </c>
      <c r="B6402" t="str">
        <f>T("   POUR LA FILTRATION OU L'EPURATION DES EAUX")</f>
        <v xml:space="preserve">   POUR LA FILTRATION OU L'EPURATION DES EAUX</v>
      </c>
      <c r="C6402" s="4">
        <v>2300</v>
      </c>
      <c r="D6402" s="4">
        <v>891620</v>
      </c>
    </row>
    <row r="6403" spans="1:4" x14ac:dyDescent="0.25">
      <c r="A6403" t="str">
        <f>T("   843240")</f>
        <v xml:space="preserve">   843240</v>
      </c>
      <c r="B6403" t="str">
        <f>T("   EPANDEURS DE FUMIER ET DISTRIBUTEURS D'ENGRAIS")</f>
        <v xml:space="preserve">   EPANDEURS DE FUMIER ET DISTRIBUTEURS D'ENGRAIS</v>
      </c>
      <c r="C6403" s="4">
        <v>477</v>
      </c>
      <c r="D6403" s="4">
        <v>850586</v>
      </c>
    </row>
    <row r="6404" spans="1:4" x14ac:dyDescent="0.25">
      <c r="A6404" t="str">
        <f>T("   870421")</f>
        <v xml:space="preserve">   870421</v>
      </c>
      <c r="B6404" t="str">
        <f>T("   D'UN POIDS EN CHARGE MAXIMAL N'EXCEDANT PAS 5 TONNES")</f>
        <v xml:space="preserve">   D'UN POIDS EN CHARGE MAXIMAL N'EXCEDANT PAS 5 TONNES</v>
      </c>
      <c r="C6404" s="4">
        <v>1800</v>
      </c>
      <c r="D6404" s="4">
        <v>6859374</v>
      </c>
    </row>
    <row r="6405" spans="1:4" x14ac:dyDescent="0.25">
      <c r="A6405" t="str">
        <f>T("   940600")</f>
        <v xml:space="preserve">   940600</v>
      </c>
      <c r="B6405" t="str">
        <f>T("   CONSTRUCTIONS PREFABRIQUEES.")</f>
        <v xml:space="preserve">   CONSTRUCTIONS PREFABRIQUEES.</v>
      </c>
      <c r="C6405" s="4">
        <v>4800</v>
      </c>
      <c r="D6405" s="4">
        <v>4362193</v>
      </c>
    </row>
    <row r="6406" spans="1:4" s="5" customFormat="1" x14ac:dyDescent="0.25">
      <c r="A6406" s="5" t="str">
        <f>T("   ZZ_Total_Produit_SH6")</f>
        <v xml:space="preserve">   ZZ_Total_Produit_SH6</v>
      </c>
      <c r="B6406" s="5" t="str">
        <f>T("   ZZ_Total_Produit_SH6")</f>
        <v xml:space="preserve">   ZZ_Total_Produit_SH6</v>
      </c>
      <c r="C6406" s="1">
        <v>33103</v>
      </c>
      <c r="D6406" s="1">
        <v>21166482</v>
      </c>
    </row>
    <row r="6407" spans="1:4" s="5" customFormat="1" x14ac:dyDescent="0.25">
      <c r="B6407" s="5" t="str">
        <f>T("Guinée")</f>
        <v>Guinée</v>
      </c>
      <c r="C6407" s="1"/>
      <c r="D6407" s="1"/>
    </row>
    <row r="6408" spans="1:4" x14ac:dyDescent="0.25">
      <c r="A6408" t="str">
        <f>T("   030379")</f>
        <v xml:space="preserve">   030379</v>
      </c>
      <c r="B6408" t="str">
        <f>T("   AUTRES POISSONS ENTIERS CONGELES.(FOIES,OEUFS,LAITANCES EXCLUS)")</f>
        <v xml:space="preserve">   AUTRES POISSONS ENTIERS CONGELES.(FOIES,OEUFS,LAITANCES EXCLUS)</v>
      </c>
      <c r="C6408" s="4">
        <v>637022</v>
      </c>
      <c r="D6408" s="4">
        <v>143330540</v>
      </c>
    </row>
    <row r="6409" spans="1:4" x14ac:dyDescent="0.25">
      <c r="A6409" t="str">
        <f>T("   842641")</f>
        <v xml:space="preserve">   842641</v>
      </c>
      <c r="B6409" t="str">
        <f>T("   SUR PNEUMATIQUES")</f>
        <v xml:space="preserve">   SUR PNEUMATIQUES</v>
      </c>
      <c r="C6409" s="4">
        <v>41100</v>
      </c>
      <c r="D6409" s="4">
        <v>52853977</v>
      </c>
    </row>
    <row r="6410" spans="1:4" x14ac:dyDescent="0.25">
      <c r="A6410" t="str">
        <f>T("   843141")</f>
        <v xml:space="preserve">   843141</v>
      </c>
      <c r="B6410" t="str">
        <f>T("   GODETS, BENNES, BENNESPRENEUSES, PELLES, GRAPPINS ET PINCES")</f>
        <v xml:space="preserve">   GODETS, BENNES, BENNESPRENEUSES, PELLES, GRAPPINS ET PINCES</v>
      </c>
      <c r="C6410" s="4">
        <v>45075</v>
      </c>
      <c r="D6410" s="4">
        <v>126041402</v>
      </c>
    </row>
    <row r="6411" spans="1:4" x14ac:dyDescent="0.25">
      <c r="A6411" t="str">
        <f>T("   870323")</f>
        <v xml:space="preserve">   870323</v>
      </c>
      <c r="B6411" t="str">
        <f>T("   D’UNE CYLINDREE EXCEDANT 1.500 CM³ MAIS N’EXCEDANT PAS 3.000 CM³")</f>
        <v xml:space="preserve">   D’UNE CYLINDREE EXCEDANT 1.500 CM³ MAIS N’EXCEDANT PAS 3.000 CM³</v>
      </c>
      <c r="C6411" s="4">
        <v>1700</v>
      </c>
      <c r="D6411" s="4">
        <v>1459038</v>
      </c>
    </row>
    <row r="6412" spans="1:4" x14ac:dyDescent="0.25">
      <c r="A6412" t="str">
        <f>T("   871640")</f>
        <v xml:space="preserve">   871640</v>
      </c>
      <c r="B6412" t="str">
        <f>T("   AUTRES REMORQUES ET SEMIREMORQUES")</f>
        <v xml:space="preserve">   AUTRES REMORQUES ET SEMIREMORQUES</v>
      </c>
      <c r="C6412" s="4">
        <v>12000</v>
      </c>
      <c r="D6412" s="4">
        <v>2000000</v>
      </c>
    </row>
    <row r="6413" spans="1:4" s="5" customFormat="1" x14ac:dyDescent="0.25">
      <c r="A6413" s="5" t="str">
        <f>T("   ZZ_Total_Produit_SH6")</f>
        <v xml:space="preserve">   ZZ_Total_Produit_SH6</v>
      </c>
      <c r="B6413" s="5" t="str">
        <f>T("   ZZ_Total_Produit_SH6")</f>
        <v xml:space="preserve">   ZZ_Total_Produit_SH6</v>
      </c>
      <c r="C6413" s="1">
        <v>736897</v>
      </c>
      <c r="D6413" s="1">
        <v>325684957</v>
      </c>
    </row>
    <row r="6414" spans="1:4" s="5" customFormat="1" x14ac:dyDescent="0.25">
      <c r="B6414" s="5" t="str">
        <f>T("Guinée Equatoriale")</f>
        <v>Guinée Equatoriale</v>
      </c>
      <c r="C6414" s="1"/>
      <c r="D6414" s="1"/>
    </row>
    <row r="6415" spans="1:4" x14ac:dyDescent="0.25">
      <c r="A6415" t="str">
        <f>T("   220421")</f>
        <v xml:space="preserve">   220421</v>
      </c>
      <c r="B6415" t="str">
        <f>T("   EN RECIPIENTS D'UNE CONTENANCE N'EXCEDANT PAS 2 L")</f>
        <v xml:space="preserve">   EN RECIPIENTS D'UNE CONTENANCE N'EXCEDANT PAS 2 L</v>
      </c>
      <c r="C6415" s="4">
        <v>14850</v>
      </c>
      <c r="D6415" s="4">
        <v>1721089</v>
      </c>
    </row>
    <row r="6416" spans="1:4" x14ac:dyDescent="0.25">
      <c r="A6416" t="str">
        <f>T("   271113")</f>
        <v xml:space="preserve">   271113</v>
      </c>
      <c r="B6416" t="str">
        <f>T("   BUTANES")</f>
        <v xml:space="preserve">   BUTANES</v>
      </c>
      <c r="C6416" s="4">
        <v>4582209</v>
      </c>
      <c r="D6416" s="4">
        <v>1603773150</v>
      </c>
    </row>
    <row r="6417" spans="1:4" x14ac:dyDescent="0.25">
      <c r="A6417" t="str">
        <f>T("   620590")</f>
        <v xml:space="preserve">   620590</v>
      </c>
      <c r="B6417" t="str">
        <f>T("   D'AUTRES MATIERES TEXTILES")</f>
        <v xml:space="preserve">   D'AUTRES MATIERES TEXTILES</v>
      </c>
      <c r="C6417" s="4">
        <v>250</v>
      </c>
      <c r="D6417" s="4">
        <v>500000</v>
      </c>
    </row>
    <row r="6418" spans="1:4" x14ac:dyDescent="0.25">
      <c r="A6418" t="str">
        <f>T("   840510")</f>
        <v xml:space="preserve">   840510</v>
      </c>
      <c r="B6418" t="str">
        <f>T("   GENERATEURS DE GAZ A L'AIR OU DE GAZ A L'EAU, AVEC OU SANS LEURS EPURATEURS; GENERATE")</f>
        <v xml:space="preserve">   GENERATEURS DE GAZ A L'AIR OU DE GAZ A L'EAU, AVEC OU SANS LEURS EPURATEURS; GENERATE</v>
      </c>
      <c r="C6418" s="4">
        <v>5</v>
      </c>
      <c r="D6418" s="4">
        <v>145530</v>
      </c>
    </row>
    <row r="6419" spans="1:4" x14ac:dyDescent="0.25">
      <c r="A6419" t="str">
        <f>T("   870323")</f>
        <v xml:space="preserve">   870323</v>
      </c>
      <c r="B6419" t="str">
        <f>T("   D’UNE CYLINDREE EXCEDANT 1.500 CM³ MAIS N’EXCEDANT PAS 3.000 CM³")</f>
        <v xml:space="preserve">   D’UNE CYLINDREE EXCEDANT 1.500 CM³ MAIS N’EXCEDANT PAS 3.000 CM³</v>
      </c>
      <c r="C6419" s="4">
        <v>2100</v>
      </c>
      <c r="D6419" s="4">
        <v>19763204</v>
      </c>
    </row>
    <row r="6420" spans="1:4" x14ac:dyDescent="0.25">
      <c r="A6420" t="str">
        <f>T("   940350")</f>
        <v xml:space="preserve">   940350</v>
      </c>
      <c r="B6420" t="str">
        <f>T("   MEUBLES EN BOIS DES TYPES UTILISES DANS LES CHAMBRES A COUCHER")</f>
        <v xml:space="preserve">   MEUBLES EN BOIS DES TYPES UTILISES DANS LES CHAMBRES A COUCHER</v>
      </c>
      <c r="C6420" s="4">
        <v>500</v>
      </c>
      <c r="D6420" s="4">
        <v>1000000</v>
      </c>
    </row>
    <row r="6421" spans="1:4" s="5" customFormat="1" x14ac:dyDescent="0.25">
      <c r="A6421" s="5" t="str">
        <f>T("   ZZ_Total_Produit_SH6")</f>
        <v xml:space="preserve">   ZZ_Total_Produit_SH6</v>
      </c>
      <c r="B6421" s="5" t="str">
        <f>T("   ZZ_Total_Produit_SH6")</f>
        <v xml:space="preserve">   ZZ_Total_Produit_SH6</v>
      </c>
      <c r="C6421" s="1">
        <v>4599914</v>
      </c>
      <c r="D6421" s="1">
        <v>1626902973</v>
      </c>
    </row>
    <row r="6422" spans="1:4" s="5" customFormat="1" x14ac:dyDescent="0.25">
      <c r="B6422" s="5" t="str">
        <f>T("Grèce")</f>
        <v>Grèce</v>
      </c>
      <c r="C6422" s="1"/>
      <c r="D6422" s="1"/>
    </row>
    <row r="6423" spans="1:4" x14ac:dyDescent="0.25">
      <c r="A6423" t="str">
        <f>T("   252310")</f>
        <v xml:space="preserve">   252310</v>
      </c>
      <c r="B6423" t="str">
        <f>T("   CIMENTS NON PULVERISES DITS «CLINKERS»")</f>
        <v xml:space="preserve">   CIMENTS NON PULVERISES DITS «CLINKERS»</v>
      </c>
      <c r="C6423" s="4">
        <v>40000000</v>
      </c>
      <c r="D6423" s="4">
        <v>1400000000</v>
      </c>
    </row>
    <row r="6424" spans="1:4" x14ac:dyDescent="0.25">
      <c r="A6424" t="str">
        <f>T("   271113")</f>
        <v xml:space="preserve">   271113</v>
      </c>
      <c r="B6424" t="str">
        <f>T("   BUTANES")</f>
        <v xml:space="preserve">   BUTANES</v>
      </c>
      <c r="C6424" s="4">
        <v>8755</v>
      </c>
      <c r="D6424" s="4">
        <v>16128000</v>
      </c>
    </row>
    <row r="6425" spans="1:4" x14ac:dyDescent="0.25">
      <c r="A6425" t="str">
        <f>T("   392620")</f>
        <v xml:space="preserve">   392620</v>
      </c>
      <c r="B6425" t="str">
        <f>T("   VETEMENTS ET ACCESSOIRES DU VETEMENT (Y COMPRIS LES GANTS, MITAINES ET MOUFLES)")</f>
        <v xml:space="preserve">   VETEMENTS ET ACCESSOIRES DU VETEMENT (Y COMPRIS LES GANTS, MITAINES ET MOUFLES)</v>
      </c>
      <c r="C6425" s="4">
        <v>37</v>
      </c>
      <c r="D6425" s="4">
        <v>194367</v>
      </c>
    </row>
    <row r="6426" spans="1:4" x14ac:dyDescent="0.25">
      <c r="A6426" t="str">
        <f>T("   840999")</f>
        <v xml:space="preserve">   840999</v>
      </c>
      <c r="B6426" t="str">
        <f>T("   AUTRES")</f>
        <v xml:space="preserve">   AUTRES</v>
      </c>
      <c r="C6426" s="4">
        <v>393</v>
      </c>
      <c r="D6426" s="4">
        <v>1174442</v>
      </c>
    </row>
    <row r="6427" spans="1:4" x14ac:dyDescent="0.25">
      <c r="A6427" t="str">
        <f>T("   847330")</f>
        <v xml:space="preserve">   847330</v>
      </c>
      <c r="B6427" t="str">
        <f>T("   PARTIES ET ACCESSOIRES DES MACHINES DU N° 84.71")</f>
        <v xml:space="preserve">   PARTIES ET ACCESSOIRES DES MACHINES DU N° 84.71</v>
      </c>
      <c r="C6427" s="4">
        <v>2</v>
      </c>
      <c r="D6427" s="4">
        <v>204791</v>
      </c>
    </row>
    <row r="6428" spans="1:4" x14ac:dyDescent="0.25">
      <c r="A6428" t="str">
        <f>T("   852321")</f>
        <v xml:space="preserve">   852321</v>
      </c>
      <c r="B6428" t="str">
        <f>T("   CARTES MUNIES D'UNE PISTE MAGNETIQUE")</f>
        <v xml:space="preserve">   CARTES MUNIES D'UNE PISTE MAGNETIQUE</v>
      </c>
      <c r="C6428" s="4">
        <v>1</v>
      </c>
      <c r="D6428" s="4">
        <v>1126436</v>
      </c>
    </row>
    <row r="6429" spans="1:4" x14ac:dyDescent="0.25">
      <c r="A6429" t="str">
        <f>T("   852550")</f>
        <v xml:space="preserve">   852550</v>
      </c>
      <c r="B6429" t="str">
        <f>T("   APPAREILS D'EMISSION")</f>
        <v xml:space="preserve">   APPAREILS D'EMISSION</v>
      </c>
      <c r="C6429" s="4">
        <v>23</v>
      </c>
      <c r="D6429" s="4">
        <v>14513115</v>
      </c>
    </row>
    <row r="6430" spans="1:4" x14ac:dyDescent="0.25">
      <c r="A6430" t="str">
        <f>T("   854411")</f>
        <v xml:space="preserve">   854411</v>
      </c>
      <c r="B6430" t="str">
        <f>T("   EN CUIVRE")</f>
        <v xml:space="preserve">   EN CUIVRE</v>
      </c>
      <c r="C6430" s="4">
        <v>6597</v>
      </c>
      <c r="D6430" s="4">
        <v>5984710</v>
      </c>
    </row>
    <row r="6431" spans="1:4" x14ac:dyDescent="0.25">
      <c r="A6431" t="str">
        <f>T("   902000")</f>
        <v xml:space="preserve">   902000</v>
      </c>
      <c r="B6431" t="str">
        <f>T("   AUTRES APPAREILS RESPIRATOIRES ET MASQUES A GAZ, A L'EXCLUSION DES MASQUES DE PROTECTIO")</f>
        <v xml:space="preserve">   AUTRES APPAREILS RESPIRATOIRES ET MASQUES A GAZ, A L'EXCLUSION DES MASQUES DE PROTECTIO</v>
      </c>
      <c r="C6431" s="4">
        <v>48</v>
      </c>
      <c r="D6431" s="4">
        <v>336199</v>
      </c>
    </row>
    <row r="6432" spans="1:4" s="5" customFormat="1" x14ac:dyDescent="0.25">
      <c r="A6432" s="5" t="str">
        <f>T("   ZZ_Total_Produit_SH6")</f>
        <v xml:space="preserve">   ZZ_Total_Produit_SH6</v>
      </c>
      <c r="B6432" s="5" t="str">
        <f>T("   ZZ_Total_Produit_SH6")</f>
        <v xml:space="preserve">   ZZ_Total_Produit_SH6</v>
      </c>
      <c r="C6432" s="1">
        <v>40015856</v>
      </c>
      <c r="D6432" s="1">
        <v>1439662060</v>
      </c>
    </row>
    <row r="6433" spans="1:4" s="5" customFormat="1" x14ac:dyDescent="0.25">
      <c r="B6433" s="5" t="str">
        <f>T("Guatemala")</f>
        <v>Guatemala</v>
      </c>
      <c r="C6433" s="1"/>
      <c r="D6433" s="1"/>
    </row>
    <row r="6434" spans="1:4" x14ac:dyDescent="0.25">
      <c r="A6434" t="str">
        <f>T("   170199")</f>
        <v xml:space="preserve">   170199</v>
      </c>
      <c r="B6434" t="str">
        <f>T("   AUTRES")</f>
        <v xml:space="preserve">   AUTRES</v>
      </c>
      <c r="C6434" s="4">
        <v>1060000</v>
      </c>
      <c r="D6434" s="4">
        <v>229139022.54499999</v>
      </c>
    </row>
    <row r="6435" spans="1:4" x14ac:dyDescent="0.25">
      <c r="A6435" t="str">
        <f>T("   441820")</f>
        <v xml:space="preserve">   441820</v>
      </c>
      <c r="B6435" t="str">
        <f>T("   PORTES ET LEURS CADRES, CHAMBRANLES ET SEUILS")</f>
        <v xml:space="preserve">   PORTES ET LEURS CADRES, CHAMBRANLES ET SEUILS</v>
      </c>
      <c r="C6435" s="4">
        <v>6795</v>
      </c>
      <c r="D6435" s="4">
        <v>4073271</v>
      </c>
    </row>
    <row r="6436" spans="1:4" s="5" customFormat="1" x14ac:dyDescent="0.25">
      <c r="A6436" s="5" t="str">
        <f>T("   ZZ_Total_Produit_SH6")</f>
        <v xml:space="preserve">   ZZ_Total_Produit_SH6</v>
      </c>
      <c r="B6436" s="5" t="str">
        <f>T("   ZZ_Total_Produit_SH6")</f>
        <v xml:space="preserve">   ZZ_Total_Produit_SH6</v>
      </c>
      <c r="C6436" s="1">
        <v>1066795</v>
      </c>
      <c r="D6436" s="1">
        <v>233212293.54499999</v>
      </c>
    </row>
    <row r="6437" spans="1:4" s="5" customFormat="1" x14ac:dyDescent="0.25">
      <c r="B6437" s="5" t="str">
        <f>T("Guinée-Bissau")</f>
        <v>Guinée-Bissau</v>
      </c>
      <c r="C6437" s="1"/>
      <c r="D6437" s="1"/>
    </row>
    <row r="6438" spans="1:4" x14ac:dyDescent="0.25">
      <c r="A6438" t="str">
        <f>T("   030379")</f>
        <v xml:space="preserve">   030379</v>
      </c>
      <c r="B6438" t="str">
        <f>T("   AUTRES POISSONS ENTIERS CONGELES.(FOIES,OEUFS,LAITANCES EXCLUS)")</f>
        <v xml:space="preserve">   AUTRES POISSONS ENTIERS CONGELES.(FOIES,OEUFS,LAITANCES EXCLUS)</v>
      </c>
      <c r="C6438" s="4">
        <v>1144554</v>
      </c>
      <c r="D6438" s="4">
        <v>257524650</v>
      </c>
    </row>
    <row r="6439" spans="1:4" x14ac:dyDescent="0.25">
      <c r="A6439" t="str">
        <f>T("   870829")</f>
        <v xml:space="preserve">   870829</v>
      </c>
      <c r="B6439" t="str">
        <f>T("   AUTRES")</f>
        <v xml:space="preserve">   AUTRES</v>
      </c>
      <c r="C6439" s="4">
        <v>15</v>
      </c>
      <c r="D6439" s="4">
        <v>190000</v>
      </c>
    </row>
    <row r="6440" spans="1:4" s="5" customFormat="1" x14ac:dyDescent="0.25">
      <c r="A6440" s="5" t="str">
        <f>T("   ZZ_Total_Produit_SH6")</f>
        <v xml:space="preserve">   ZZ_Total_Produit_SH6</v>
      </c>
      <c r="B6440" s="5" t="str">
        <f>T("   ZZ_Total_Produit_SH6")</f>
        <v xml:space="preserve">   ZZ_Total_Produit_SH6</v>
      </c>
      <c r="C6440" s="1">
        <v>1144569</v>
      </c>
      <c r="D6440" s="1">
        <v>257714650</v>
      </c>
    </row>
    <row r="6441" spans="1:4" s="5" customFormat="1" x14ac:dyDescent="0.25">
      <c r="B6441" s="5" t="str">
        <f>T("Hong-Kong")</f>
        <v>Hong-Kong</v>
      </c>
      <c r="C6441" s="1"/>
      <c r="D6441" s="1"/>
    </row>
    <row r="6442" spans="1:4" x14ac:dyDescent="0.25">
      <c r="A6442" t="str">
        <f>T("   040210")</f>
        <v xml:space="preserve">   040210</v>
      </c>
      <c r="B6442" t="str">
        <f>T("   EN POUDRE, EN GRANULES OU SOUS D’AUTRES FORMES SOLIDES, D’UNE TENEUR EN POIDS DE MATI")</f>
        <v xml:space="preserve">   EN POUDRE, EN GRANULES OU SOUS D’AUTRES FORMES SOLIDES, D’UNE TENEUR EN POIDS DE MATI</v>
      </c>
      <c r="C6442" s="4">
        <v>78012</v>
      </c>
      <c r="D6442" s="4">
        <v>235698139</v>
      </c>
    </row>
    <row r="6443" spans="1:4" x14ac:dyDescent="0.25">
      <c r="A6443" t="str">
        <f>T("   040229")</f>
        <v xml:space="preserve">   040229</v>
      </c>
      <c r="B6443" t="str">
        <f>T("   AUTRES")</f>
        <v xml:space="preserve">   AUTRES</v>
      </c>
      <c r="C6443" s="4">
        <v>25400</v>
      </c>
      <c r="D6443" s="4">
        <v>46647283</v>
      </c>
    </row>
    <row r="6444" spans="1:4" x14ac:dyDescent="0.25">
      <c r="A6444" t="str">
        <f>T("   070320")</f>
        <v xml:space="preserve">   070320</v>
      </c>
      <c r="B6444" t="str">
        <f>T("   AULX")</f>
        <v xml:space="preserve">   AULX</v>
      </c>
      <c r="C6444" s="4">
        <v>26500</v>
      </c>
      <c r="D6444" s="4">
        <v>4000000</v>
      </c>
    </row>
    <row r="6445" spans="1:4" x14ac:dyDescent="0.25">
      <c r="A6445" t="str">
        <f>T("   090230")</f>
        <v xml:space="preserve">   090230</v>
      </c>
      <c r="B6445" t="str">
        <f>T("   THE NOIR (FERMENTE) ET THE PARTIELLEMENT FERMENTE, PRESENTES EN EMBALLAGES IMMEDIATS")</f>
        <v xml:space="preserve">   THE NOIR (FERMENTE) ET THE PARTIELLEMENT FERMENTE, PRESENTES EN EMBALLAGES IMMEDIATS</v>
      </c>
      <c r="C6445" s="4">
        <v>4320</v>
      </c>
      <c r="D6445" s="4">
        <v>4654546</v>
      </c>
    </row>
    <row r="6446" spans="1:4" x14ac:dyDescent="0.25">
      <c r="A6446" t="str">
        <f>T("   100590")</f>
        <v xml:space="preserve">   100590</v>
      </c>
      <c r="B6446" t="str">
        <f>T("   AUTRE")</f>
        <v xml:space="preserve">   AUTRE</v>
      </c>
      <c r="C6446" s="4">
        <v>72580</v>
      </c>
      <c r="D6446" s="4">
        <v>17496065</v>
      </c>
    </row>
    <row r="6447" spans="1:4" x14ac:dyDescent="0.25">
      <c r="A6447" t="str">
        <f>T("   100610")</f>
        <v xml:space="preserve">   100610</v>
      </c>
      <c r="B6447" t="str">
        <f>T("   RIZ EN PAILLE (RIZ PADDY)")</f>
        <v xml:space="preserve">   RIZ EN PAILLE (RIZ PADDY)</v>
      </c>
      <c r="C6447" s="4">
        <v>130330</v>
      </c>
      <c r="D6447" s="4">
        <v>26066000</v>
      </c>
    </row>
    <row r="6448" spans="1:4" x14ac:dyDescent="0.25">
      <c r="A6448" t="str">
        <f>T("   100630")</f>
        <v xml:space="preserve">   100630</v>
      </c>
      <c r="B6448" t="str">
        <f>T("   RIZ SEMIBLANCHI OU BLANCHI, MEME POLI OU GLACE")</f>
        <v xml:space="preserve">   RIZ SEMIBLANCHI OU BLANCHI, MEME POLI OU GLACE</v>
      </c>
      <c r="C6448" s="4">
        <v>5542616</v>
      </c>
      <c r="D6448" s="4">
        <v>2309527905</v>
      </c>
    </row>
    <row r="6449" spans="1:4" x14ac:dyDescent="0.25">
      <c r="A6449" t="str">
        <f>T("   100640")</f>
        <v xml:space="preserve">   100640</v>
      </c>
      <c r="B6449" t="str">
        <f>T("   RIZ EN BRISURES")</f>
        <v xml:space="preserve">   RIZ EN BRISURES</v>
      </c>
      <c r="C6449" s="4">
        <v>6308887</v>
      </c>
      <c r="D6449" s="4">
        <v>2349351794.98</v>
      </c>
    </row>
    <row r="6450" spans="1:4" x14ac:dyDescent="0.25">
      <c r="A6450" t="str">
        <f>T("   151190")</f>
        <v xml:space="preserve">   151190</v>
      </c>
      <c r="B6450" t="str">
        <f>T("   AUTRES")</f>
        <v xml:space="preserve">   AUTRES</v>
      </c>
      <c r="C6450" s="4">
        <v>1014140</v>
      </c>
      <c r="D6450" s="4">
        <v>392352542.20999998</v>
      </c>
    </row>
    <row r="6451" spans="1:4" x14ac:dyDescent="0.25">
      <c r="A6451" t="str">
        <f>T("   151620")</f>
        <v xml:space="preserve">   151620</v>
      </c>
      <c r="B6451" t="str">
        <f>T("   GRAISSES ET HUILES VEGETALES ET LEURS FRACTIONS")</f>
        <v xml:space="preserve">   GRAISSES ET HUILES VEGETALES ET LEURS FRACTIONS</v>
      </c>
      <c r="C6451" s="4">
        <v>1178717</v>
      </c>
      <c r="D6451" s="4">
        <v>336155000</v>
      </c>
    </row>
    <row r="6452" spans="1:4" x14ac:dyDescent="0.25">
      <c r="A6452" t="str">
        <f>T("   151710")</f>
        <v xml:space="preserve">   151710</v>
      </c>
      <c r="B6452" t="str">
        <f>T("   Margarine, a l'exclusion de la margarine liquide")</f>
        <v xml:space="preserve">   Margarine, a l'exclusion de la margarine liquide</v>
      </c>
      <c r="C6452" s="4">
        <v>31835</v>
      </c>
      <c r="D6452" s="4">
        <v>11525500</v>
      </c>
    </row>
    <row r="6453" spans="1:4" x14ac:dyDescent="0.25">
      <c r="A6453" t="str">
        <f>T("   151790")</f>
        <v xml:space="preserve">   151790</v>
      </c>
      <c r="B6453" t="str">
        <f>T("   AUTRES")</f>
        <v xml:space="preserve">   AUTRES</v>
      </c>
      <c r="C6453" s="4">
        <v>21479</v>
      </c>
      <c r="D6453" s="4">
        <v>6300000</v>
      </c>
    </row>
    <row r="6454" spans="1:4" x14ac:dyDescent="0.25">
      <c r="A6454" t="str">
        <f>T("   170199")</f>
        <v xml:space="preserve">   170199</v>
      </c>
      <c r="B6454" t="str">
        <f>T("   AUTRES")</f>
        <v xml:space="preserve">   AUTRES</v>
      </c>
      <c r="C6454" s="4">
        <v>729600</v>
      </c>
      <c r="D6454" s="4">
        <v>327690498</v>
      </c>
    </row>
    <row r="6455" spans="1:4" x14ac:dyDescent="0.25">
      <c r="A6455" t="str">
        <f>T("   170290")</f>
        <v xml:space="preserve">   170290</v>
      </c>
      <c r="B6455" t="str">
        <f>T("   AUTRES, Y COMPRIS LE SUCRE INVERTI (OU INTERVERTI) ET LES AUTRES SUCRES ET SIROPS DE")</f>
        <v xml:space="preserve">   AUTRES, Y COMPRIS LE SUCRE INVERTI (OU INTERVERTI) ET LES AUTRES SUCRES ET SIROPS DE</v>
      </c>
      <c r="C6455" s="4">
        <v>505</v>
      </c>
      <c r="D6455" s="4">
        <v>1058029</v>
      </c>
    </row>
    <row r="6456" spans="1:4" x14ac:dyDescent="0.25">
      <c r="A6456" t="str">
        <f>T("   170490")</f>
        <v xml:space="preserve">   170490</v>
      </c>
      <c r="B6456" t="str">
        <f>T("   AUTRES")</f>
        <v xml:space="preserve">   AUTRES</v>
      </c>
      <c r="C6456" s="4">
        <v>57000</v>
      </c>
      <c r="D6456" s="4">
        <v>10232338</v>
      </c>
    </row>
    <row r="6457" spans="1:4" x14ac:dyDescent="0.25">
      <c r="A6457" t="str">
        <f>T("   180610")</f>
        <v xml:space="preserve">   180610</v>
      </c>
      <c r="B6457" t="str">
        <f>T("   POUDRE DE CACAO, AVEC ADDITION DE SUCRE OU D'AUTRES EDULCORANTS")</f>
        <v xml:space="preserve">   POUDRE DE CACAO, AVEC ADDITION DE SUCRE OU D'AUTRES EDULCORANTS</v>
      </c>
      <c r="C6457" s="4">
        <v>38688</v>
      </c>
      <c r="D6457" s="4">
        <v>21790917</v>
      </c>
    </row>
    <row r="6458" spans="1:4" x14ac:dyDescent="0.25">
      <c r="A6458" t="str">
        <f>T("   180620")</f>
        <v xml:space="preserve">   180620</v>
      </c>
      <c r="B6458" t="str">
        <f>T("   AUTRES PREPARATIONS PRESENTEES SOIT EN BLOCS OU EN BARRES D'UN POIDS EXCEDANT 2 KG, S")</f>
        <v xml:space="preserve">   AUTRES PREPARATIONS PRESENTEES SOIT EN BLOCS OU EN BARRES D'UN POIDS EXCEDANT 2 KG, S</v>
      </c>
      <c r="C6458" s="4">
        <v>409632</v>
      </c>
      <c r="D6458" s="4">
        <v>245673590</v>
      </c>
    </row>
    <row r="6459" spans="1:4" x14ac:dyDescent="0.25">
      <c r="A6459" t="str">
        <f>T("   190190")</f>
        <v xml:space="preserve">   190190</v>
      </c>
      <c r="B6459" t="str">
        <f>T("   AUTRES")</f>
        <v xml:space="preserve">   AUTRES</v>
      </c>
      <c r="C6459" s="4">
        <v>2002800</v>
      </c>
      <c r="D6459" s="4">
        <v>703600173</v>
      </c>
    </row>
    <row r="6460" spans="1:4" x14ac:dyDescent="0.25">
      <c r="A6460" t="str">
        <f>T("   190219")</f>
        <v xml:space="preserve">   190219</v>
      </c>
      <c r="B6460" t="str">
        <f>T("   AUTRES")</f>
        <v xml:space="preserve">   AUTRES</v>
      </c>
      <c r="C6460" s="4">
        <v>1063450</v>
      </c>
      <c r="D6460" s="4">
        <v>245449391</v>
      </c>
    </row>
    <row r="6461" spans="1:4" x14ac:dyDescent="0.25">
      <c r="A6461" t="str">
        <f>T("   190531")</f>
        <v xml:space="preserve">   190531</v>
      </c>
      <c r="B6461" t="str">
        <f>T("   BISCUITS ADDITIONNES D’EDULCORANTS")</f>
        <v xml:space="preserve">   BISCUITS ADDITIONNES D’EDULCORANTS</v>
      </c>
      <c r="C6461" s="4">
        <v>20903</v>
      </c>
      <c r="D6461" s="4">
        <v>3665000</v>
      </c>
    </row>
    <row r="6462" spans="1:4" x14ac:dyDescent="0.25">
      <c r="A6462" t="str">
        <f>T("   200290")</f>
        <v xml:space="preserve">   200290</v>
      </c>
      <c r="B6462" t="str">
        <f>T("   AUTRES")</f>
        <v xml:space="preserve">   AUTRES</v>
      </c>
      <c r="C6462" s="4">
        <v>4717994.2</v>
      </c>
      <c r="D6462" s="4">
        <v>1552422217</v>
      </c>
    </row>
    <row r="6463" spans="1:4" x14ac:dyDescent="0.25">
      <c r="A6463" t="str">
        <f>T("   200540")</f>
        <v xml:space="preserve">   200540</v>
      </c>
      <c r="B6463" t="str">
        <f>T("   POIS (PISUM SATIVUM)")</f>
        <v xml:space="preserve">   POIS (PISUM SATIVUM)</v>
      </c>
      <c r="C6463" s="4">
        <v>50666</v>
      </c>
      <c r="D6463" s="4">
        <v>16975017</v>
      </c>
    </row>
    <row r="6464" spans="1:4" x14ac:dyDescent="0.25">
      <c r="A6464" t="str">
        <f>T("   200919")</f>
        <v xml:space="preserve">   200919</v>
      </c>
      <c r="B6464" t="str">
        <f>T("   AUTRES")</f>
        <v xml:space="preserve">   AUTRES</v>
      </c>
      <c r="C6464" s="4">
        <v>64530</v>
      </c>
      <c r="D6464" s="4">
        <v>9830850</v>
      </c>
    </row>
    <row r="6465" spans="1:4" x14ac:dyDescent="0.25">
      <c r="A6465" t="str">
        <f>T("   210210")</f>
        <v xml:space="preserve">   210210</v>
      </c>
      <c r="B6465" t="str">
        <f>T("   Levures vivantes")</f>
        <v xml:space="preserve">   Levures vivantes</v>
      </c>
      <c r="C6465" s="4">
        <v>105021</v>
      </c>
      <c r="D6465" s="4">
        <v>140609545</v>
      </c>
    </row>
    <row r="6466" spans="1:4" x14ac:dyDescent="0.25">
      <c r="A6466" t="str">
        <f>T("   210390")</f>
        <v xml:space="preserve">   210390</v>
      </c>
      <c r="B6466" t="str">
        <f t="shared" ref="B6466:B6471" si="2">T("   AUTRES")</f>
        <v xml:space="preserve">   AUTRES</v>
      </c>
      <c r="C6466" s="4">
        <v>738488</v>
      </c>
      <c r="D6466" s="4">
        <v>350087412</v>
      </c>
    </row>
    <row r="6467" spans="1:4" x14ac:dyDescent="0.25">
      <c r="A6467" t="str">
        <f>T("   210690")</f>
        <v xml:space="preserve">   210690</v>
      </c>
      <c r="B6467" t="str">
        <f t="shared" si="2"/>
        <v xml:space="preserve">   AUTRES</v>
      </c>
      <c r="C6467" s="4">
        <v>14653</v>
      </c>
      <c r="D6467" s="4">
        <v>13309756</v>
      </c>
    </row>
    <row r="6468" spans="1:4" x14ac:dyDescent="0.25">
      <c r="A6468" t="str">
        <f>T("   220290")</f>
        <v xml:space="preserve">   220290</v>
      </c>
      <c r="B6468" t="str">
        <f t="shared" si="2"/>
        <v xml:space="preserve">   AUTRES</v>
      </c>
      <c r="C6468" s="4">
        <v>25880</v>
      </c>
      <c r="D6468" s="4">
        <v>13090482</v>
      </c>
    </row>
    <row r="6469" spans="1:4" x14ac:dyDescent="0.25">
      <c r="A6469" t="str">
        <f>T("   271019")</f>
        <v xml:space="preserve">   271019</v>
      </c>
      <c r="B6469" t="str">
        <f t="shared" si="2"/>
        <v xml:space="preserve">   AUTRES</v>
      </c>
      <c r="C6469" s="4">
        <v>1730</v>
      </c>
      <c r="D6469" s="4">
        <v>199617</v>
      </c>
    </row>
    <row r="6470" spans="1:4" x14ac:dyDescent="0.25">
      <c r="A6470" t="str">
        <f>T("   300490")</f>
        <v xml:space="preserve">   300490</v>
      </c>
      <c r="B6470" t="str">
        <f t="shared" si="2"/>
        <v xml:space="preserve">   AUTRES</v>
      </c>
      <c r="C6470" s="4">
        <v>1003</v>
      </c>
      <c r="D6470" s="4">
        <v>3248450</v>
      </c>
    </row>
    <row r="6471" spans="1:4" x14ac:dyDescent="0.25">
      <c r="A6471" t="str">
        <f>T("   300590")</f>
        <v xml:space="preserve">   300590</v>
      </c>
      <c r="B6471" t="str">
        <f t="shared" si="2"/>
        <v xml:space="preserve">   AUTRES</v>
      </c>
      <c r="C6471" s="4">
        <v>78</v>
      </c>
      <c r="D6471" s="4">
        <v>692573</v>
      </c>
    </row>
    <row r="6472" spans="1:4" x14ac:dyDescent="0.25">
      <c r="A6472" t="str">
        <f>T("   300630")</f>
        <v xml:space="preserve">   300630</v>
      </c>
      <c r="B6472" t="str">
        <f>T("   PREPARATIONS OPACIFIANTES POUR EXAMENS RADIOGRAPHIQUES; REACTIFS DE DIAGNOSTIC CONCUS")</f>
        <v xml:space="preserve">   PREPARATIONS OPACIFIANTES POUR EXAMENS RADIOGRAPHIQUES; REACTIFS DE DIAGNOSTIC CONCUS</v>
      </c>
      <c r="C6472" s="4">
        <v>4001</v>
      </c>
      <c r="D6472" s="4">
        <v>9987147</v>
      </c>
    </row>
    <row r="6473" spans="1:4" x14ac:dyDescent="0.25">
      <c r="A6473" t="str">
        <f>T("   321410")</f>
        <v xml:space="preserve">   321410</v>
      </c>
      <c r="B6473" t="str">
        <f>T("   MASTIC DE VITRIER, CIMENTS DE RESINE ET AUTRES MASTICS; ENDUITS UTILISES EN PEINTURE")</f>
        <v xml:space="preserve">   MASTIC DE VITRIER, CIMENTS DE RESINE ET AUTRES MASTICS; ENDUITS UTILISES EN PEINTURE</v>
      </c>
      <c r="C6473" s="4">
        <v>136</v>
      </c>
      <c r="D6473" s="4">
        <v>130185</v>
      </c>
    </row>
    <row r="6474" spans="1:4" x14ac:dyDescent="0.25">
      <c r="A6474" t="str">
        <f>T("   330119")</f>
        <v xml:space="preserve">   330119</v>
      </c>
      <c r="B6474" t="str">
        <f>T("   AUTRES")</f>
        <v xml:space="preserve">   AUTRES</v>
      </c>
      <c r="C6474" s="4">
        <v>4171</v>
      </c>
      <c r="D6474" s="4">
        <v>3327439</v>
      </c>
    </row>
    <row r="6475" spans="1:4" x14ac:dyDescent="0.25">
      <c r="A6475" t="str">
        <f>T("   330190")</f>
        <v xml:space="preserve">   330190</v>
      </c>
      <c r="B6475" t="str">
        <f>T("   AUTRES")</f>
        <v xml:space="preserve">   AUTRES</v>
      </c>
      <c r="C6475" s="4">
        <v>3200</v>
      </c>
      <c r="D6475" s="4">
        <v>8559330</v>
      </c>
    </row>
    <row r="6476" spans="1:4" x14ac:dyDescent="0.25">
      <c r="A6476" t="str">
        <f>T("   330300")</f>
        <v xml:space="preserve">   330300</v>
      </c>
      <c r="B6476" t="str">
        <f>T("   PARFUMS ET EAUX DE TOILETTE.")</f>
        <v xml:space="preserve">   PARFUMS ET EAUX DE TOILETTE.</v>
      </c>
      <c r="C6476" s="4">
        <v>13994</v>
      </c>
      <c r="D6476" s="4">
        <v>5024688</v>
      </c>
    </row>
    <row r="6477" spans="1:4" x14ac:dyDescent="0.25">
      <c r="A6477" t="str">
        <f>T("   330499")</f>
        <v xml:space="preserve">   330499</v>
      </c>
      <c r="B6477" t="str">
        <f>T("   AUTRES")</f>
        <v xml:space="preserve">   AUTRES</v>
      </c>
      <c r="C6477" s="4">
        <v>1038</v>
      </c>
      <c r="D6477" s="4">
        <v>1078561</v>
      </c>
    </row>
    <row r="6478" spans="1:4" x14ac:dyDescent="0.25">
      <c r="A6478" t="str">
        <f>T("   330510")</f>
        <v xml:space="preserve">   330510</v>
      </c>
      <c r="B6478" t="str">
        <f>T("   Shampooings")</f>
        <v xml:space="preserve">   Shampooings</v>
      </c>
      <c r="C6478" s="4">
        <v>406</v>
      </c>
      <c r="D6478" s="4">
        <v>768785</v>
      </c>
    </row>
    <row r="6479" spans="1:4" x14ac:dyDescent="0.25">
      <c r="A6479" t="str">
        <f>T("   330730")</f>
        <v xml:space="preserve">   330730</v>
      </c>
      <c r="B6479" t="str">
        <f>T("   SELS PARFUMES ET AUTRES PREPARATIONS POUR BAINS")</f>
        <v xml:space="preserve">   SELS PARFUMES ET AUTRES PREPARATIONS POUR BAINS</v>
      </c>
      <c r="C6479" s="4">
        <v>4820</v>
      </c>
      <c r="D6479" s="4">
        <v>4308002</v>
      </c>
    </row>
    <row r="6480" spans="1:4" x14ac:dyDescent="0.25">
      <c r="A6480" t="str">
        <f>T("   330749")</f>
        <v xml:space="preserve">   330749</v>
      </c>
      <c r="B6480" t="str">
        <f>T("   AUTRES")</f>
        <v xml:space="preserve">   AUTRES</v>
      </c>
      <c r="C6480" s="4">
        <v>1707</v>
      </c>
      <c r="D6480" s="4">
        <v>2312727</v>
      </c>
    </row>
    <row r="6481" spans="1:4" x14ac:dyDescent="0.25">
      <c r="A6481" t="str">
        <f>T("   330790")</f>
        <v xml:space="preserve">   330790</v>
      </c>
      <c r="B6481" t="str">
        <f>T("   AUTRES")</f>
        <v xml:space="preserve">   AUTRES</v>
      </c>
      <c r="C6481" s="4">
        <v>28558</v>
      </c>
      <c r="D6481" s="4">
        <v>19816758</v>
      </c>
    </row>
    <row r="6482" spans="1:4" x14ac:dyDescent="0.25">
      <c r="A6482" t="str">
        <f>T("   340111")</f>
        <v xml:space="preserve">   340111</v>
      </c>
      <c r="B6482" t="str">
        <f>T("   DE TOILETTE (Y COMPRIS CEUX A USAGES MEDICAUX)")</f>
        <v xml:space="preserve">   DE TOILETTE (Y COMPRIS CEUX A USAGES MEDICAUX)</v>
      </c>
      <c r="C6482" s="4">
        <v>272768</v>
      </c>
      <c r="D6482" s="4">
        <v>79268115</v>
      </c>
    </row>
    <row r="6483" spans="1:4" x14ac:dyDescent="0.25">
      <c r="A6483" t="str">
        <f>T("   340119")</f>
        <v xml:space="preserve">   340119</v>
      </c>
      <c r="B6483" t="str">
        <f>T("   AUTRES")</f>
        <v xml:space="preserve">   AUTRES</v>
      </c>
      <c r="C6483" s="4">
        <v>32513</v>
      </c>
      <c r="D6483" s="4">
        <v>16667508</v>
      </c>
    </row>
    <row r="6484" spans="1:4" x14ac:dyDescent="0.25">
      <c r="A6484" t="str">
        <f>T("   340220")</f>
        <v xml:space="preserve">   340220</v>
      </c>
      <c r="B6484" t="str">
        <f>T("   PREPARATIONS CONDITIONNEES POUR LA VENTE AU DETAIL")</f>
        <v xml:space="preserve">   PREPARATIONS CONDITIONNEES POUR LA VENTE AU DETAIL</v>
      </c>
      <c r="C6484" s="4">
        <v>1229</v>
      </c>
      <c r="D6484" s="4">
        <v>2339809</v>
      </c>
    </row>
    <row r="6485" spans="1:4" x14ac:dyDescent="0.25">
      <c r="A6485" t="str">
        <f>T("   340290")</f>
        <v xml:space="preserve">   340290</v>
      </c>
      <c r="B6485" t="str">
        <f>T("   AUTRES")</f>
        <v xml:space="preserve">   AUTRES</v>
      </c>
      <c r="C6485" s="4">
        <v>25918</v>
      </c>
      <c r="D6485" s="4">
        <v>9721170</v>
      </c>
    </row>
    <row r="6486" spans="1:4" x14ac:dyDescent="0.25">
      <c r="A6486" t="str">
        <f>T("   340590")</f>
        <v xml:space="preserve">   340590</v>
      </c>
      <c r="B6486" t="str">
        <f>T("   AUTRES")</f>
        <v xml:space="preserve">   AUTRES</v>
      </c>
      <c r="C6486" s="4">
        <v>13745</v>
      </c>
      <c r="D6486" s="4">
        <v>24874885</v>
      </c>
    </row>
    <row r="6487" spans="1:4" x14ac:dyDescent="0.25">
      <c r="A6487" t="str">
        <f>T("   340600")</f>
        <v xml:space="preserve">   340600</v>
      </c>
      <c r="B6487" t="str">
        <f>T("   BOUGIES, CHANDELLES, CIERGES ET ARTICLES SIMILAIRES.")</f>
        <v xml:space="preserve">   BOUGIES, CHANDELLES, CIERGES ET ARTICLES SIMILAIRES.</v>
      </c>
      <c r="C6487" s="4">
        <v>39500</v>
      </c>
      <c r="D6487" s="4">
        <v>8695906</v>
      </c>
    </row>
    <row r="6488" spans="1:4" x14ac:dyDescent="0.25">
      <c r="A6488" t="str">
        <f>T("   350520")</f>
        <v xml:space="preserve">   350520</v>
      </c>
      <c r="B6488" t="str">
        <f>T("   Colles")</f>
        <v xml:space="preserve">   Colles</v>
      </c>
      <c r="C6488" s="4">
        <v>920</v>
      </c>
      <c r="D6488" s="4">
        <v>110787</v>
      </c>
    </row>
    <row r="6489" spans="1:4" x14ac:dyDescent="0.25">
      <c r="A6489" t="str">
        <f>T("   360500")</f>
        <v xml:space="preserve">   360500</v>
      </c>
      <c r="B6489" t="str">
        <f>T("   ALLUMETTES, AUTRES QUE LES ARTICLES DE PYROTECHNIE DU N° 36.04.")</f>
        <v xml:space="preserve">   ALLUMETTES, AUTRES QUE LES ARTICLES DE PYROTECHNIE DU N° 36.04.</v>
      </c>
      <c r="C6489" s="4">
        <v>177990</v>
      </c>
      <c r="D6489" s="4">
        <v>75168691</v>
      </c>
    </row>
    <row r="6490" spans="1:4" x14ac:dyDescent="0.25">
      <c r="A6490" t="str">
        <f>T("   380850")</f>
        <v xml:space="preserve">   380850</v>
      </c>
      <c r="B6490" t="str">
        <f>T("   MARCHANDISES MENTIONNEES DANS LA NOTE 1 DE SOUSPOSITIONS DU PRESENT CHAPITRE")</f>
        <v xml:space="preserve">   MARCHANDISES MENTIONNEES DANS LA NOTE 1 DE SOUSPOSITIONS DU PRESENT CHAPITRE</v>
      </c>
      <c r="C6490" s="4">
        <v>15298</v>
      </c>
      <c r="D6490" s="4">
        <v>11750843</v>
      </c>
    </row>
    <row r="6491" spans="1:4" x14ac:dyDescent="0.25">
      <c r="A6491" t="str">
        <f>T("   382200")</f>
        <v xml:space="preserve">   382200</v>
      </c>
      <c r="B6491" t="str">
        <f>T("   REACTIFS DE DIAGNOSTIC OU DE LABORATOIRE SUR TOUT SUPPORT ET REACTIFS DE DIAGNOSTIC OU")</f>
        <v xml:space="preserve">   REACTIFS DE DIAGNOSTIC OU DE LABORATOIRE SUR TOUT SUPPORT ET REACTIFS DE DIAGNOSTIC OU</v>
      </c>
      <c r="C6491" s="4">
        <v>979.4</v>
      </c>
      <c r="D6491" s="4">
        <v>25108677</v>
      </c>
    </row>
    <row r="6492" spans="1:4" x14ac:dyDescent="0.25">
      <c r="A6492" t="str">
        <f>T("   391190")</f>
        <v xml:space="preserve">   391190</v>
      </c>
      <c r="B6492" t="str">
        <f>T("   AUTRES")</f>
        <v xml:space="preserve">   AUTRES</v>
      </c>
      <c r="C6492" s="4">
        <v>219</v>
      </c>
      <c r="D6492" s="4">
        <v>11477094</v>
      </c>
    </row>
    <row r="6493" spans="1:4" x14ac:dyDescent="0.25">
      <c r="A6493" t="str">
        <f>T("   392290")</f>
        <v xml:space="preserve">   392290</v>
      </c>
      <c r="B6493" t="str">
        <f>T("   AUTRES")</f>
        <v xml:space="preserve">   AUTRES</v>
      </c>
      <c r="C6493" s="4">
        <v>8103</v>
      </c>
      <c r="D6493" s="4">
        <v>4727024</v>
      </c>
    </row>
    <row r="6494" spans="1:4" x14ac:dyDescent="0.25">
      <c r="A6494" t="str">
        <f>T("   392329")</f>
        <v xml:space="preserve">   392329</v>
      </c>
      <c r="B6494" t="str">
        <f>T("   EN AUTRES MATIERES PLASTIQUES")</f>
        <v xml:space="preserve">   EN AUTRES MATIERES PLASTIQUES</v>
      </c>
      <c r="C6494" s="4">
        <v>1204</v>
      </c>
      <c r="D6494" s="4">
        <v>1081720</v>
      </c>
    </row>
    <row r="6495" spans="1:4" x14ac:dyDescent="0.25">
      <c r="A6495" t="str">
        <f>T("   392490")</f>
        <v xml:space="preserve">   392490</v>
      </c>
      <c r="B6495" t="str">
        <f>T("   AUTRES")</f>
        <v xml:space="preserve">   AUTRES</v>
      </c>
      <c r="C6495" s="4">
        <v>2108</v>
      </c>
      <c r="D6495" s="4">
        <v>3125702</v>
      </c>
    </row>
    <row r="6496" spans="1:4" x14ac:dyDescent="0.25">
      <c r="A6496" t="str">
        <f>T("   392690")</f>
        <v xml:space="preserve">   392690</v>
      </c>
      <c r="B6496" t="str">
        <f>T("   AUTRES")</f>
        <v xml:space="preserve">   AUTRES</v>
      </c>
      <c r="C6496" s="4">
        <v>34289</v>
      </c>
      <c r="D6496" s="4">
        <v>6635666</v>
      </c>
    </row>
    <row r="6497" spans="1:4" x14ac:dyDescent="0.25">
      <c r="A6497" t="str">
        <f>T("   420229")</f>
        <v xml:space="preserve">   420229</v>
      </c>
      <c r="B6497" t="str">
        <f>T("   AUTRES")</f>
        <v xml:space="preserve">   AUTRES</v>
      </c>
      <c r="C6497" s="4">
        <v>14500</v>
      </c>
      <c r="D6497" s="4">
        <v>2000000</v>
      </c>
    </row>
    <row r="6498" spans="1:4" x14ac:dyDescent="0.25">
      <c r="A6498" t="str">
        <f>T("   420292")</f>
        <v xml:space="preserve">   420292</v>
      </c>
      <c r="B6498" t="str">
        <f>T("   A SURFACE EXTERIEURE EN FEUILLES DE MATIERES PLASTIQUES OU EN MATIERES TEXTILES")</f>
        <v xml:space="preserve">   A SURFACE EXTERIEURE EN FEUILLES DE MATIERES PLASTIQUES OU EN MATIERES TEXTILES</v>
      </c>
      <c r="C6498" s="4">
        <v>171</v>
      </c>
      <c r="D6498" s="4">
        <v>777834</v>
      </c>
    </row>
    <row r="6499" spans="1:4" x14ac:dyDescent="0.25">
      <c r="A6499" t="str">
        <f>T("   480256")</f>
        <v xml:space="preserve">   480256</v>
      </c>
      <c r="B6499" t="str">
        <f>T("   D'UN POIDS AU M² DE 40 G OU PLUS MAIS N'EXCEDANT PAS 150 G, EN FEUILLES DONT UN COTE")</f>
        <v xml:space="preserve">   D'UN POIDS AU M² DE 40 G OU PLUS MAIS N'EXCEDANT PAS 150 G, EN FEUILLES DONT UN COTE</v>
      </c>
      <c r="C6499" s="4">
        <v>18900</v>
      </c>
      <c r="D6499" s="4">
        <v>6206274</v>
      </c>
    </row>
    <row r="6500" spans="1:4" x14ac:dyDescent="0.25">
      <c r="A6500" t="str">
        <f>T("   480300")</f>
        <v xml:space="preserve">   480300</v>
      </c>
      <c r="B6500" t="str">
        <f>T("   PAPIERS DES TYPES UTILISES POUR PAPIERS DE TOILETTE, POUR SERVIETTES A DEMAQUILLER, POU")</f>
        <v xml:space="preserve">   PAPIERS DES TYPES UTILISES POUR PAPIERS DE TOILETTE, POUR SERVIETTES A DEMAQUILLER, POU</v>
      </c>
      <c r="C6500" s="4">
        <v>5250</v>
      </c>
      <c r="D6500" s="4">
        <v>7380074</v>
      </c>
    </row>
    <row r="6501" spans="1:4" x14ac:dyDescent="0.25">
      <c r="A6501" t="str">
        <f>T("   481110")</f>
        <v xml:space="preserve">   481110</v>
      </c>
      <c r="B6501" t="str">
        <f>T("   PAPIERS ET CARTONS GOUDRONNES, BITUMES OU ASPHALTES")</f>
        <v xml:space="preserve">   PAPIERS ET CARTONS GOUDRONNES, BITUMES OU ASPHALTES</v>
      </c>
      <c r="C6501" s="4">
        <v>2050</v>
      </c>
      <c r="D6501" s="4">
        <v>448943</v>
      </c>
    </row>
    <row r="6502" spans="1:4" x14ac:dyDescent="0.25">
      <c r="A6502" t="str">
        <f>T("   481810")</f>
        <v xml:space="preserve">   481810</v>
      </c>
      <c r="B6502" t="str">
        <f>T("   Papier hygienique")</f>
        <v xml:space="preserve">   Papier hygienique</v>
      </c>
      <c r="C6502" s="4">
        <v>62734</v>
      </c>
      <c r="D6502" s="4">
        <v>32770000</v>
      </c>
    </row>
    <row r="6503" spans="1:4" x14ac:dyDescent="0.25">
      <c r="A6503" t="str">
        <f>T("   481840")</f>
        <v xml:space="preserve">   481840</v>
      </c>
      <c r="B6503" t="str">
        <f>T("   SERVIETTES,TAMPONS HYGIENIQUES,COUCHES POUR BEBES ET SIMILAIRES EN PAPIER")</f>
        <v xml:space="preserve">   SERVIETTES,TAMPONS HYGIENIQUES,COUCHES POUR BEBES ET SIMILAIRES EN PAPIER</v>
      </c>
      <c r="C6503" s="4">
        <v>10509</v>
      </c>
      <c r="D6503" s="4">
        <v>4369198</v>
      </c>
    </row>
    <row r="6504" spans="1:4" x14ac:dyDescent="0.25">
      <c r="A6504" t="str">
        <f>T("   482110")</f>
        <v xml:space="preserve">   482110</v>
      </c>
      <c r="B6504" t="str">
        <f>T("   IMPRIMEES")</f>
        <v xml:space="preserve">   IMPRIMEES</v>
      </c>
      <c r="C6504" s="4">
        <v>263</v>
      </c>
      <c r="D6504" s="4">
        <v>795588</v>
      </c>
    </row>
    <row r="6505" spans="1:4" x14ac:dyDescent="0.25">
      <c r="A6505" t="str">
        <f>T("   482390")</f>
        <v xml:space="preserve">   482390</v>
      </c>
      <c r="B6505" t="str">
        <f>T("   AUTRES")</f>
        <v xml:space="preserve">   AUTRES</v>
      </c>
      <c r="C6505" s="4">
        <v>853</v>
      </c>
      <c r="D6505" s="4">
        <v>147717</v>
      </c>
    </row>
    <row r="6506" spans="1:4" x14ac:dyDescent="0.25">
      <c r="A6506" t="str">
        <f>T("   490700")</f>
        <v xml:space="preserve">   490700</v>
      </c>
      <c r="B6506" t="str">
        <f>T("   TIMBRESPOSTE, TIMBRES FISCAUX ET ANALOGUES, NON OBLITERES, AYANT COURS OU DESTINES A A")</f>
        <v xml:space="preserve">   TIMBRESPOSTE, TIMBRES FISCAUX ET ANALOGUES, NON OBLITERES, AYANT COURS OU DESTINES A A</v>
      </c>
      <c r="C6506" s="4">
        <v>21</v>
      </c>
      <c r="D6506" s="4">
        <v>107979</v>
      </c>
    </row>
    <row r="6507" spans="1:4" x14ac:dyDescent="0.25">
      <c r="A6507" t="str">
        <f>T("   491000")</f>
        <v xml:space="preserve">   491000</v>
      </c>
      <c r="B6507" t="str">
        <f>T("   CALENDRIERS DE TOUS GENRES, IMPRIMES, Y COMPRIS LES BLOCS DE CALENDRIERS A EFFEUILLER.")</f>
        <v xml:space="preserve">   CALENDRIERS DE TOUS GENRES, IMPRIMES, Y COMPRIS LES BLOCS DE CALENDRIERS A EFFEUILLER.</v>
      </c>
      <c r="C6507" s="4">
        <v>1094</v>
      </c>
      <c r="D6507" s="4">
        <v>601097</v>
      </c>
    </row>
    <row r="6508" spans="1:4" x14ac:dyDescent="0.25">
      <c r="A6508" t="str">
        <f>T("   491110")</f>
        <v xml:space="preserve">   491110</v>
      </c>
      <c r="B6508" t="str">
        <f>T("   IMPRIMES PUBLICITAIRES, CATALOGUES COMMERCIAUX ET SIMILAIRES")</f>
        <v xml:space="preserve">   IMPRIMES PUBLICITAIRES, CATALOGUES COMMERCIAUX ET SIMILAIRES</v>
      </c>
      <c r="C6508" s="4">
        <v>927</v>
      </c>
      <c r="D6508" s="4">
        <v>321791</v>
      </c>
    </row>
    <row r="6509" spans="1:4" x14ac:dyDescent="0.25">
      <c r="A6509" t="str">
        <f>T("   491199")</f>
        <v xml:space="preserve">   491199</v>
      </c>
      <c r="B6509" t="str">
        <f>T("   AUTRES")</f>
        <v xml:space="preserve">   AUTRES</v>
      </c>
      <c r="C6509" s="4">
        <v>886</v>
      </c>
      <c r="D6509" s="4">
        <v>856028</v>
      </c>
    </row>
    <row r="6510" spans="1:4" x14ac:dyDescent="0.25">
      <c r="A6510" t="str">
        <f>T("   520852")</f>
        <v xml:space="preserve">   520852</v>
      </c>
      <c r="B6510" t="str">
        <f>T("   A ARMURE TOILE, D'UN POIDS EXCEDANT 100 G/M²")</f>
        <v xml:space="preserve">   A ARMURE TOILE, D'UN POIDS EXCEDANT 100 G/M²</v>
      </c>
      <c r="C6510" s="4">
        <v>312800</v>
      </c>
      <c r="D6510" s="4">
        <v>253492984</v>
      </c>
    </row>
    <row r="6511" spans="1:4" x14ac:dyDescent="0.25">
      <c r="A6511" t="str">
        <f>T("   520859")</f>
        <v xml:space="preserve">   520859</v>
      </c>
      <c r="B6511" t="str">
        <f>T("   AUTRES TISSUS")</f>
        <v xml:space="preserve">   AUTRES TISSUS</v>
      </c>
      <c r="C6511" s="4">
        <v>221400</v>
      </c>
      <c r="D6511" s="4">
        <v>153663621</v>
      </c>
    </row>
    <row r="6512" spans="1:4" x14ac:dyDescent="0.25">
      <c r="A6512" t="str">
        <f>T("   520951")</f>
        <v xml:space="preserve">   520951</v>
      </c>
      <c r="B6512" t="str">
        <f>T("   A ARMURE TOILE")</f>
        <v xml:space="preserve">   A ARMURE TOILE</v>
      </c>
      <c r="C6512" s="4">
        <v>37014</v>
      </c>
      <c r="D6512" s="4">
        <v>21845986</v>
      </c>
    </row>
    <row r="6513" spans="1:4" x14ac:dyDescent="0.25">
      <c r="A6513" t="str">
        <f>T("   521215")</f>
        <v xml:space="preserve">   521215</v>
      </c>
      <c r="B6513" t="str">
        <f>T("   IMPRIMES")</f>
        <v xml:space="preserve">   IMPRIMES</v>
      </c>
      <c r="C6513" s="4">
        <v>18450</v>
      </c>
      <c r="D6513" s="4">
        <v>10923000</v>
      </c>
    </row>
    <row r="6514" spans="1:4" x14ac:dyDescent="0.25">
      <c r="A6514" t="str">
        <f>T("   521225")</f>
        <v xml:space="preserve">   521225</v>
      </c>
      <c r="B6514" t="str">
        <f>T("   IMPRIMES")</f>
        <v xml:space="preserve">   IMPRIMES</v>
      </c>
      <c r="C6514" s="4">
        <v>18200</v>
      </c>
      <c r="D6514" s="4">
        <v>13096241</v>
      </c>
    </row>
    <row r="6515" spans="1:4" x14ac:dyDescent="0.25">
      <c r="A6515" t="str">
        <f>T("   540752")</f>
        <v xml:space="preserve">   540752</v>
      </c>
      <c r="B6515" t="str">
        <f>T("   TEINTS")</f>
        <v xml:space="preserve">   TEINTS</v>
      </c>
      <c r="C6515" s="4">
        <v>2420</v>
      </c>
      <c r="D6515" s="4">
        <v>4370000</v>
      </c>
    </row>
    <row r="6516" spans="1:4" x14ac:dyDescent="0.25">
      <c r="A6516" t="str">
        <f>T("   540794")</f>
        <v xml:space="preserve">   540794</v>
      </c>
      <c r="B6516" t="str">
        <f>T("   IMPRIMES")</f>
        <v xml:space="preserve">   IMPRIMES</v>
      </c>
      <c r="C6516" s="4">
        <v>35760</v>
      </c>
      <c r="D6516" s="4">
        <v>34000000</v>
      </c>
    </row>
    <row r="6517" spans="1:4" x14ac:dyDescent="0.25">
      <c r="A6517" t="str">
        <f>T("   550390")</f>
        <v xml:space="preserve">   550390</v>
      </c>
      <c r="B6517" t="str">
        <f>T("   AUTRES")</f>
        <v xml:space="preserve">   AUTRES</v>
      </c>
      <c r="C6517" s="4">
        <v>2854</v>
      </c>
      <c r="D6517" s="4">
        <v>1630021</v>
      </c>
    </row>
    <row r="6518" spans="1:4" x14ac:dyDescent="0.25">
      <c r="A6518" t="str">
        <f>T("   551313")</f>
        <v xml:space="preserve">   551313</v>
      </c>
      <c r="B6518" t="str">
        <f>T("   AUTRES TISSUS DE FIBRES DISCONTINUES DE POLYESTER")</f>
        <v xml:space="preserve">   AUTRES TISSUS DE FIBRES DISCONTINUES DE POLYESTER</v>
      </c>
      <c r="C6518" s="4">
        <v>54750</v>
      </c>
      <c r="D6518" s="4">
        <v>40593684</v>
      </c>
    </row>
    <row r="6519" spans="1:4" x14ac:dyDescent="0.25">
      <c r="A6519" t="str">
        <f>T("   551349")</f>
        <v xml:space="preserve">   551349</v>
      </c>
      <c r="B6519" t="str">
        <f>T("   AUTRES TISSUS")</f>
        <v xml:space="preserve">   AUTRES TISSUS</v>
      </c>
      <c r="C6519" s="4">
        <v>36900</v>
      </c>
      <c r="D6519" s="4">
        <v>21845986</v>
      </c>
    </row>
    <row r="6520" spans="1:4" x14ac:dyDescent="0.25">
      <c r="A6520" t="str">
        <f>T("   580410")</f>
        <v xml:space="preserve">   580410</v>
      </c>
      <c r="B6520" t="str">
        <f>T("   TULLES, TULLESBOBINOTS ET TISSUS A MAILLES NOUEES")</f>
        <v xml:space="preserve">   TULLES, TULLESBOBINOTS ET TISSUS A MAILLES NOUEES</v>
      </c>
      <c r="C6520" s="4">
        <v>139</v>
      </c>
      <c r="D6520" s="4">
        <v>240000</v>
      </c>
    </row>
    <row r="6521" spans="1:4" x14ac:dyDescent="0.25">
      <c r="A6521" t="str">
        <f>T("   610341")</f>
        <v xml:space="preserve">   610341</v>
      </c>
      <c r="B6521" t="str">
        <f>T("   DE LAINE OU DE POILS FINS")</f>
        <v xml:space="preserve">   DE LAINE OU DE POILS FINS</v>
      </c>
      <c r="C6521" s="4">
        <v>12000</v>
      </c>
      <c r="D6521" s="4">
        <v>4369198</v>
      </c>
    </row>
    <row r="6522" spans="1:4" x14ac:dyDescent="0.25">
      <c r="A6522" t="str">
        <f>T("   610690")</f>
        <v xml:space="preserve">   610690</v>
      </c>
      <c r="B6522" t="str">
        <f>T("   D'AUTRES MATIERES TEXTILES")</f>
        <v xml:space="preserve">   D'AUTRES MATIERES TEXTILES</v>
      </c>
      <c r="C6522" s="4">
        <v>0.1</v>
      </c>
      <c r="D6522" s="4">
        <v>1447437</v>
      </c>
    </row>
    <row r="6523" spans="1:4" x14ac:dyDescent="0.25">
      <c r="A6523" t="str">
        <f>T("   610910")</f>
        <v xml:space="preserve">   610910</v>
      </c>
      <c r="B6523" t="str">
        <f>T("   DE COTON")</f>
        <v xml:space="preserve">   DE COTON</v>
      </c>
      <c r="C6523" s="4">
        <v>1500</v>
      </c>
      <c r="D6523" s="4">
        <v>609000</v>
      </c>
    </row>
    <row r="6524" spans="1:4" x14ac:dyDescent="0.25">
      <c r="A6524" t="str">
        <f>T("   610990")</f>
        <v xml:space="preserve">   610990</v>
      </c>
      <c r="B6524" t="str">
        <f>T("   D'AUTRES MATIERES TEXTILES")</f>
        <v xml:space="preserve">   D'AUTRES MATIERES TEXTILES</v>
      </c>
      <c r="C6524" s="4">
        <v>112</v>
      </c>
      <c r="D6524" s="4">
        <v>175000</v>
      </c>
    </row>
    <row r="6525" spans="1:4" x14ac:dyDescent="0.25">
      <c r="A6525" t="str">
        <f>T("   611120")</f>
        <v xml:space="preserve">   611120</v>
      </c>
      <c r="B6525" t="str">
        <f>T("   DE COTON")</f>
        <v xml:space="preserve">   DE COTON</v>
      </c>
      <c r="C6525" s="4">
        <v>197</v>
      </c>
      <c r="D6525" s="4">
        <v>214095</v>
      </c>
    </row>
    <row r="6526" spans="1:4" x14ac:dyDescent="0.25">
      <c r="A6526" t="str">
        <f>T("   611190")</f>
        <v xml:space="preserve">   611190</v>
      </c>
      <c r="B6526" t="str">
        <f>T("   D'AUTRES MATIERES TEXTILES")</f>
        <v xml:space="preserve">   D'AUTRES MATIERES TEXTILES</v>
      </c>
      <c r="C6526" s="4">
        <v>239</v>
      </c>
      <c r="D6526" s="4">
        <v>321760</v>
      </c>
    </row>
    <row r="6527" spans="1:4" x14ac:dyDescent="0.25">
      <c r="A6527" t="str">
        <f>T("   621040")</f>
        <v xml:space="preserve">   621040</v>
      </c>
      <c r="B6527" t="str">
        <f>T("   AUTRES VETEMENTS POUR HOMMES OU GARCONNETS")</f>
        <v xml:space="preserve">   AUTRES VETEMENTS POUR HOMMES OU GARCONNETS</v>
      </c>
      <c r="C6527" s="4">
        <v>620</v>
      </c>
      <c r="D6527" s="4">
        <v>983075</v>
      </c>
    </row>
    <row r="6528" spans="1:4" x14ac:dyDescent="0.25">
      <c r="A6528" t="str">
        <f>T("   621050")</f>
        <v xml:space="preserve">   621050</v>
      </c>
      <c r="B6528" t="str">
        <f>T("   AUTRES VETEMENTS POUR FEMMES OU FILLETTES")</f>
        <v xml:space="preserve">   AUTRES VETEMENTS POUR FEMMES OU FILLETTES</v>
      </c>
      <c r="C6528" s="4">
        <v>150</v>
      </c>
      <c r="D6528" s="4">
        <v>87350</v>
      </c>
    </row>
    <row r="6529" spans="1:4" x14ac:dyDescent="0.25">
      <c r="A6529" t="str">
        <f>T("   630510")</f>
        <v xml:space="preserve">   630510</v>
      </c>
      <c r="B6529" t="str">
        <f>T("   DE JUTE OU D'AUTRES FIBRES TEXTILES LIBERIENNES DU N° 53.03")</f>
        <v xml:space="preserve">   DE JUTE OU D'AUTRES FIBRES TEXTILES LIBERIENNES DU N° 53.03</v>
      </c>
      <c r="C6529" s="4">
        <v>55496</v>
      </c>
      <c r="D6529" s="4">
        <v>22566559</v>
      </c>
    </row>
    <row r="6530" spans="1:4" x14ac:dyDescent="0.25">
      <c r="A6530" t="str">
        <f>T("   630900")</f>
        <v xml:space="preserve">   630900</v>
      </c>
      <c r="B6530" t="str">
        <f>T("   ARTICLES DE FRIPERIE.")</f>
        <v xml:space="preserve">   ARTICLES DE FRIPERIE.</v>
      </c>
      <c r="C6530" s="4">
        <v>22600</v>
      </c>
      <c r="D6530" s="4">
        <v>10567612</v>
      </c>
    </row>
    <row r="6531" spans="1:4" x14ac:dyDescent="0.25">
      <c r="A6531" t="str">
        <f>T("   631090")</f>
        <v xml:space="preserve">   631090</v>
      </c>
      <c r="B6531" t="str">
        <f>T("   AUTRES")</f>
        <v xml:space="preserve">   AUTRES</v>
      </c>
      <c r="C6531" s="4">
        <v>2076</v>
      </c>
      <c r="D6531" s="4">
        <v>2033626</v>
      </c>
    </row>
    <row r="6532" spans="1:4" x14ac:dyDescent="0.25">
      <c r="A6532" t="str">
        <f>T("   640590")</f>
        <v xml:space="preserve">   640590</v>
      </c>
      <c r="B6532" t="str">
        <f>T("   AUTRES")</f>
        <v xml:space="preserve">   AUTRES</v>
      </c>
      <c r="C6532" s="4">
        <v>19195</v>
      </c>
      <c r="D6532" s="4">
        <v>7563219</v>
      </c>
    </row>
    <row r="6533" spans="1:4" x14ac:dyDescent="0.25">
      <c r="A6533" t="str">
        <f>T("   650590")</f>
        <v xml:space="preserve">   650590</v>
      </c>
      <c r="B6533" t="str">
        <f>T("   AUTRES COIFFURES EN MATIERES TEXTILES,EN PIECES(MAIS NON EN BANDES)")</f>
        <v xml:space="preserve">   AUTRES COIFFURES EN MATIERES TEXTILES,EN PIECES(MAIS NON EN BANDES)</v>
      </c>
      <c r="C6533" s="4">
        <v>140</v>
      </c>
      <c r="D6533" s="4">
        <v>1941642</v>
      </c>
    </row>
    <row r="6534" spans="1:4" x14ac:dyDescent="0.25">
      <c r="A6534" t="str">
        <f>T("   650691")</f>
        <v xml:space="preserve">   650691</v>
      </c>
      <c r="B6534" t="str">
        <f>T("   EN CAOUTCHOUC OU EN MATIERE PLASTIQUE")</f>
        <v xml:space="preserve">   EN CAOUTCHOUC OU EN MATIERE PLASTIQUE</v>
      </c>
      <c r="C6534" s="4">
        <v>7</v>
      </c>
      <c r="D6534" s="4">
        <v>13775</v>
      </c>
    </row>
    <row r="6535" spans="1:4" x14ac:dyDescent="0.25">
      <c r="A6535" t="str">
        <f>T("   660110")</f>
        <v xml:space="preserve">   660110</v>
      </c>
      <c r="B6535" t="str">
        <f>T("   PARASOLS DE JARDIN ET ARTICLES SIMILAIRES")</f>
        <v xml:space="preserve">   PARASOLS DE JARDIN ET ARTICLES SIMILAIRES</v>
      </c>
      <c r="C6535" s="4">
        <v>114</v>
      </c>
      <c r="D6535" s="4">
        <v>81100</v>
      </c>
    </row>
    <row r="6536" spans="1:4" x14ac:dyDescent="0.25">
      <c r="A6536" t="str">
        <f>T("   670210")</f>
        <v xml:space="preserve">   670210</v>
      </c>
      <c r="B6536" t="str">
        <f>T("   EN MATIERES PLASTIQUES")</f>
        <v xml:space="preserve">   EN MATIERES PLASTIQUES</v>
      </c>
      <c r="C6536" s="4">
        <v>10000</v>
      </c>
      <c r="D6536" s="4">
        <v>4320000</v>
      </c>
    </row>
    <row r="6537" spans="1:4" x14ac:dyDescent="0.25">
      <c r="A6537" t="str">
        <f>T("   690890")</f>
        <v xml:space="preserve">   690890</v>
      </c>
      <c r="B6537" t="str">
        <f>T("   AUTRES")</f>
        <v xml:space="preserve">   AUTRES</v>
      </c>
      <c r="C6537" s="4">
        <v>80583</v>
      </c>
      <c r="D6537" s="4">
        <v>205898</v>
      </c>
    </row>
    <row r="6538" spans="1:4" x14ac:dyDescent="0.25">
      <c r="A6538" t="str">
        <f>T("   691110")</f>
        <v xml:space="preserve">   691110</v>
      </c>
      <c r="B6538" t="str">
        <f>T("   ARTICLES POUR LE SERVICE DE LA TABLE OU DE LA CUISINE")</f>
        <v xml:space="preserve">   ARTICLES POUR LE SERVICE DE LA TABLE OU DE LA CUISINE</v>
      </c>
      <c r="C6538" s="4">
        <v>39216.71</v>
      </c>
      <c r="D6538" s="4">
        <v>9825345</v>
      </c>
    </row>
    <row r="6539" spans="1:4" x14ac:dyDescent="0.25">
      <c r="A6539" t="str">
        <f>T("   691200")</f>
        <v xml:space="preserve">   691200</v>
      </c>
      <c r="B6539" t="str">
        <f>T("   VAISSELLE, AUTRES ARTICLES DE MENAGE OU D'ECONOMIE DOMESTIQUE ET ARTICLES D'HYGIENE OU")</f>
        <v xml:space="preserve">   VAISSELLE, AUTRES ARTICLES DE MENAGE OU D'ECONOMIE DOMESTIQUE ET ARTICLES D'HYGIENE OU</v>
      </c>
      <c r="C6539" s="4">
        <v>1800</v>
      </c>
      <c r="D6539" s="4">
        <v>250000</v>
      </c>
    </row>
    <row r="6540" spans="1:4" x14ac:dyDescent="0.25">
      <c r="A6540" t="str">
        <f>T("   691490")</f>
        <v xml:space="preserve">   691490</v>
      </c>
      <c r="B6540" t="str">
        <f>T("   AUTRES")</f>
        <v xml:space="preserve">   AUTRES</v>
      </c>
      <c r="C6540" s="4">
        <v>15500</v>
      </c>
      <c r="D6540" s="4">
        <v>2187257</v>
      </c>
    </row>
    <row r="6541" spans="1:4" x14ac:dyDescent="0.25">
      <c r="A6541" t="str">
        <f>T("   700800")</f>
        <v xml:space="preserve">   700800</v>
      </c>
      <c r="B6541" t="str">
        <f>T("   VITRAGES ISOLANTS A PAROIS MULTIPLES.")</f>
        <v xml:space="preserve">   VITRAGES ISOLANTS A PAROIS MULTIPLES.</v>
      </c>
      <c r="C6541" s="4">
        <v>6172</v>
      </c>
      <c r="D6541" s="4">
        <v>4369535</v>
      </c>
    </row>
    <row r="6542" spans="1:4" x14ac:dyDescent="0.25">
      <c r="A6542" t="str">
        <f>T("   701020")</f>
        <v xml:space="preserve">   701020</v>
      </c>
      <c r="B6542" t="str">
        <f>T("   BOUCHONS, COUVERCLES ET AUTRES DISPOSITIFS DE FERMETURE")</f>
        <v xml:space="preserve">   BOUCHONS, COUVERCLES ET AUTRES DISPOSITIFS DE FERMETURE</v>
      </c>
      <c r="C6542" s="4">
        <v>236</v>
      </c>
      <c r="D6542" s="4">
        <v>697842</v>
      </c>
    </row>
    <row r="6543" spans="1:4" x14ac:dyDescent="0.25">
      <c r="A6543" t="str">
        <f>T("   701190")</f>
        <v xml:space="preserve">   701190</v>
      </c>
      <c r="B6543" t="str">
        <f>T("   AUTRES")</f>
        <v xml:space="preserve">   AUTRES</v>
      </c>
      <c r="C6543" s="4">
        <v>45793</v>
      </c>
      <c r="D6543" s="4">
        <v>11494949</v>
      </c>
    </row>
    <row r="6544" spans="1:4" x14ac:dyDescent="0.25">
      <c r="A6544" t="str">
        <f>T("   701399")</f>
        <v xml:space="preserve">   701399</v>
      </c>
      <c r="B6544" t="str">
        <f>T("   AUTRES")</f>
        <v xml:space="preserve">   AUTRES</v>
      </c>
      <c r="C6544" s="4">
        <v>7683.87</v>
      </c>
      <c r="D6544" s="4">
        <v>4902234</v>
      </c>
    </row>
    <row r="6545" spans="1:4" x14ac:dyDescent="0.25">
      <c r="A6545" t="str">
        <f>T("   702000")</f>
        <v xml:space="preserve">   702000</v>
      </c>
      <c r="B6545" t="str">
        <f>T("   AUTRES OUVRAGES EN VERRE.")</f>
        <v xml:space="preserve">   AUTRES OUVRAGES EN VERRE.</v>
      </c>
      <c r="C6545" s="4">
        <v>26000</v>
      </c>
      <c r="D6545" s="4">
        <v>6117482</v>
      </c>
    </row>
    <row r="6546" spans="1:4" x14ac:dyDescent="0.25">
      <c r="A6546" t="str">
        <f>T("   711790")</f>
        <v xml:space="preserve">   711790</v>
      </c>
      <c r="B6546" t="str">
        <f>T("   AUTRES")</f>
        <v xml:space="preserve">   AUTRES</v>
      </c>
      <c r="C6546" s="4">
        <v>806</v>
      </c>
      <c r="D6546" s="4">
        <v>1175000</v>
      </c>
    </row>
    <row r="6547" spans="1:4" x14ac:dyDescent="0.25">
      <c r="A6547" t="str">
        <f>T("   730890")</f>
        <v xml:space="preserve">   730890</v>
      </c>
      <c r="B6547" t="str">
        <f>T("   AUTRES")</f>
        <v xml:space="preserve">   AUTRES</v>
      </c>
      <c r="C6547" s="4">
        <v>20</v>
      </c>
      <c r="D6547" s="4">
        <v>157724</v>
      </c>
    </row>
    <row r="6548" spans="1:4" x14ac:dyDescent="0.25">
      <c r="A6548" t="str">
        <f>T("   731100")</f>
        <v xml:space="preserve">   731100</v>
      </c>
      <c r="B6548" t="str">
        <f>T("   RECIPIENTS POUR GAZ COMPRIMES OU LIQUEFIES, EN FONTE, FER OU ACIER.")</f>
        <v xml:space="preserve">   RECIPIENTS POUR GAZ COMPRIMES OU LIQUEFIES, EN FONTE, FER OU ACIER.</v>
      </c>
      <c r="C6548" s="4">
        <v>105</v>
      </c>
      <c r="D6548" s="4">
        <v>60246</v>
      </c>
    </row>
    <row r="6549" spans="1:4" x14ac:dyDescent="0.25">
      <c r="A6549" t="str">
        <f>T("   732399")</f>
        <v xml:space="preserve">   732399</v>
      </c>
      <c r="B6549" t="str">
        <f>T("   AUTRES")</f>
        <v xml:space="preserve">   AUTRES</v>
      </c>
      <c r="C6549" s="4">
        <v>10000</v>
      </c>
      <c r="D6549" s="4">
        <v>4370000</v>
      </c>
    </row>
    <row r="6550" spans="1:4" x14ac:dyDescent="0.25">
      <c r="A6550" t="str">
        <f>T("   732490")</f>
        <v xml:space="preserve">   732490</v>
      </c>
      <c r="B6550" t="str">
        <f>T("   AUTRES, Y COMPRIS LES PARTIES")</f>
        <v xml:space="preserve">   AUTRES, Y COMPRIS LES PARTIES</v>
      </c>
      <c r="C6550" s="4">
        <v>1584</v>
      </c>
      <c r="D6550" s="4">
        <v>678134</v>
      </c>
    </row>
    <row r="6551" spans="1:4" x14ac:dyDescent="0.25">
      <c r="A6551" t="str">
        <f>T("   732690")</f>
        <v xml:space="preserve">   732690</v>
      </c>
      <c r="B6551" t="str">
        <f>T("   AUTRES")</f>
        <v xml:space="preserve">   AUTRES</v>
      </c>
      <c r="C6551" s="4">
        <v>8215</v>
      </c>
      <c r="D6551" s="4">
        <v>1424149</v>
      </c>
    </row>
    <row r="6552" spans="1:4" x14ac:dyDescent="0.25">
      <c r="A6552" t="str">
        <f>T("   741129")</f>
        <v xml:space="preserve">   741129</v>
      </c>
      <c r="B6552" t="str">
        <f>T("   AUTRES")</f>
        <v xml:space="preserve">   AUTRES</v>
      </c>
      <c r="C6552" s="4">
        <v>2536</v>
      </c>
      <c r="D6552" s="4">
        <v>1084417</v>
      </c>
    </row>
    <row r="6553" spans="1:4" x14ac:dyDescent="0.25">
      <c r="A6553" t="str">
        <f>T("   760429")</f>
        <v xml:space="preserve">   760429</v>
      </c>
      <c r="B6553" t="str">
        <f>T("   AUTRES")</f>
        <v xml:space="preserve">   AUTRES</v>
      </c>
      <c r="C6553" s="4">
        <v>121314</v>
      </c>
      <c r="D6553" s="4">
        <v>105869812</v>
      </c>
    </row>
    <row r="6554" spans="1:4" x14ac:dyDescent="0.25">
      <c r="A6554" t="str">
        <f>T("   760691")</f>
        <v xml:space="preserve">   760691</v>
      </c>
      <c r="B6554" t="str">
        <f>T("   EN ALUMINIUM NON ALLIE")</f>
        <v xml:space="preserve">   EN ALUMINIUM NON ALLIE</v>
      </c>
      <c r="C6554" s="4">
        <v>1692</v>
      </c>
      <c r="D6554" s="4">
        <v>2199206</v>
      </c>
    </row>
    <row r="6555" spans="1:4" x14ac:dyDescent="0.25">
      <c r="A6555" t="str">
        <f>T("   820210")</f>
        <v xml:space="preserve">   820210</v>
      </c>
      <c r="B6555" t="str">
        <f>T("   Scies a main")</f>
        <v xml:space="preserve">   Scies a main</v>
      </c>
      <c r="C6555" s="4">
        <v>70</v>
      </c>
      <c r="D6555" s="4">
        <v>54271</v>
      </c>
    </row>
    <row r="6556" spans="1:4" x14ac:dyDescent="0.25">
      <c r="A6556" t="str">
        <f>T("   820411")</f>
        <v xml:space="preserve">   820411</v>
      </c>
      <c r="B6556" t="str">
        <f>T("   A OUVERTURE FIXE")</f>
        <v xml:space="preserve">   A OUVERTURE FIXE</v>
      </c>
      <c r="C6556" s="4">
        <v>45</v>
      </c>
      <c r="D6556" s="4">
        <v>90000</v>
      </c>
    </row>
    <row r="6557" spans="1:4" x14ac:dyDescent="0.25">
      <c r="A6557" t="str">
        <f>T("   821300")</f>
        <v xml:space="preserve">   821300</v>
      </c>
      <c r="B6557" t="str">
        <f>T("   CISEAUX A DOUBLES BRANCHES ET LEURS LAMES.")</f>
        <v xml:space="preserve">   CISEAUX A DOUBLES BRANCHES ET LEURS LAMES.</v>
      </c>
      <c r="C6557" s="4">
        <v>420</v>
      </c>
      <c r="D6557" s="4">
        <v>212093</v>
      </c>
    </row>
    <row r="6558" spans="1:4" x14ac:dyDescent="0.25">
      <c r="A6558" t="str">
        <f>T("   830300")</f>
        <v xml:space="preserve">   830300</v>
      </c>
      <c r="B6558" t="str">
        <f>T("   COFFRESFORTS, PORTES BLINDEES ET COMPARTIMENTS POUR CHAMBRES FORTES, COFFRES ET CASSET")</f>
        <v xml:space="preserve">   COFFRESFORTS, PORTES BLINDEES ET COMPARTIMENTS POUR CHAMBRES FORTES, COFFRES ET CASSET</v>
      </c>
      <c r="C6558" s="4">
        <v>6941</v>
      </c>
      <c r="D6558" s="4">
        <v>1932832</v>
      </c>
    </row>
    <row r="6559" spans="1:4" x14ac:dyDescent="0.25">
      <c r="A6559" t="str">
        <f>T("   830810")</f>
        <v xml:space="preserve">   830810</v>
      </c>
      <c r="B6559" t="str">
        <f>T("   AGRAFES, CROCHETS ET œILLETS")</f>
        <v xml:space="preserve">   AGRAFES, CROCHETS ET œILLETS</v>
      </c>
      <c r="C6559" s="4">
        <v>300</v>
      </c>
      <c r="D6559" s="4">
        <v>661207</v>
      </c>
    </row>
    <row r="6560" spans="1:4" x14ac:dyDescent="0.25">
      <c r="A6560" t="str">
        <f>T("   840999")</f>
        <v xml:space="preserve">   840999</v>
      </c>
      <c r="B6560" t="str">
        <f>T("   AUTRES")</f>
        <v xml:space="preserve">   AUTRES</v>
      </c>
      <c r="C6560" s="4">
        <v>51</v>
      </c>
      <c r="D6560" s="4">
        <v>134460</v>
      </c>
    </row>
    <row r="6561" spans="1:4" x14ac:dyDescent="0.25">
      <c r="A6561" t="str">
        <f>T("   841451")</f>
        <v xml:space="preserve">   841451</v>
      </c>
      <c r="B6561" t="str">
        <f>T("   VENTILATEURS DE TABLE, DE SOL, MURAUX, PLAFONNIERS, DE TOITURES OU DE FENETRES, A MO")</f>
        <v xml:space="preserve">   VENTILATEURS DE TABLE, DE SOL, MURAUX, PLAFONNIERS, DE TOITURES OU DE FENETRES, A MO</v>
      </c>
      <c r="C6561" s="4">
        <v>52775</v>
      </c>
      <c r="D6561" s="4">
        <v>17922339</v>
      </c>
    </row>
    <row r="6562" spans="1:4" x14ac:dyDescent="0.25">
      <c r="A6562" t="str">
        <f>T("   841490")</f>
        <v xml:space="preserve">   841490</v>
      </c>
      <c r="B6562" t="str">
        <f>T("   PARTIES")</f>
        <v xml:space="preserve">   PARTIES</v>
      </c>
      <c r="C6562" s="4">
        <v>14</v>
      </c>
      <c r="D6562" s="4">
        <v>449102</v>
      </c>
    </row>
    <row r="6563" spans="1:4" x14ac:dyDescent="0.25">
      <c r="A6563" t="str">
        <f>T("   841510")</f>
        <v xml:space="preserve">   841510</v>
      </c>
      <c r="B6563" t="str">
        <f>T("   DU TYPE MURAL OU POUR FENETRES, FORMANT UN SEUL CORPS OU DU TYPE «SPLITSYSTEM» (SYST")</f>
        <v xml:space="preserve">   DU TYPE MURAL OU POUR FENETRES, FORMANT UN SEUL CORPS OU DU TYPE «SPLITSYSTEM» (SYST</v>
      </c>
      <c r="C6563" s="4">
        <v>2</v>
      </c>
      <c r="D6563" s="4">
        <v>2639727</v>
      </c>
    </row>
    <row r="6564" spans="1:4" x14ac:dyDescent="0.25">
      <c r="A6564" t="str">
        <f>T("   841520")</f>
        <v xml:space="preserve">   841520</v>
      </c>
      <c r="B6564" t="str">
        <f>T("   DU TYPE DE CEUX UTILISES POUR LE CONFORT DES PERSONNES DANS LES VEHICULES AUTOMOBILES")</f>
        <v xml:space="preserve">   DU TYPE DE CEUX UTILISES POUR LE CONFORT DES PERSONNES DANS LES VEHICULES AUTOMOBILES</v>
      </c>
      <c r="C6564" s="4">
        <v>95</v>
      </c>
      <c r="D6564" s="4">
        <v>683071</v>
      </c>
    </row>
    <row r="6565" spans="1:4" x14ac:dyDescent="0.25">
      <c r="A6565" t="str">
        <f>T("   841582")</f>
        <v xml:space="preserve">   841582</v>
      </c>
      <c r="B6565" t="str">
        <f>T("   AUTRES, AVEC DISPOSITIF DE REFRIGERATION")</f>
        <v xml:space="preserve">   AUTRES, AVEC DISPOSITIF DE REFRIGERATION</v>
      </c>
      <c r="C6565" s="4">
        <v>961</v>
      </c>
      <c r="D6565" s="4">
        <v>2324101</v>
      </c>
    </row>
    <row r="6566" spans="1:4" x14ac:dyDescent="0.25">
      <c r="A6566" t="str">
        <f>T("   841810")</f>
        <v xml:space="preserve">   841810</v>
      </c>
      <c r="B6566" t="str">
        <f>T("   COMBINAISONS DE REFRIGERATEURS ET DE CONGELATEURSCONSERVATEURS MUNIS DE PORTES EXTER")</f>
        <v xml:space="preserve">   COMBINAISONS DE REFRIGERATEURS ET DE CONGELATEURSCONSERVATEURS MUNIS DE PORTES EXTER</v>
      </c>
      <c r="C6566" s="4">
        <v>500</v>
      </c>
      <c r="D6566" s="4">
        <v>350000</v>
      </c>
    </row>
    <row r="6567" spans="1:4" x14ac:dyDescent="0.25">
      <c r="A6567" t="str">
        <f>T("   841829")</f>
        <v xml:space="preserve">   841829</v>
      </c>
      <c r="B6567" t="str">
        <f>T("   AUTRES")</f>
        <v xml:space="preserve">   AUTRES</v>
      </c>
      <c r="C6567" s="4">
        <v>17803</v>
      </c>
      <c r="D6567" s="4">
        <v>13107591</v>
      </c>
    </row>
    <row r="6568" spans="1:4" x14ac:dyDescent="0.25">
      <c r="A6568" t="str">
        <f>T("   841990")</f>
        <v xml:space="preserve">   841990</v>
      </c>
      <c r="B6568" t="str">
        <f>T("   PARTIES")</f>
        <v xml:space="preserve">   PARTIES</v>
      </c>
      <c r="C6568" s="4">
        <v>6</v>
      </c>
      <c r="D6568" s="4">
        <v>702033</v>
      </c>
    </row>
    <row r="6569" spans="1:4" x14ac:dyDescent="0.25">
      <c r="A6569" t="str">
        <f>T("   842290")</f>
        <v xml:space="preserve">   842290</v>
      </c>
      <c r="B6569" t="str">
        <f>T("   PARTIES")</f>
        <v xml:space="preserve">   PARTIES</v>
      </c>
      <c r="C6569" s="4">
        <v>7</v>
      </c>
      <c r="D6569" s="4">
        <v>56240</v>
      </c>
    </row>
    <row r="6570" spans="1:4" x14ac:dyDescent="0.25">
      <c r="A6570" t="str">
        <f>T("   843139")</f>
        <v xml:space="preserve">   843139</v>
      </c>
      <c r="B6570" t="str">
        <f>T("   AUTRES")</f>
        <v xml:space="preserve">   AUTRES</v>
      </c>
      <c r="C6570" s="4">
        <v>561</v>
      </c>
      <c r="D6570" s="4">
        <v>696856</v>
      </c>
    </row>
    <row r="6571" spans="1:4" x14ac:dyDescent="0.25">
      <c r="A6571" t="str">
        <f>T("   843149")</f>
        <v xml:space="preserve">   843149</v>
      </c>
      <c r="B6571" t="str">
        <f>T("   AUTRES")</f>
        <v xml:space="preserve">   AUTRES</v>
      </c>
      <c r="C6571" s="4">
        <v>1649.8</v>
      </c>
      <c r="D6571" s="4">
        <v>1903127</v>
      </c>
    </row>
    <row r="6572" spans="1:4" x14ac:dyDescent="0.25">
      <c r="A6572" t="str">
        <f>T("   844240")</f>
        <v xml:space="preserve">   844240</v>
      </c>
      <c r="B6572" t="str">
        <f>T("   PARTIES DE CES MACHINES, APPAREILS OU MATERIEL")</f>
        <v xml:space="preserve">   PARTIES DE CES MACHINES, APPAREILS OU MATERIEL</v>
      </c>
      <c r="C6572" s="4">
        <v>9</v>
      </c>
      <c r="D6572" s="4">
        <v>173941</v>
      </c>
    </row>
    <row r="6573" spans="1:4" x14ac:dyDescent="0.25">
      <c r="A6573" t="str">
        <f>T("   844391")</f>
        <v xml:space="preserve">   844391</v>
      </c>
      <c r="B6573" t="str">
        <f>T("   PARTIES ET ACCESSOIRES DE MACHINES ET D’APPAREILS SERVANT A L’IMPRESSION AU MOYEN DE")</f>
        <v xml:space="preserve">   PARTIES ET ACCESSOIRES DE MACHINES ET D’APPAREILS SERVANT A L’IMPRESSION AU MOYEN DE</v>
      </c>
      <c r="C6573" s="4">
        <v>17</v>
      </c>
      <c r="D6573" s="4">
        <v>127370</v>
      </c>
    </row>
    <row r="6574" spans="1:4" x14ac:dyDescent="0.25">
      <c r="A6574" t="str">
        <f>T("   844590")</f>
        <v xml:space="preserve">   844590</v>
      </c>
      <c r="B6574" t="str">
        <f>T("   AUTRES")</f>
        <v xml:space="preserve">   AUTRES</v>
      </c>
      <c r="C6574" s="4">
        <v>300</v>
      </c>
      <c r="D6574" s="4">
        <v>731908</v>
      </c>
    </row>
    <row r="6575" spans="1:4" x14ac:dyDescent="0.25">
      <c r="A6575" t="str">
        <f>T("   844820")</f>
        <v xml:space="preserve">   844820</v>
      </c>
      <c r="B6575" t="str">
        <f>T("   PARTIES ET ACCESSOIRES DES MACHINES DU N° 84.44 OU DE LEURS MACHINES OU APPAREILS AUX")</f>
        <v xml:space="preserve">   PARTIES ET ACCESSOIRES DES MACHINES DU N° 84.44 OU DE LEURS MACHINES OU APPAREILS AUX</v>
      </c>
      <c r="C6575" s="4">
        <v>19</v>
      </c>
      <c r="D6575" s="4">
        <v>70000</v>
      </c>
    </row>
    <row r="6576" spans="1:4" x14ac:dyDescent="0.25">
      <c r="A6576" t="str">
        <f>T("   847149")</f>
        <v xml:space="preserve">   847149</v>
      </c>
      <c r="B6576" t="str">
        <f>T("   AUTRES, SE PRESENTANT SOUS FORME DE SYSTEMES")</f>
        <v xml:space="preserve">   AUTRES, SE PRESENTANT SOUS FORME DE SYSTEMES</v>
      </c>
      <c r="C6576" s="4">
        <v>540</v>
      </c>
      <c r="D6576" s="4">
        <v>14843375</v>
      </c>
    </row>
    <row r="6577" spans="1:4" x14ac:dyDescent="0.25">
      <c r="A6577" t="str">
        <f>T("   847180")</f>
        <v xml:space="preserve">   847180</v>
      </c>
      <c r="B6577" t="str">
        <f>T("   AUTRES UNITES DE MACHINES AUTOMATIQUES DE TRAITEMENT DE L'INFORMATION")</f>
        <v xml:space="preserve">   AUTRES UNITES DE MACHINES AUTOMATIQUES DE TRAITEMENT DE L'INFORMATION</v>
      </c>
      <c r="C6577" s="4">
        <v>672</v>
      </c>
      <c r="D6577" s="4">
        <v>23938935</v>
      </c>
    </row>
    <row r="6578" spans="1:4" x14ac:dyDescent="0.25">
      <c r="A6578" t="str">
        <f>T("   847190")</f>
        <v xml:space="preserve">   847190</v>
      </c>
      <c r="B6578" t="str">
        <f>T("   AUTRES")</f>
        <v xml:space="preserve">   AUTRES</v>
      </c>
      <c r="C6578" s="4">
        <v>5165.33</v>
      </c>
      <c r="D6578" s="4">
        <v>25879930</v>
      </c>
    </row>
    <row r="6579" spans="1:4" x14ac:dyDescent="0.25">
      <c r="A6579" t="str">
        <f>T("   847290")</f>
        <v xml:space="preserve">   847290</v>
      </c>
      <c r="B6579" t="str">
        <f>T("   AUTRES")</f>
        <v xml:space="preserve">   AUTRES</v>
      </c>
      <c r="C6579" s="4">
        <v>16</v>
      </c>
      <c r="D6579" s="4">
        <v>200000</v>
      </c>
    </row>
    <row r="6580" spans="1:4" x14ac:dyDescent="0.25">
      <c r="A6580" t="str">
        <f>T("   847330")</f>
        <v xml:space="preserve">   847330</v>
      </c>
      <c r="B6580" t="str">
        <f>T("   PARTIES ET ACCESSOIRES DES MACHINES DU N° 84.71")</f>
        <v xml:space="preserve">   PARTIES ET ACCESSOIRES DES MACHINES DU N° 84.71</v>
      </c>
      <c r="C6580" s="4">
        <v>759</v>
      </c>
      <c r="D6580" s="4">
        <v>1747540</v>
      </c>
    </row>
    <row r="6581" spans="1:4" x14ac:dyDescent="0.25">
      <c r="A6581" t="str">
        <f>T("   847710")</f>
        <v xml:space="preserve">   847710</v>
      </c>
      <c r="B6581" t="str">
        <f>T("   MACHINES A MOULER PAR INJECTION")</f>
        <v xml:space="preserve">   MACHINES A MOULER PAR INJECTION</v>
      </c>
      <c r="C6581" s="4">
        <v>39500</v>
      </c>
      <c r="D6581" s="4">
        <v>99129600</v>
      </c>
    </row>
    <row r="6582" spans="1:4" x14ac:dyDescent="0.25">
      <c r="A6582" t="str">
        <f>T("   850440")</f>
        <v xml:space="preserve">   850440</v>
      </c>
      <c r="B6582" t="str">
        <f>T("   CONVERTISSEURS STATIQUES")</f>
        <v xml:space="preserve">   CONVERTISSEURS STATIQUES</v>
      </c>
      <c r="C6582" s="4">
        <v>10233</v>
      </c>
      <c r="D6582" s="4">
        <v>21780784</v>
      </c>
    </row>
    <row r="6583" spans="1:4" x14ac:dyDescent="0.25">
      <c r="A6583" t="str">
        <f>T("   850610")</f>
        <v xml:space="preserve">   850610</v>
      </c>
      <c r="B6583" t="str">
        <f>T("   AU BIOXYDE DE MANGANESE")</f>
        <v xml:space="preserve">   AU BIOXYDE DE MANGANESE</v>
      </c>
      <c r="C6583" s="4">
        <v>135000</v>
      </c>
      <c r="D6583" s="4">
        <v>31510351</v>
      </c>
    </row>
    <row r="6584" spans="1:4" x14ac:dyDescent="0.25">
      <c r="A6584" t="str">
        <f>T("   850980")</f>
        <v xml:space="preserve">   850980</v>
      </c>
      <c r="B6584" t="str">
        <f>T("   AUTRES APPAREILS")</f>
        <v xml:space="preserve">   AUTRES APPAREILS</v>
      </c>
      <c r="C6584" s="4">
        <v>128</v>
      </c>
      <c r="D6584" s="4">
        <v>532749</v>
      </c>
    </row>
    <row r="6585" spans="1:4" x14ac:dyDescent="0.25">
      <c r="A6585" t="str">
        <f>T("   851310")</f>
        <v xml:space="preserve">   851310</v>
      </c>
      <c r="B6585" t="str">
        <f>T("   LAMPES")</f>
        <v xml:space="preserve">   LAMPES</v>
      </c>
      <c r="C6585" s="4">
        <v>36</v>
      </c>
      <c r="D6585" s="4">
        <v>30803</v>
      </c>
    </row>
    <row r="6586" spans="1:4" x14ac:dyDescent="0.25">
      <c r="A6586" t="str">
        <f>T("   851712")</f>
        <v xml:space="preserve">   851712</v>
      </c>
      <c r="B6586" t="str">
        <f>T("   TELEPHONES POUR RESEAUX CELLULAIRES ET POUR AUTRES RESEAUX SANS FIL")</f>
        <v xml:space="preserve">   TELEPHONES POUR RESEAUX CELLULAIRES ET POUR AUTRES RESEAUX SANS FIL</v>
      </c>
      <c r="C6586" s="4">
        <v>5727.7</v>
      </c>
      <c r="D6586" s="4">
        <v>139223942</v>
      </c>
    </row>
    <row r="6587" spans="1:4" x14ac:dyDescent="0.25">
      <c r="A6587" t="str">
        <f>T("   851769")</f>
        <v xml:space="preserve">   851769</v>
      </c>
      <c r="B6587" t="str">
        <f>T("   AUTRES")</f>
        <v xml:space="preserve">   AUTRES</v>
      </c>
      <c r="C6587" s="4">
        <v>1055.4000000000001</v>
      </c>
      <c r="D6587" s="4">
        <v>43466736</v>
      </c>
    </row>
    <row r="6588" spans="1:4" x14ac:dyDescent="0.25">
      <c r="A6588" t="str">
        <f>T("   851770")</f>
        <v xml:space="preserve">   851770</v>
      </c>
      <c r="B6588" t="str">
        <f>T("   PARTIES")</f>
        <v xml:space="preserve">   PARTIES</v>
      </c>
      <c r="C6588" s="4">
        <v>2549.1</v>
      </c>
      <c r="D6588" s="4">
        <v>21999900</v>
      </c>
    </row>
    <row r="6589" spans="1:4" x14ac:dyDescent="0.25">
      <c r="A6589" t="str">
        <f>T("   851810")</f>
        <v xml:space="preserve">   851810</v>
      </c>
      <c r="B6589" t="str">
        <f>T("   MICROPHONES ET LEURS SUPPORTS")</f>
        <v xml:space="preserve">   MICROPHONES ET LEURS SUPPORTS</v>
      </c>
      <c r="C6589" s="4">
        <v>131</v>
      </c>
      <c r="D6589" s="4">
        <v>949986</v>
      </c>
    </row>
    <row r="6590" spans="1:4" x14ac:dyDescent="0.25">
      <c r="A6590" t="str">
        <f>T("   851829")</f>
        <v xml:space="preserve">   851829</v>
      </c>
      <c r="B6590" t="str">
        <f>T("   AUTRES")</f>
        <v xml:space="preserve">   AUTRES</v>
      </c>
      <c r="C6590" s="4">
        <v>145</v>
      </c>
      <c r="D6590" s="4">
        <v>238990</v>
      </c>
    </row>
    <row r="6591" spans="1:4" x14ac:dyDescent="0.25">
      <c r="A6591" t="str">
        <f>T("   852380")</f>
        <v xml:space="preserve">   852380</v>
      </c>
      <c r="B6591" t="str">
        <f>T("   AUTRES")</f>
        <v xml:space="preserve">   AUTRES</v>
      </c>
      <c r="C6591" s="4">
        <v>6.9</v>
      </c>
      <c r="D6591" s="4">
        <v>1867388</v>
      </c>
    </row>
    <row r="6592" spans="1:4" x14ac:dyDescent="0.25">
      <c r="A6592" t="str">
        <f>T("   852550")</f>
        <v xml:space="preserve">   852550</v>
      </c>
      <c r="B6592" t="str">
        <f>T("   APPAREILS D'EMISSION")</f>
        <v xml:space="preserve">   APPAREILS D'EMISSION</v>
      </c>
      <c r="C6592" s="4">
        <v>2774</v>
      </c>
      <c r="D6592" s="4">
        <v>18421655</v>
      </c>
    </row>
    <row r="6593" spans="1:4" x14ac:dyDescent="0.25">
      <c r="A6593" t="str">
        <f>T("   852719")</f>
        <v xml:space="preserve">   852719</v>
      </c>
      <c r="B6593" t="str">
        <f>T("   AUTRES")</f>
        <v xml:space="preserve">   AUTRES</v>
      </c>
      <c r="C6593" s="4">
        <v>196</v>
      </c>
      <c r="D6593" s="4">
        <v>220070</v>
      </c>
    </row>
    <row r="6594" spans="1:4" x14ac:dyDescent="0.25">
      <c r="A6594" t="str">
        <f>T("   852871")</f>
        <v xml:space="preserve">   852871</v>
      </c>
      <c r="B6594" t="str">
        <f>T("   NON CONCUS POUR INCORPORER UN DISPOSITIF D'AFFICHAGE OU UN ECRAN VIDEO")</f>
        <v xml:space="preserve">   NON CONCUS POUR INCORPORER UN DISPOSITIF D'AFFICHAGE OU UN ECRAN VIDEO</v>
      </c>
      <c r="C6594" s="4">
        <v>566</v>
      </c>
      <c r="D6594" s="4">
        <v>3676464</v>
      </c>
    </row>
    <row r="6595" spans="1:4" x14ac:dyDescent="0.25">
      <c r="A6595" t="str">
        <f>T("   853110")</f>
        <v xml:space="preserve">   853110</v>
      </c>
      <c r="B6595" t="str">
        <f>T("   AVERTISSEURS ELECTRIQUES POUR LA PROTECTION CONTRE LE VOL OU L'INCENDIE ET APPAREILS")</f>
        <v xml:space="preserve">   AVERTISSEURS ELECTRIQUES POUR LA PROTECTION CONTRE LE VOL OU L'INCENDIE ET APPAREILS</v>
      </c>
      <c r="C6595" s="4">
        <v>200</v>
      </c>
      <c r="D6595" s="4">
        <v>197665</v>
      </c>
    </row>
    <row r="6596" spans="1:4" x14ac:dyDescent="0.25">
      <c r="A6596" t="str">
        <f>T("   853329")</f>
        <v xml:space="preserve">   853329</v>
      </c>
      <c r="B6596" t="str">
        <f>T("   AUTRES")</f>
        <v xml:space="preserve">   AUTRES</v>
      </c>
      <c r="C6596" s="4">
        <v>16</v>
      </c>
      <c r="D6596" s="4">
        <v>75000</v>
      </c>
    </row>
    <row r="6597" spans="1:4" x14ac:dyDescent="0.25">
      <c r="A6597" t="str">
        <f>T("   853650")</f>
        <v xml:space="preserve">   853650</v>
      </c>
      <c r="B6597" t="str">
        <f>T("   AUTRES INTERRUPTEURS, SECTIONNEURS ET COMMUTATEURS")</f>
        <v xml:space="preserve">   AUTRES INTERRUPTEURS, SECTIONNEURS ET COMMUTATEURS</v>
      </c>
      <c r="C6597" s="4">
        <v>7739</v>
      </c>
      <c r="D6597" s="4">
        <v>3443449</v>
      </c>
    </row>
    <row r="6598" spans="1:4" x14ac:dyDescent="0.25">
      <c r="A6598" t="str">
        <f>T("   853669")</f>
        <v xml:space="preserve">   853669</v>
      </c>
      <c r="B6598" t="str">
        <f>T("   AUTRES")</f>
        <v xml:space="preserve">   AUTRES</v>
      </c>
      <c r="C6598" s="4">
        <v>3623</v>
      </c>
      <c r="D6598" s="4">
        <v>1190469</v>
      </c>
    </row>
    <row r="6599" spans="1:4" x14ac:dyDescent="0.25">
      <c r="A6599" t="str">
        <f>T("   853720")</f>
        <v xml:space="preserve">   853720</v>
      </c>
      <c r="B6599" t="str">
        <f>T("   POUR UNE TENSION EXCEDANT 1.000 V")</f>
        <v xml:space="preserve">   POUR UNE TENSION EXCEDANT 1.000 V</v>
      </c>
      <c r="C6599" s="4">
        <v>84</v>
      </c>
      <c r="D6599" s="4">
        <v>150760</v>
      </c>
    </row>
    <row r="6600" spans="1:4" x14ac:dyDescent="0.25">
      <c r="A6600" t="str">
        <f>T("   853890")</f>
        <v xml:space="preserve">   853890</v>
      </c>
      <c r="B6600" t="str">
        <f>T("   AUTRES")</f>
        <v xml:space="preserve">   AUTRES</v>
      </c>
      <c r="C6600" s="4">
        <v>17</v>
      </c>
      <c r="D6600" s="4">
        <v>151966</v>
      </c>
    </row>
    <row r="6601" spans="1:4" x14ac:dyDescent="0.25">
      <c r="A6601" t="str">
        <f>T("   853921")</f>
        <v xml:space="preserve">   853921</v>
      </c>
      <c r="B6601" t="str">
        <f>T("   HALOGENES, AU TUNGSTENE")</f>
        <v xml:space="preserve">   HALOGENES, AU TUNGSTENE</v>
      </c>
      <c r="C6601" s="4">
        <v>531</v>
      </c>
      <c r="D6601" s="4">
        <v>489723</v>
      </c>
    </row>
    <row r="6602" spans="1:4" x14ac:dyDescent="0.25">
      <c r="A6602" t="str">
        <f>T("   853939")</f>
        <v xml:space="preserve">   853939</v>
      </c>
      <c r="B6602" t="str">
        <f>T("   AUTRES")</f>
        <v xml:space="preserve">   AUTRES</v>
      </c>
      <c r="C6602" s="4">
        <v>37.1</v>
      </c>
      <c r="D6602" s="4">
        <v>149369</v>
      </c>
    </row>
    <row r="6603" spans="1:4" x14ac:dyDescent="0.25">
      <c r="A6603" t="str">
        <f>T("   854089")</f>
        <v xml:space="preserve">   854089</v>
      </c>
      <c r="B6603" t="str">
        <f>T("   AUTRES")</f>
        <v xml:space="preserve">   AUTRES</v>
      </c>
      <c r="C6603" s="4">
        <v>900</v>
      </c>
      <c r="D6603" s="4">
        <v>318853</v>
      </c>
    </row>
    <row r="6604" spans="1:4" x14ac:dyDescent="0.25">
      <c r="A6604" t="str">
        <f>T("   854420")</f>
        <v xml:space="preserve">   854420</v>
      </c>
      <c r="B6604" t="str">
        <f>T("   Cables coaxiaux et autres conducteurs electriques coaxiaux")</f>
        <v xml:space="preserve">   Cables coaxiaux et autres conducteurs electriques coaxiaux</v>
      </c>
      <c r="C6604" s="4">
        <v>7230</v>
      </c>
      <c r="D6604" s="4">
        <v>4369197</v>
      </c>
    </row>
    <row r="6605" spans="1:4" x14ac:dyDescent="0.25">
      <c r="A6605" t="str">
        <f>T("   854449")</f>
        <v xml:space="preserve">   854449</v>
      </c>
      <c r="B6605" t="str">
        <f>T("   AUTRES")</f>
        <v xml:space="preserve">   AUTRES</v>
      </c>
      <c r="C6605" s="4">
        <v>1740</v>
      </c>
      <c r="D6605" s="4">
        <v>8189123</v>
      </c>
    </row>
    <row r="6606" spans="1:4" x14ac:dyDescent="0.25">
      <c r="A6606" t="str">
        <f>T("   870333")</f>
        <v xml:space="preserve">   870333</v>
      </c>
      <c r="B6606" t="str">
        <f>T("   D'UNE CYLINDREE EXCEDANT 2.500 CM³")</f>
        <v xml:space="preserve">   D'UNE CYLINDREE EXCEDANT 2.500 CM³</v>
      </c>
      <c r="C6606" s="4">
        <v>7541</v>
      </c>
      <c r="D6606" s="4">
        <v>9061707</v>
      </c>
    </row>
    <row r="6607" spans="1:4" x14ac:dyDescent="0.25">
      <c r="A6607" t="str">
        <f>T("   870899")</f>
        <v xml:space="preserve">   870899</v>
      </c>
      <c r="B6607" t="str">
        <f>T("   AUTRES")</f>
        <v xml:space="preserve">   AUTRES</v>
      </c>
      <c r="C6607" s="4">
        <v>112</v>
      </c>
      <c r="D6607" s="4">
        <v>1272708</v>
      </c>
    </row>
    <row r="6608" spans="1:4" x14ac:dyDescent="0.25">
      <c r="A6608" t="str">
        <f>T("   871120")</f>
        <v xml:space="preserve">   871120</v>
      </c>
      <c r="B6608" t="str">
        <f>T("   A MOTEUR A PISTON ALTERNATIF, D'UNE CYLINDREE EXCEDANT 50 CM³ MAIS N'EXCEDANT PAS 250")</f>
        <v xml:space="preserve">   A MOTEUR A PISTON ALTERNATIF, D'UNE CYLINDREE EXCEDANT 50 CM³ MAIS N'EXCEDANT PAS 250</v>
      </c>
      <c r="C6608" s="4">
        <v>117805</v>
      </c>
      <c r="D6608" s="4">
        <v>162000000</v>
      </c>
    </row>
    <row r="6609" spans="1:4" x14ac:dyDescent="0.25">
      <c r="A6609" t="str">
        <f>T("   900711")</f>
        <v xml:space="preserve">   900711</v>
      </c>
      <c r="B6609" t="str">
        <f>T("   CAMERAS 16 MM ET - OU DOUBLE 8 MM, AVEC PRISE ET REPRODUCTION DU SON")</f>
        <v xml:space="preserve">   CAMERAS 16 MM ET - OU DOUBLE 8 MM, AVEC PRISE ET REPRODUCTION DU SON</v>
      </c>
      <c r="C6609" s="4">
        <v>6</v>
      </c>
      <c r="D6609" s="4">
        <v>31000</v>
      </c>
    </row>
    <row r="6610" spans="1:4" x14ac:dyDescent="0.25">
      <c r="A6610" t="str">
        <f>T("   900719")</f>
        <v xml:space="preserve">   900719</v>
      </c>
      <c r="B6610" t="str">
        <f>T("   AUTRES CAMERAS MEME AVEC PRISE ET REPRODUCTION DU SON")</f>
        <v xml:space="preserve">   AUTRES CAMERAS MEME AVEC PRISE ET REPRODUCTION DU SON</v>
      </c>
      <c r="C6610" s="4">
        <v>41</v>
      </c>
      <c r="D6610" s="4">
        <v>242000</v>
      </c>
    </row>
    <row r="6611" spans="1:4" x14ac:dyDescent="0.25">
      <c r="A6611" t="str">
        <f>T("   901812")</f>
        <v xml:space="preserve">   901812</v>
      </c>
      <c r="B6611" t="str">
        <f>T("   APPAREILS DE DIAGNOSTIC PAR BALAYAGE ULTRASONIQUE (SCANNERS)")</f>
        <v xml:space="preserve">   APPAREILS DE DIAGNOSTIC PAR BALAYAGE ULTRASONIQUE (SCANNERS)</v>
      </c>
      <c r="C6611" s="4">
        <v>564.29999999999995</v>
      </c>
      <c r="D6611" s="4">
        <v>8440552</v>
      </c>
    </row>
    <row r="6612" spans="1:4" x14ac:dyDescent="0.25">
      <c r="A6612" t="str">
        <f>T("   901814")</f>
        <v xml:space="preserve">   901814</v>
      </c>
      <c r="B6612" t="str">
        <f>T("   APPAREILS DE SCINTIGRAPHIE")</f>
        <v xml:space="preserve">   APPAREILS DE SCINTIGRAPHIE</v>
      </c>
      <c r="C6612" s="4">
        <v>2</v>
      </c>
      <c r="D6612" s="4">
        <v>336080</v>
      </c>
    </row>
    <row r="6613" spans="1:4" x14ac:dyDescent="0.25">
      <c r="A6613" t="str">
        <f>T("   901819")</f>
        <v xml:space="preserve">   901819</v>
      </c>
      <c r="B6613" t="str">
        <f>T("   AUTRES")</f>
        <v xml:space="preserve">   AUTRES</v>
      </c>
      <c r="C6613" s="4">
        <v>132</v>
      </c>
      <c r="D6613" s="4">
        <v>942935</v>
      </c>
    </row>
    <row r="6614" spans="1:4" x14ac:dyDescent="0.25">
      <c r="A6614" t="str">
        <f>T("   901831")</f>
        <v xml:space="preserve">   901831</v>
      </c>
      <c r="B6614" t="str">
        <f>T("   SERINGUES, AVEC OU SANS AIGUILLES")</f>
        <v xml:space="preserve">   SERINGUES, AVEC OU SANS AIGUILLES</v>
      </c>
      <c r="C6614" s="4">
        <v>1022.63</v>
      </c>
      <c r="D6614" s="4">
        <v>2755964</v>
      </c>
    </row>
    <row r="6615" spans="1:4" x14ac:dyDescent="0.25">
      <c r="A6615" t="str">
        <f>T("   901890")</f>
        <v xml:space="preserve">   901890</v>
      </c>
      <c r="B6615" t="str">
        <f>T("   AUTRES INSTRUMENTS ET APPAREILS")</f>
        <v xml:space="preserve">   AUTRES INSTRUMENTS ET APPAREILS</v>
      </c>
      <c r="C6615" s="4">
        <v>2074.6999999999998</v>
      </c>
      <c r="D6615" s="4">
        <v>15597079</v>
      </c>
    </row>
    <row r="6616" spans="1:4" x14ac:dyDescent="0.25">
      <c r="A6616" t="str">
        <f>T("   902229")</f>
        <v xml:space="preserve">   902229</v>
      </c>
      <c r="B6616" t="str">
        <f>T("   POUR AUTRES USAGES")</f>
        <v xml:space="preserve">   POUR AUTRES USAGES</v>
      </c>
      <c r="C6616" s="4">
        <v>95</v>
      </c>
      <c r="D6616" s="4">
        <v>354879</v>
      </c>
    </row>
    <row r="6617" spans="1:4" x14ac:dyDescent="0.25">
      <c r="A6617" t="str">
        <f>T("   902730")</f>
        <v xml:space="preserve">   902730</v>
      </c>
      <c r="B6617" t="str">
        <f>T("   SPECTROMETRES, SPECTROPHOTOMETRES ET SPECTROGRAPHES UTILISANT LES RAYONNEMENTS OPTIQU")</f>
        <v xml:space="preserve">   SPECTROMETRES, SPECTROPHOTOMETRES ET SPECTROGRAPHES UTILISANT LES RAYONNEMENTS OPTIQU</v>
      </c>
      <c r="C6617" s="4">
        <v>922</v>
      </c>
      <c r="D6617" s="4">
        <v>14480939</v>
      </c>
    </row>
    <row r="6618" spans="1:4" x14ac:dyDescent="0.25">
      <c r="A6618" t="str">
        <f>T("   902830")</f>
        <v xml:space="preserve">   902830</v>
      </c>
      <c r="B6618" t="str">
        <f>T("   COMPTEURS D'ELECTRICITE")</f>
        <v xml:space="preserve">   COMPTEURS D'ELECTRICITE</v>
      </c>
      <c r="C6618" s="4">
        <v>3670</v>
      </c>
      <c r="D6618" s="4">
        <v>49722794</v>
      </c>
    </row>
    <row r="6619" spans="1:4" x14ac:dyDescent="0.25">
      <c r="A6619" t="str">
        <f>T("   910229")</f>
        <v xml:space="preserve">   910229</v>
      </c>
      <c r="B6619" t="str">
        <f>T("   AUTRES")</f>
        <v xml:space="preserve">   AUTRES</v>
      </c>
      <c r="C6619" s="4">
        <v>126</v>
      </c>
      <c r="D6619" s="4">
        <v>285000</v>
      </c>
    </row>
    <row r="6620" spans="1:4" x14ac:dyDescent="0.25">
      <c r="A6620" t="str">
        <f>T("   940159")</f>
        <v xml:space="preserve">   940159</v>
      </c>
      <c r="B6620" t="str">
        <f>T("   AUTRES")</f>
        <v xml:space="preserve">   AUTRES</v>
      </c>
      <c r="C6620" s="4">
        <v>132873</v>
      </c>
      <c r="D6620" s="4">
        <v>97933826</v>
      </c>
    </row>
    <row r="6621" spans="1:4" x14ac:dyDescent="0.25">
      <c r="A6621" t="str">
        <f>T("   940169")</f>
        <v xml:space="preserve">   940169</v>
      </c>
      <c r="B6621" t="str">
        <f>T("   AUTRES")</f>
        <v xml:space="preserve">   AUTRES</v>
      </c>
      <c r="C6621" s="4">
        <v>42690</v>
      </c>
      <c r="D6621" s="4">
        <v>32383086</v>
      </c>
    </row>
    <row r="6622" spans="1:4" x14ac:dyDescent="0.25">
      <c r="A6622" t="str">
        <f>T("   940350")</f>
        <v xml:space="preserve">   940350</v>
      </c>
      <c r="B6622" t="str">
        <f>T("   MEUBLES EN BOIS DES TYPES UTILISES DANS LES CHAMBRES A COUCHER")</f>
        <v xml:space="preserve">   MEUBLES EN BOIS DES TYPES UTILISES DANS LES CHAMBRES A COUCHER</v>
      </c>
      <c r="C6622" s="4">
        <v>1400</v>
      </c>
      <c r="D6622" s="4">
        <v>375000</v>
      </c>
    </row>
    <row r="6623" spans="1:4" x14ac:dyDescent="0.25">
      <c r="A6623" t="str">
        <f>T("   940360")</f>
        <v xml:space="preserve">   940360</v>
      </c>
      <c r="B6623" t="str">
        <f>T("   Autres meubles en bois")</f>
        <v xml:space="preserve">   Autres meubles en bois</v>
      </c>
      <c r="C6623" s="4">
        <v>52385</v>
      </c>
      <c r="D6623" s="4">
        <v>19350587</v>
      </c>
    </row>
    <row r="6624" spans="1:4" x14ac:dyDescent="0.25">
      <c r="A6624" t="str">
        <f>T("   940390")</f>
        <v xml:space="preserve">   940390</v>
      </c>
      <c r="B6624" t="str">
        <f>T("   PARTIES")</f>
        <v xml:space="preserve">   PARTIES</v>
      </c>
      <c r="C6624" s="4">
        <v>6229</v>
      </c>
      <c r="D6624" s="4">
        <v>1404066</v>
      </c>
    </row>
    <row r="6625" spans="1:4" x14ac:dyDescent="0.25">
      <c r="A6625" t="str">
        <f>T("   940540")</f>
        <v xml:space="preserve">   940540</v>
      </c>
      <c r="B6625" t="str">
        <f>T("   AUTRES APPAREILS D'ECLAIRAGE ELECTRIQUES")</f>
        <v xml:space="preserve">   AUTRES APPAREILS D'ECLAIRAGE ELECTRIQUES</v>
      </c>
      <c r="C6625" s="4">
        <v>132</v>
      </c>
      <c r="D6625" s="4">
        <v>389485</v>
      </c>
    </row>
    <row r="6626" spans="1:4" x14ac:dyDescent="0.25">
      <c r="A6626" t="str">
        <f>T("   940560")</f>
        <v xml:space="preserve">   940560</v>
      </c>
      <c r="B6626" t="str">
        <f>T("   LAMPESRECLAMES, ENSEIGNES LUMINEUSES, PLAQUES INDICATRICES LUMINEUSES ET ARTICLES SI")</f>
        <v xml:space="preserve">   LAMPESRECLAMES, ENSEIGNES LUMINEUSES, PLAQUES INDICATRICES LUMINEUSES ET ARTICLES SI</v>
      </c>
      <c r="C6626" s="4">
        <v>106</v>
      </c>
      <c r="D6626" s="4">
        <v>278818</v>
      </c>
    </row>
    <row r="6627" spans="1:4" x14ac:dyDescent="0.25">
      <c r="A6627" t="str">
        <f>T("   940599")</f>
        <v xml:space="preserve">   940599</v>
      </c>
      <c r="B6627" t="str">
        <f>T("   AUTRES")</f>
        <v xml:space="preserve">   AUTRES</v>
      </c>
      <c r="C6627" s="4">
        <v>21</v>
      </c>
      <c r="D6627" s="4">
        <v>74684</v>
      </c>
    </row>
    <row r="6628" spans="1:4" s="5" customFormat="1" x14ac:dyDescent="0.25">
      <c r="A6628" s="5" t="str">
        <f>T("   ZZ_Total_Produit_SH6")</f>
        <v xml:space="preserve">   ZZ_Total_Produit_SH6</v>
      </c>
      <c r="B6628" s="5" t="str">
        <f>T("   ZZ_Total_Produit_SH6")</f>
        <v xml:space="preserve">   ZZ_Total_Produit_SH6</v>
      </c>
      <c r="C6628" s="1">
        <v>27198612.239999998</v>
      </c>
      <c r="D6628" s="1">
        <v>11493435803.188999</v>
      </c>
    </row>
    <row r="6629" spans="1:4" s="5" customFormat="1" x14ac:dyDescent="0.25">
      <c r="B6629" s="5" t="str">
        <f>T("Heard et McDonald, îles")</f>
        <v>Heard et McDonald, îles</v>
      </c>
      <c r="C6629" s="1"/>
      <c r="D6629" s="1"/>
    </row>
    <row r="6630" spans="1:4" x14ac:dyDescent="0.25">
      <c r="A6630" t="str">
        <f>T("   630790")</f>
        <v xml:space="preserve">   630790</v>
      </c>
      <c r="B6630" t="str">
        <f>T("   AUTRES")</f>
        <v xml:space="preserve">   AUTRES</v>
      </c>
      <c r="C6630" s="4">
        <v>65</v>
      </c>
      <c r="D6630" s="4">
        <v>2237104</v>
      </c>
    </row>
    <row r="6631" spans="1:4" x14ac:dyDescent="0.25">
      <c r="A6631" t="str">
        <f>T("   631090")</f>
        <v xml:space="preserve">   631090</v>
      </c>
      <c r="B6631" t="str">
        <f>T("   AUTRES")</f>
        <v xml:space="preserve">   AUTRES</v>
      </c>
      <c r="C6631" s="4">
        <v>1.5</v>
      </c>
      <c r="D6631" s="4">
        <v>90169</v>
      </c>
    </row>
    <row r="6632" spans="1:4" x14ac:dyDescent="0.25">
      <c r="A6632" t="str">
        <f>T("   847190")</f>
        <v xml:space="preserve">   847190</v>
      </c>
      <c r="B6632" t="str">
        <f>T("   AUTRES")</f>
        <v xml:space="preserve">   AUTRES</v>
      </c>
      <c r="C6632" s="4">
        <v>14.9</v>
      </c>
      <c r="D6632" s="4">
        <v>2486805</v>
      </c>
    </row>
    <row r="6633" spans="1:4" x14ac:dyDescent="0.25">
      <c r="A6633" t="str">
        <f>T("   848240")</f>
        <v xml:space="preserve">   848240</v>
      </c>
      <c r="B6633" t="str">
        <f>T("   ROULEMENTS A AIGUILLES")</f>
        <v xml:space="preserve">   ROULEMENTS A AIGUILLES</v>
      </c>
      <c r="C6633" s="4">
        <v>83.5</v>
      </c>
      <c r="D6633" s="4">
        <v>3928399</v>
      </c>
    </row>
    <row r="6634" spans="1:4" x14ac:dyDescent="0.25">
      <c r="A6634" t="str">
        <f>T("   850780")</f>
        <v xml:space="preserve">   850780</v>
      </c>
      <c r="B6634" t="str">
        <f>T("   AUTRES ACCUMULATEURS")</f>
        <v xml:space="preserve">   AUTRES ACCUMULATEURS</v>
      </c>
      <c r="C6634" s="4">
        <v>0.4</v>
      </c>
      <c r="D6634" s="4">
        <v>136341</v>
      </c>
    </row>
    <row r="6635" spans="1:4" x14ac:dyDescent="0.25">
      <c r="A6635" t="str">
        <f>T("   851769")</f>
        <v xml:space="preserve">   851769</v>
      </c>
      <c r="B6635" t="str">
        <f>T("   AUTRES")</f>
        <v xml:space="preserve">   AUTRES</v>
      </c>
      <c r="C6635" s="4">
        <v>17</v>
      </c>
      <c r="D6635" s="4">
        <v>610477</v>
      </c>
    </row>
    <row r="6636" spans="1:4" x14ac:dyDescent="0.25">
      <c r="A6636" t="str">
        <f>T("   902230")</f>
        <v xml:space="preserve">   902230</v>
      </c>
      <c r="B6636" t="str">
        <f>T("   TUBES A RAYONS X")</f>
        <v xml:space="preserve">   TUBES A RAYONS X</v>
      </c>
      <c r="C6636" s="4">
        <v>3</v>
      </c>
      <c r="D6636" s="4">
        <v>8724808</v>
      </c>
    </row>
    <row r="6637" spans="1:4" x14ac:dyDescent="0.25">
      <c r="A6637" t="str">
        <f>T("   950430")</f>
        <v xml:space="preserve">   950430</v>
      </c>
      <c r="B6637" t="str">
        <f>T("   AUTRES JEUX FONCTIONNANT PAR L'INTRODUCTION D'UNE PIECE DE MONNAIE, D'UN BILLET DE BA")</f>
        <v xml:space="preserve">   AUTRES JEUX FONCTIONNANT PAR L'INTRODUCTION D'UNE PIECE DE MONNAIE, D'UN BILLET DE BA</v>
      </c>
      <c r="C6637" s="4">
        <v>18</v>
      </c>
      <c r="D6637" s="4">
        <v>147059</v>
      </c>
    </row>
    <row r="6638" spans="1:4" s="5" customFormat="1" x14ac:dyDescent="0.25">
      <c r="A6638" s="5" t="str">
        <f>T("   ZZ_Total_Produit_SH6")</f>
        <v xml:space="preserve">   ZZ_Total_Produit_SH6</v>
      </c>
      <c r="B6638" s="5" t="str">
        <f>T("   ZZ_Total_Produit_SH6")</f>
        <v xml:space="preserve">   ZZ_Total_Produit_SH6</v>
      </c>
      <c r="C6638" s="1">
        <v>203.3</v>
      </c>
      <c r="D6638" s="1">
        <v>18361162</v>
      </c>
    </row>
    <row r="6639" spans="1:4" s="5" customFormat="1" x14ac:dyDescent="0.25">
      <c r="B6639" s="5" t="str">
        <f>T("Honduras")</f>
        <v>Honduras</v>
      </c>
      <c r="C6639" s="1"/>
      <c r="D6639" s="1"/>
    </row>
    <row r="6640" spans="1:4" x14ac:dyDescent="0.25">
      <c r="A6640" t="str">
        <f>T("   847190")</f>
        <v xml:space="preserve">   847190</v>
      </c>
      <c r="B6640" t="str">
        <f>T("   AUTRES")</f>
        <v xml:space="preserve">   AUTRES</v>
      </c>
      <c r="C6640" s="4">
        <v>0.4</v>
      </c>
      <c r="D6640" s="4">
        <v>89286</v>
      </c>
    </row>
    <row r="6641" spans="1:4" s="5" customFormat="1" x14ac:dyDescent="0.25">
      <c r="A6641" s="5" t="str">
        <f>T("   ZZ_Total_Produit_SH6")</f>
        <v xml:space="preserve">   ZZ_Total_Produit_SH6</v>
      </c>
      <c r="B6641" s="5" t="str">
        <f>T("   ZZ_Total_Produit_SH6")</f>
        <v xml:space="preserve">   ZZ_Total_Produit_SH6</v>
      </c>
      <c r="C6641" s="1">
        <v>0.4</v>
      </c>
      <c r="D6641" s="1">
        <v>89286</v>
      </c>
    </row>
    <row r="6642" spans="1:4" s="5" customFormat="1" x14ac:dyDescent="0.25">
      <c r="B6642" s="5" t="str">
        <f>T("Croatie")</f>
        <v>Croatie</v>
      </c>
      <c r="C6642" s="1"/>
      <c r="D6642" s="1"/>
    </row>
    <row r="6643" spans="1:4" x14ac:dyDescent="0.25">
      <c r="A6643" t="str">
        <f>T("   390750")</f>
        <v xml:space="preserve">   390750</v>
      </c>
      <c r="B6643" t="str">
        <f>T("   RESINES ALKYDES")</f>
        <v xml:space="preserve">   RESINES ALKYDES</v>
      </c>
      <c r="C6643" s="4">
        <v>17600</v>
      </c>
      <c r="D6643" s="4">
        <v>25375813</v>
      </c>
    </row>
    <row r="6644" spans="1:4" x14ac:dyDescent="0.25">
      <c r="A6644" t="str">
        <f>T("   700529")</f>
        <v xml:space="preserve">   700529</v>
      </c>
      <c r="B6644" t="str">
        <f>T("   AUTRE")</f>
        <v xml:space="preserve">   AUTRE</v>
      </c>
      <c r="C6644" s="4">
        <v>13250</v>
      </c>
      <c r="D6644" s="4">
        <v>6050783</v>
      </c>
    </row>
    <row r="6645" spans="1:4" x14ac:dyDescent="0.25">
      <c r="A6645" t="str">
        <f>T("   842920")</f>
        <v xml:space="preserve">   842920</v>
      </c>
      <c r="B6645" t="str">
        <f>T("   NIVELEUSES")</f>
        <v xml:space="preserve">   NIVELEUSES</v>
      </c>
      <c r="C6645" s="4">
        <v>13200</v>
      </c>
      <c r="D6645" s="4">
        <v>13500313</v>
      </c>
    </row>
    <row r="6646" spans="1:4" x14ac:dyDescent="0.25">
      <c r="A6646" t="str">
        <f>T("   842959")</f>
        <v xml:space="preserve">   842959</v>
      </c>
      <c r="B6646" t="str">
        <f>T("   AUTRES")</f>
        <v xml:space="preserve">   AUTRES</v>
      </c>
      <c r="C6646" s="4">
        <v>29420</v>
      </c>
      <c r="D6646" s="4">
        <v>25064232</v>
      </c>
    </row>
    <row r="6647" spans="1:4" x14ac:dyDescent="0.25">
      <c r="A6647" t="str">
        <f>T("   870120")</f>
        <v xml:space="preserve">   870120</v>
      </c>
      <c r="B6647" t="str">
        <f>T("   TRACTEURS ROUTIERS POUR SEMIREMORQUES")</f>
        <v xml:space="preserve">   TRACTEURS ROUTIERS POUR SEMIREMORQUES</v>
      </c>
      <c r="C6647" s="4">
        <v>7500</v>
      </c>
      <c r="D6647" s="4">
        <v>2000000</v>
      </c>
    </row>
    <row r="6648" spans="1:4" s="5" customFormat="1" x14ac:dyDescent="0.25">
      <c r="A6648" s="5" t="str">
        <f>T("   ZZ_Total_Produit_SH6")</f>
        <v xml:space="preserve">   ZZ_Total_Produit_SH6</v>
      </c>
      <c r="B6648" s="5" t="str">
        <f>T("   ZZ_Total_Produit_SH6")</f>
        <v xml:space="preserve">   ZZ_Total_Produit_SH6</v>
      </c>
      <c r="C6648" s="1">
        <v>80970</v>
      </c>
      <c r="D6648" s="1">
        <v>71991141</v>
      </c>
    </row>
    <row r="6649" spans="1:4" s="5" customFormat="1" x14ac:dyDescent="0.25">
      <c r="B6649" s="5" t="str">
        <f>T("Hongrie")</f>
        <v>Hongrie</v>
      </c>
      <c r="C6649" s="1"/>
      <c r="D6649" s="1"/>
    </row>
    <row r="6650" spans="1:4" x14ac:dyDescent="0.25">
      <c r="A6650" t="str">
        <f>T("   491199")</f>
        <v xml:space="preserve">   491199</v>
      </c>
      <c r="B6650" t="str">
        <f>T("   AUTRES")</f>
        <v xml:space="preserve">   AUTRES</v>
      </c>
      <c r="C6650" s="4">
        <v>869</v>
      </c>
      <c r="D6650" s="4">
        <v>533261</v>
      </c>
    </row>
    <row r="6651" spans="1:4" x14ac:dyDescent="0.25">
      <c r="A6651" t="str">
        <f>T("   630900")</f>
        <v xml:space="preserve">   630900</v>
      </c>
      <c r="B6651" t="str">
        <f>T("   ARTICLES DE FRIPERIE.")</f>
        <v xml:space="preserve">   ARTICLES DE FRIPERIE.</v>
      </c>
      <c r="C6651" s="4">
        <v>286234</v>
      </c>
      <c r="D6651" s="4">
        <v>160134700</v>
      </c>
    </row>
    <row r="6652" spans="1:4" x14ac:dyDescent="0.25">
      <c r="A6652" t="str">
        <f>T("   842139")</f>
        <v xml:space="preserve">   842139</v>
      </c>
      <c r="B6652" t="str">
        <f>T("   AUTRES")</f>
        <v xml:space="preserve">   AUTRES</v>
      </c>
      <c r="C6652" s="4">
        <v>1</v>
      </c>
      <c r="D6652" s="4">
        <v>2635</v>
      </c>
    </row>
    <row r="6653" spans="1:4" x14ac:dyDescent="0.25">
      <c r="A6653" t="str">
        <f>T("   843149")</f>
        <v xml:space="preserve">   843149</v>
      </c>
      <c r="B6653" t="str">
        <f>T("   AUTRES")</f>
        <v xml:space="preserve">   AUTRES</v>
      </c>
      <c r="C6653" s="4">
        <v>5</v>
      </c>
      <c r="D6653" s="4">
        <v>780592</v>
      </c>
    </row>
    <row r="6654" spans="1:4" x14ac:dyDescent="0.25">
      <c r="A6654" t="str">
        <f>T("   847190")</f>
        <v xml:space="preserve">   847190</v>
      </c>
      <c r="B6654" t="str">
        <f>T("   AUTRES")</f>
        <v xml:space="preserve">   AUTRES</v>
      </c>
      <c r="C6654" s="4">
        <v>4.5</v>
      </c>
      <c r="D6654" s="4">
        <v>593959</v>
      </c>
    </row>
    <row r="6655" spans="1:4" x14ac:dyDescent="0.25">
      <c r="A6655" t="str">
        <f>T("   851712")</f>
        <v xml:space="preserve">   851712</v>
      </c>
      <c r="B6655" t="str">
        <f>T("   TELEPHONES POUR RESEAUX CELLULAIRES ET POUR AUTRES RESEAUX SANS FIL")</f>
        <v xml:space="preserve">   TELEPHONES POUR RESEAUX CELLULAIRES ET POUR AUTRES RESEAUX SANS FIL</v>
      </c>
      <c r="C6655" s="4">
        <v>138.69999999999999</v>
      </c>
      <c r="D6655" s="4">
        <v>451032</v>
      </c>
    </row>
    <row r="6656" spans="1:4" x14ac:dyDescent="0.25">
      <c r="A6656" t="str">
        <f>T("   851770")</f>
        <v xml:space="preserve">   851770</v>
      </c>
      <c r="B6656" t="str">
        <f>T("   PARTIES")</f>
        <v xml:space="preserve">   PARTIES</v>
      </c>
      <c r="C6656" s="4">
        <v>661.8</v>
      </c>
      <c r="D6656" s="4">
        <v>2177379</v>
      </c>
    </row>
    <row r="6657" spans="1:4" x14ac:dyDescent="0.25">
      <c r="A6657" t="str">
        <f>T("   854129")</f>
        <v xml:space="preserve">   854129</v>
      </c>
      <c r="B6657" t="str">
        <f>T("   AUTRES")</f>
        <v xml:space="preserve">   AUTRES</v>
      </c>
      <c r="C6657" s="4">
        <v>0.1</v>
      </c>
      <c r="D6657" s="4">
        <v>96588</v>
      </c>
    </row>
    <row r="6658" spans="1:4" x14ac:dyDescent="0.25">
      <c r="A6658" t="str">
        <f>T("   854520")</f>
        <v xml:space="preserve">   854520</v>
      </c>
      <c r="B6658" t="str">
        <f>T("   BALAIS")</f>
        <v xml:space="preserve">   BALAIS</v>
      </c>
      <c r="C6658" s="4">
        <v>10</v>
      </c>
      <c r="D6658" s="4">
        <v>938668</v>
      </c>
    </row>
    <row r="6659" spans="1:4" s="5" customFormat="1" x14ac:dyDescent="0.25">
      <c r="A6659" s="5" t="str">
        <f>T("   ZZ_Total_Produit_SH6")</f>
        <v xml:space="preserve">   ZZ_Total_Produit_SH6</v>
      </c>
      <c r="B6659" s="5" t="str">
        <f>T("   ZZ_Total_Produit_SH6")</f>
        <v xml:space="preserve">   ZZ_Total_Produit_SH6</v>
      </c>
      <c r="C6659" s="1">
        <v>287924.09999999998</v>
      </c>
      <c r="D6659" s="1">
        <v>165708814</v>
      </c>
    </row>
    <row r="6660" spans="1:4" s="5" customFormat="1" x14ac:dyDescent="0.25">
      <c r="B6660" s="5" t="str">
        <f>T("Indonésie")</f>
        <v>Indonésie</v>
      </c>
      <c r="C6660" s="1"/>
      <c r="D6660" s="1"/>
    </row>
    <row r="6661" spans="1:4" x14ac:dyDescent="0.25">
      <c r="A6661" t="str">
        <f>T("   151190")</f>
        <v xml:space="preserve">   151190</v>
      </c>
      <c r="B6661" t="str">
        <f>T("   AUTRES")</f>
        <v xml:space="preserve">   AUTRES</v>
      </c>
      <c r="C6661" s="4">
        <v>7693256</v>
      </c>
      <c r="D6661" s="4">
        <v>2918540516.4829998</v>
      </c>
    </row>
    <row r="6662" spans="1:4" x14ac:dyDescent="0.25">
      <c r="A6662" t="str">
        <f>T("   151229")</f>
        <v xml:space="preserve">   151229</v>
      </c>
      <c r="B6662" t="str">
        <f>T("   AUTRES")</f>
        <v xml:space="preserve">   AUTRES</v>
      </c>
      <c r="C6662" s="4">
        <v>14312</v>
      </c>
      <c r="D6662" s="4">
        <v>5500000</v>
      </c>
    </row>
    <row r="6663" spans="1:4" x14ac:dyDescent="0.25">
      <c r="A6663" t="str">
        <f>T("   151620")</f>
        <v xml:space="preserve">   151620</v>
      </c>
      <c r="B6663" t="str">
        <f>T("   GRAISSES ET HUILES VEGETALES ET LEURS FRACTIONS")</f>
        <v xml:space="preserve">   GRAISSES ET HUILES VEGETALES ET LEURS FRACTIONS</v>
      </c>
      <c r="C6663" s="4">
        <v>17371854</v>
      </c>
      <c r="D6663" s="4">
        <v>4286063040</v>
      </c>
    </row>
    <row r="6664" spans="1:4" x14ac:dyDescent="0.25">
      <c r="A6664" t="str">
        <f>T("   151710")</f>
        <v xml:space="preserve">   151710</v>
      </c>
      <c r="B6664" t="str">
        <f>T("   Margarine, a l'exclusion de la margarine liquide")</f>
        <v xml:space="preserve">   Margarine, a l'exclusion de la margarine liquide</v>
      </c>
      <c r="C6664" s="4">
        <v>394374</v>
      </c>
      <c r="D6664" s="4">
        <v>113817146</v>
      </c>
    </row>
    <row r="6665" spans="1:4" x14ac:dyDescent="0.25">
      <c r="A6665" t="str">
        <f>T("   160413")</f>
        <v xml:space="preserve">   160413</v>
      </c>
      <c r="B6665" t="str">
        <f>T("   SARDINES, SARDINELLES ET SPRATS OU ESPROTS")</f>
        <v xml:space="preserve">   SARDINES, SARDINELLES ET SPRATS OU ESPROTS</v>
      </c>
      <c r="C6665" s="4">
        <v>138400</v>
      </c>
      <c r="D6665" s="4">
        <v>59292000</v>
      </c>
    </row>
    <row r="6666" spans="1:4" x14ac:dyDescent="0.25">
      <c r="A6666" t="str">
        <f>T("   170490")</f>
        <v xml:space="preserve">   170490</v>
      </c>
      <c r="B6666" t="str">
        <f>T("   AUTRES")</f>
        <v xml:space="preserve">   AUTRES</v>
      </c>
      <c r="C6666" s="4">
        <v>57928</v>
      </c>
      <c r="D6666" s="4">
        <v>10050620</v>
      </c>
    </row>
    <row r="6667" spans="1:4" x14ac:dyDescent="0.25">
      <c r="A6667" t="str">
        <f>T("   200540")</f>
        <v xml:space="preserve">   200540</v>
      </c>
      <c r="B6667" t="str">
        <f>T("   POIS (PISUM SATIVUM)")</f>
        <v xml:space="preserve">   POIS (PISUM SATIVUM)</v>
      </c>
      <c r="C6667" s="4">
        <v>27200</v>
      </c>
      <c r="D6667" s="4">
        <v>9724476</v>
      </c>
    </row>
    <row r="6668" spans="1:4" x14ac:dyDescent="0.25">
      <c r="A6668" t="str">
        <f>T("   210320")</f>
        <v xml:space="preserve">   210320</v>
      </c>
      <c r="B6668" t="str">
        <f>T("   «TOMATOKETCHUP» ET AUTRES SAUCES TOMATES")</f>
        <v xml:space="preserve">   «TOMATOKETCHUP» ET AUTRES SAUCES TOMATES</v>
      </c>
      <c r="C6668" s="4">
        <v>9988</v>
      </c>
      <c r="D6668" s="4">
        <v>1190567</v>
      </c>
    </row>
    <row r="6669" spans="1:4" x14ac:dyDescent="0.25">
      <c r="A6669" t="str">
        <f>T("   220290")</f>
        <v xml:space="preserve">   220290</v>
      </c>
      <c r="B6669" t="str">
        <f>T("   AUTRES")</f>
        <v xml:space="preserve">   AUTRES</v>
      </c>
      <c r="C6669" s="4">
        <v>17100</v>
      </c>
      <c r="D6669" s="4">
        <v>2033476</v>
      </c>
    </row>
    <row r="6670" spans="1:4" x14ac:dyDescent="0.25">
      <c r="A6670" t="str">
        <f>T("   293420")</f>
        <v xml:space="preserve">   293420</v>
      </c>
      <c r="B6670" t="str">
        <f>T("   COMPOSES COMPORTANT UNE STRUCTURE A CYCLES BENZOTHIAZOLE (HYDROGENES OU NON) SANS AUT")</f>
        <v xml:space="preserve">   COMPOSES COMPORTANT UNE STRUCTURE A CYCLES BENZOTHIAZOLE (HYDROGENES OU NON) SANS AUT</v>
      </c>
      <c r="C6670" s="4">
        <v>422184</v>
      </c>
      <c r="D6670" s="4">
        <v>92527499</v>
      </c>
    </row>
    <row r="6671" spans="1:4" x14ac:dyDescent="0.25">
      <c r="A6671" t="str">
        <f>T("   300490")</f>
        <v xml:space="preserve">   300490</v>
      </c>
      <c r="B6671" t="str">
        <f>T("   AUTRES")</f>
        <v xml:space="preserve">   AUTRES</v>
      </c>
      <c r="C6671" s="4">
        <v>84000</v>
      </c>
      <c r="D6671" s="4">
        <v>224127000</v>
      </c>
    </row>
    <row r="6672" spans="1:4" x14ac:dyDescent="0.25">
      <c r="A6672" t="str">
        <f>T("   320910")</f>
        <v xml:space="preserve">   320910</v>
      </c>
      <c r="B6672" t="str">
        <f>T("   A BASE DE POLYMERES ACRYLIQUES OU VINYLIQUES")</f>
        <v xml:space="preserve">   A BASE DE POLYMERES ACRYLIQUES OU VINYLIQUES</v>
      </c>
      <c r="C6672" s="4">
        <v>130</v>
      </c>
      <c r="D6672" s="4">
        <v>303119</v>
      </c>
    </row>
    <row r="6673" spans="1:4" x14ac:dyDescent="0.25">
      <c r="A6673" t="str">
        <f>T("   340111")</f>
        <v xml:space="preserve">   340111</v>
      </c>
      <c r="B6673" t="str">
        <f>T("   DE TOILETTE (Y COMPRIS CEUX A USAGES MEDICAUX)")</f>
        <v xml:space="preserve">   DE TOILETTE (Y COMPRIS CEUX A USAGES MEDICAUX)</v>
      </c>
      <c r="C6673" s="4">
        <v>659003</v>
      </c>
      <c r="D6673" s="4">
        <v>142739082</v>
      </c>
    </row>
    <row r="6674" spans="1:4" x14ac:dyDescent="0.25">
      <c r="A6674" t="str">
        <f>T("   340119")</f>
        <v xml:space="preserve">   340119</v>
      </c>
      <c r="B6674" t="str">
        <f>T("   AUTRES")</f>
        <v xml:space="preserve">   AUTRES</v>
      </c>
      <c r="C6674" s="4">
        <v>2134233</v>
      </c>
      <c r="D6674" s="4">
        <v>366037450</v>
      </c>
    </row>
    <row r="6675" spans="1:4" x14ac:dyDescent="0.25">
      <c r="A6675" t="str">
        <f>T("   340120")</f>
        <v xml:space="preserve">   340120</v>
      </c>
      <c r="B6675" t="str">
        <f>T("   SAVONS SOUS AUTRES FORMES")</f>
        <v xml:space="preserve">   SAVONS SOUS AUTRES FORMES</v>
      </c>
      <c r="C6675" s="4">
        <v>21400</v>
      </c>
      <c r="D6675" s="4">
        <v>3057081</v>
      </c>
    </row>
    <row r="6676" spans="1:4" x14ac:dyDescent="0.25">
      <c r="A6676" t="str">
        <f>T("   340219")</f>
        <v xml:space="preserve">   340219</v>
      </c>
      <c r="B6676" t="str">
        <f>T("   AUTRES")</f>
        <v xml:space="preserve">   AUTRES</v>
      </c>
      <c r="C6676" s="4">
        <v>303470</v>
      </c>
      <c r="D6676" s="4">
        <v>100087160</v>
      </c>
    </row>
    <row r="6677" spans="1:4" x14ac:dyDescent="0.25">
      <c r="A6677" t="str">
        <f>T("   340600")</f>
        <v xml:space="preserve">   340600</v>
      </c>
      <c r="B6677" t="str">
        <f>T("   BOUGIES, CHANDELLES, CIERGES ET ARTICLES SIMILAIRES.")</f>
        <v xml:space="preserve">   BOUGIES, CHANDELLES, CIERGES ET ARTICLES SIMILAIRES.</v>
      </c>
      <c r="C6677" s="4">
        <v>23500</v>
      </c>
      <c r="D6677" s="4">
        <v>5462000</v>
      </c>
    </row>
    <row r="6678" spans="1:4" x14ac:dyDescent="0.25">
      <c r="A6678" t="str">
        <f>T("   391910")</f>
        <v xml:space="preserve">   391910</v>
      </c>
      <c r="B6678" t="str">
        <f>T("   EN ROULEAUX D'UNE LARGEUR N'EXCEDANT PAS 20 CM")</f>
        <v xml:space="preserve">   EN ROULEAUX D'UNE LARGEUR N'EXCEDANT PAS 20 CM</v>
      </c>
      <c r="C6678" s="4">
        <v>13122</v>
      </c>
      <c r="D6678" s="4">
        <v>16700806</v>
      </c>
    </row>
    <row r="6679" spans="1:4" x14ac:dyDescent="0.25">
      <c r="A6679" t="str">
        <f>T("   392310")</f>
        <v xml:space="preserve">   392310</v>
      </c>
      <c r="B6679" t="str">
        <f>T("   BOITES, CAISSES, CASIERS ET ARTICLES SIMILAIRES")</f>
        <v xml:space="preserve">   BOITES, CAISSES, CASIERS ET ARTICLES SIMILAIRES</v>
      </c>
      <c r="C6679" s="4">
        <v>2340</v>
      </c>
      <c r="D6679" s="4">
        <v>1070000</v>
      </c>
    </row>
    <row r="6680" spans="1:4" x14ac:dyDescent="0.25">
      <c r="A6680" t="str">
        <f>T("   392329")</f>
        <v xml:space="preserve">   392329</v>
      </c>
      <c r="B6680" t="str">
        <f>T("   EN AUTRES MATIERES PLASTIQUES")</f>
        <v xml:space="preserve">   EN AUTRES MATIERES PLASTIQUES</v>
      </c>
      <c r="C6680" s="4">
        <v>32218</v>
      </c>
      <c r="D6680" s="4">
        <v>5446020</v>
      </c>
    </row>
    <row r="6681" spans="1:4" x14ac:dyDescent="0.25">
      <c r="A6681" t="str">
        <f>T("   392690")</f>
        <v xml:space="preserve">   392690</v>
      </c>
      <c r="B6681" t="str">
        <f>T("   AUTRES")</f>
        <v xml:space="preserve">   AUTRES</v>
      </c>
      <c r="C6681" s="4">
        <v>184</v>
      </c>
      <c r="D6681" s="4">
        <v>455869</v>
      </c>
    </row>
    <row r="6682" spans="1:4" x14ac:dyDescent="0.25">
      <c r="A6682" t="str">
        <f>T("   401110")</f>
        <v xml:space="preserve">   401110</v>
      </c>
      <c r="B6682" t="str">
        <f>T("   DES TYPES UTILISES POUR LES VOITURES DE TOURISME (Y COMPRIS LES VOITURES DU TYPE «BRE")</f>
        <v xml:space="preserve">   DES TYPES UTILISES POUR LES VOITURES DE TOURISME (Y COMPRIS LES VOITURES DU TYPE «BRE</v>
      </c>
      <c r="C6682" s="4">
        <v>401</v>
      </c>
      <c r="D6682" s="4">
        <v>1360461</v>
      </c>
    </row>
    <row r="6683" spans="1:4" x14ac:dyDescent="0.25">
      <c r="A6683" t="str">
        <f>T("   420229")</f>
        <v xml:space="preserve">   420229</v>
      </c>
      <c r="B6683" t="str">
        <f>T("   AUTRES")</f>
        <v xml:space="preserve">   AUTRES</v>
      </c>
      <c r="C6683" s="4">
        <v>65662</v>
      </c>
      <c r="D6683" s="4">
        <v>4371318</v>
      </c>
    </row>
    <row r="6684" spans="1:4" x14ac:dyDescent="0.25">
      <c r="A6684" t="str">
        <f>T("   480254")</f>
        <v xml:space="preserve">   480254</v>
      </c>
      <c r="B6684" t="str">
        <f>T("   D'UN POIDS AU M² INFERIEUR A 40 G")</f>
        <v xml:space="preserve">   D'UN POIDS AU M² INFERIEUR A 40 G</v>
      </c>
      <c r="C6684" s="4">
        <v>41500</v>
      </c>
      <c r="D6684" s="4">
        <v>15756159</v>
      </c>
    </row>
    <row r="6685" spans="1:4" x14ac:dyDescent="0.25">
      <c r="A6685" t="str">
        <f>T("   480257")</f>
        <v xml:space="preserve">   480257</v>
      </c>
      <c r="B6685" t="str">
        <f>T("   AUTRES, D'UN POIDS AU M² DE 40 G OU PLUS MAIS N'EXCEDANT PAS 150 G")</f>
        <v xml:space="preserve">   AUTRES, D'UN POIDS AU M² DE 40 G OU PLUS MAIS N'EXCEDANT PAS 150 G</v>
      </c>
      <c r="C6685" s="4">
        <v>941341</v>
      </c>
      <c r="D6685" s="4">
        <v>423350733</v>
      </c>
    </row>
    <row r="6686" spans="1:4" x14ac:dyDescent="0.25">
      <c r="A6686" t="str">
        <f>T("   480258")</f>
        <v xml:space="preserve">   480258</v>
      </c>
      <c r="B6686" t="str">
        <f>T("   D'UN POIDS AU M² EXCEDANT 150 G")</f>
        <v xml:space="preserve">   D'UN POIDS AU M² EXCEDANT 150 G</v>
      </c>
      <c r="C6686" s="4">
        <v>222388.5</v>
      </c>
      <c r="D6686" s="4">
        <v>94963339</v>
      </c>
    </row>
    <row r="6687" spans="1:4" x14ac:dyDescent="0.25">
      <c r="A6687" t="str">
        <f>T("   480261")</f>
        <v xml:space="preserve">   480261</v>
      </c>
      <c r="B6687" t="str">
        <f>T("   EN ROULEAUX")</f>
        <v xml:space="preserve">   EN ROULEAUX</v>
      </c>
      <c r="C6687" s="4">
        <v>74020</v>
      </c>
      <c r="D6687" s="4">
        <v>31170281</v>
      </c>
    </row>
    <row r="6688" spans="1:4" x14ac:dyDescent="0.25">
      <c r="A6688" t="str">
        <f>T("   480593")</f>
        <v xml:space="preserve">   480593</v>
      </c>
      <c r="B6688" t="str">
        <f>T("   D'UN POIDS AU M² EGAL OU SUPERIEUR A 225 G")</f>
        <v xml:space="preserve">   D'UN POIDS AU M² EGAL OU SUPERIEUR A 225 G</v>
      </c>
      <c r="C6688" s="4">
        <v>70650</v>
      </c>
      <c r="D6688" s="4">
        <v>33148640</v>
      </c>
    </row>
    <row r="6689" spans="1:4" x14ac:dyDescent="0.25">
      <c r="A6689" t="str">
        <f>T("   480990")</f>
        <v xml:space="preserve">   480990</v>
      </c>
      <c r="B6689" t="str">
        <f>T("    AUTRES")</f>
        <v xml:space="preserve">    AUTRES</v>
      </c>
      <c r="C6689" s="4">
        <v>41882</v>
      </c>
      <c r="D6689" s="4">
        <v>19590901</v>
      </c>
    </row>
    <row r="6690" spans="1:4" x14ac:dyDescent="0.25">
      <c r="A6690" t="str">
        <f>T("   481019")</f>
        <v xml:space="preserve">   481019</v>
      </c>
      <c r="B6690" t="str">
        <f>T("   AUTRES")</f>
        <v xml:space="preserve">   AUTRES</v>
      </c>
      <c r="C6690" s="4">
        <v>84160</v>
      </c>
      <c r="D6690" s="4">
        <v>14761068</v>
      </c>
    </row>
    <row r="6691" spans="1:4" x14ac:dyDescent="0.25">
      <c r="A6691" t="str">
        <f>T("   481029")</f>
        <v xml:space="preserve">   481029</v>
      </c>
      <c r="B6691" t="str">
        <f>T("   AUTRES")</f>
        <v xml:space="preserve">   AUTRES</v>
      </c>
      <c r="C6691" s="4">
        <v>59668</v>
      </c>
      <c r="D6691" s="4">
        <v>8856116</v>
      </c>
    </row>
    <row r="6692" spans="1:4" x14ac:dyDescent="0.25">
      <c r="A6692" t="str">
        <f>T("   481910")</f>
        <v xml:space="preserve">   481910</v>
      </c>
      <c r="B6692" t="str">
        <f>T("   BOITES ET CAISSES EN PAPIER OU CARTON ONDULE")</f>
        <v xml:space="preserve">   BOITES ET CAISSES EN PAPIER OU CARTON ONDULE</v>
      </c>
      <c r="C6692" s="4">
        <v>19209</v>
      </c>
      <c r="D6692" s="4">
        <v>7919703</v>
      </c>
    </row>
    <row r="6693" spans="1:4" x14ac:dyDescent="0.25">
      <c r="A6693" t="str">
        <f>T("   482020")</f>
        <v xml:space="preserve">   482020</v>
      </c>
      <c r="B6693" t="str">
        <f>T("   Cahiers")</f>
        <v xml:space="preserve">   Cahiers</v>
      </c>
      <c r="C6693" s="4">
        <v>490131</v>
      </c>
      <c r="D6693" s="4">
        <v>123854019</v>
      </c>
    </row>
    <row r="6694" spans="1:4" x14ac:dyDescent="0.25">
      <c r="A6694" t="str">
        <f>T("   482030")</f>
        <v xml:space="preserve">   482030</v>
      </c>
      <c r="B6694" t="str">
        <f>T("   CLASSEURS, RELIURES (AUTRES QUE LES COUVERTURES POUR LIVRES), CHEMISES ET COUVERTURES")</f>
        <v xml:space="preserve">   CLASSEURS, RELIURES (AUTRES QUE LES COUVERTURES POUR LIVRES), CHEMISES ET COUVERTURES</v>
      </c>
      <c r="C6694" s="4">
        <v>9596</v>
      </c>
      <c r="D6694" s="4">
        <v>5197132</v>
      </c>
    </row>
    <row r="6695" spans="1:4" x14ac:dyDescent="0.25">
      <c r="A6695" t="str">
        <f>T("   490199")</f>
        <v xml:space="preserve">   490199</v>
      </c>
      <c r="B6695" t="str">
        <f>T("   AUTRES")</f>
        <v xml:space="preserve">   AUTRES</v>
      </c>
      <c r="C6695" s="4">
        <v>19</v>
      </c>
      <c r="D6695" s="4">
        <v>64129</v>
      </c>
    </row>
    <row r="6696" spans="1:4" x14ac:dyDescent="0.25">
      <c r="A6696" t="str">
        <f>T("   491000")</f>
        <v xml:space="preserve">   491000</v>
      </c>
      <c r="B6696" t="str">
        <f>T("   CALENDRIERS DE TOUS GENRES, IMPRIMES, Y COMPRIS LES BLOCS DE CALENDRIERS A EFFEUILLER.")</f>
        <v xml:space="preserve">   CALENDRIERS DE TOUS GENRES, IMPRIMES, Y COMPRIS LES BLOCS DE CALENDRIERS A EFFEUILLER.</v>
      </c>
      <c r="C6696" s="4">
        <v>79</v>
      </c>
      <c r="D6696" s="4">
        <v>122946</v>
      </c>
    </row>
    <row r="6697" spans="1:4" x14ac:dyDescent="0.25">
      <c r="A6697" t="str">
        <f>T("   491110")</f>
        <v xml:space="preserve">   491110</v>
      </c>
      <c r="B6697" t="str">
        <f>T("   IMPRIMES PUBLICITAIRES, CATALOGUES COMMERCIAUX ET SIMILAIRES")</f>
        <v xml:space="preserve">   IMPRIMES PUBLICITAIRES, CATALOGUES COMMERCIAUX ET SIMILAIRES</v>
      </c>
      <c r="C6697" s="4">
        <v>50</v>
      </c>
      <c r="D6697" s="4">
        <v>109537</v>
      </c>
    </row>
    <row r="6698" spans="1:4" x14ac:dyDescent="0.25">
      <c r="A6698" t="str">
        <f>T("   610990")</f>
        <v xml:space="preserve">   610990</v>
      </c>
      <c r="B6698" t="str">
        <f>T("   D'AUTRES MATIERES TEXTILES")</f>
        <v xml:space="preserve">   D'AUTRES MATIERES TEXTILES</v>
      </c>
      <c r="C6698" s="4">
        <v>394</v>
      </c>
      <c r="D6698" s="4">
        <v>2001926</v>
      </c>
    </row>
    <row r="6699" spans="1:4" x14ac:dyDescent="0.25">
      <c r="A6699" t="str">
        <f>T("   701328")</f>
        <v xml:space="preserve">   701328</v>
      </c>
      <c r="B6699" t="str">
        <f>T("   AUTRES")</f>
        <v xml:space="preserve">   AUTRES</v>
      </c>
      <c r="C6699" s="4">
        <v>27816</v>
      </c>
      <c r="D6699" s="4">
        <v>6201748</v>
      </c>
    </row>
    <row r="6700" spans="1:4" x14ac:dyDescent="0.25">
      <c r="A6700" t="str">
        <f>T("   701399")</f>
        <v xml:space="preserve">   701399</v>
      </c>
      <c r="B6700" t="str">
        <f>T("   AUTRES")</f>
        <v xml:space="preserve">   AUTRES</v>
      </c>
      <c r="C6700" s="4">
        <v>44142</v>
      </c>
      <c r="D6700" s="4">
        <v>16736551</v>
      </c>
    </row>
    <row r="6701" spans="1:4" x14ac:dyDescent="0.25">
      <c r="A6701" t="str">
        <f>T("   732394")</f>
        <v xml:space="preserve">   732394</v>
      </c>
      <c r="B6701" t="str">
        <f>T("   EN FER OU EN ACIER, EMAILLES")</f>
        <v xml:space="preserve">   EN FER OU EN ACIER, EMAILLES</v>
      </c>
      <c r="C6701" s="4">
        <v>25800</v>
      </c>
      <c r="D6701" s="4">
        <v>4894118</v>
      </c>
    </row>
    <row r="6702" spans="1:4" x14ac:dyDescent="0.25">
      <c r="A6702" t="str">
        <f>T("   732399")</f>
        <v xml:space="preserve">   732399</v>
      </c>
      <c r="B6702" t="str">
        <f>T("   AUTRES")</f>
        <v xml:space="preserve">   AUTRES</v>
      </c>
      <c r="C6702" s="4">
        <v>10316</v>
      </c>
      <c r="D6702" s="4">
        <v>3932279</v>
      </c>
    </row>
    <row r="6703" spans="1:4" x14ac:dyDescent="0.25">
      <c r="A6703" t="str">
        <f>T("   732690")</f>
        <v xml:space="preserve">   732690</v>
      </c>
      <c r="B6703" t="str">
        <f>T("   AUTRES")</f>
        <v xml:space="preserve">   AUTRES</v>
      </c>
      <c r="C6703" s="4">
        <v>4826</v>
      </c>
      <c r="D6703" s="4">
        <v>11279173</v>
      </c>
    </row>
    <row r="6704" spans="1:4" x14ac:dyDescent="0.25">
      <c r="A6704" t="str">
        <f>T("   841829")</f>
        <v xml:space="preserve">   841829</v>
      </c>
      <c r="B6704" t="str">
        <f>T("   AUTRES")</f>
        <v xml:space="preserve">   AUTRES</v>
      </c>
      <c r="C6704" s="4">
        <v>54255</v>
      </c>
      <c r="D6704" s="4">
        <v>75127825</v>
      </c>
    </row>
    <row r="6705" spans="1:4" x14ac:dyDescent="0.25">
      <c r="A6705" t="str">
        <f>T("   847190")</f>
        <v xml:space="preserve">   847190</v>
      </c>
      <c r="B6705" t="str">
        <f>T("   AUTRES")</f>
        <v xml:space="preserve">   AUTRES</v>
      </c>
      <c r="C6705" s="4">
        <v>0.74</v>
      </c>
      <c r="D6705" s="4">
        <v>76585</v>
      </c>
    </row>
    <row r="6706" spans="1:4" x14ac:dyDescent="0.25">
      <c r="A6706" t="str">
        <f>T("   870333")</f>
        <v xml:space="preserve">   870333</v>
      </c>
      <c r="B6706" t="str">
        <f>T("   D'UNE CYLINDREE EXCEDANT 2.500 CM³")</f>
        <v xml:space="preserve">   D'UNE CYLINDREE EXCEDANT 2.500 CM³</v>
      </c>
      <c r="C6706" s="4">
        <v>1520</v>
      </c>
      <c r="D6706" s="4">
        <v>1200000</v>
      </c>
    </row>
    <row r="6707" spans="1:4" x14ac:dyDescent="0.25">
      <c r="A6707" t="str">
        <f>T("   871120")</f>
        <v xml:space="preserve">   871120</v>
      </c>
      <c r="B6707" t="str">
        <f>T("   A MOTEUR A PISTON ALTERNATIF, D'UNE CYLINDREE EXCEDANT 50 CM³ MAIS N'EXCEDANT PAS 250")</f>
        <v xml:space="preserve">   A MOTEUR A PISTON ALTERNATIF, D'UNE CYLINDREE EXCEDANT 50 CM³ MAIS N'EXCEDANT PAS 250</v>
      </c>
      <c r="C6707" s="4">
        <v>28361</v>
      </c>
      <c r="D6707" s="4">
        <v>43834527</v>
      </c>
    </row>
    <row r="6708" spans="1:4" x14ac:dyDescent="0.25">
      <c r="A6708" t="str">
        <f>T("   940350")</f>
        <v xml:space="preserve">   940350</v>
      </c>
      <c r="B6708" t="str">
        <f>T("   MEUBLES EN BOIS DES TYPES UTILISES DANS LES CHAMBRES A COUCHER")</f>
        <v xml:space="preserve">   MEUBLES EN BOIS DES TYPES UTILISES DANS LES CHAMBRES A COUCHER</v>
      </c>
      <c r="C6708" s="4">
        <v>8694</v>
      </c>
      <c r="D6708" s="4">
        <v>2599017</v>
      </c>
    </row>
    <row r="6709" spans="1:4" x14ac:dyDescent="0.25">
      <c r="A6709" t="str">
        <f>T("   940360")</f>
        <v xml:space="preserve">   940360</v>
      </c>
      <c r="B6709" t="str">
        <f>T("   Autres meubles en bois")</f>
        <v xml:space="preserve">   Autres meubles en bois</v>
      </c>
      <c r="C6709" s="4">
        <v>2834</v>
      </c>
      <c r="D6709" s="4">
        <v>930568</v>
      </c>
    </row>
    <row r="6710" spans="1:4" x14ac:dyDescent="0.25">
      <c r="A6710" t="str">
        <f>T("   940389")</f>
        <v xml:space="preserve">   940389</v>
      </c>
      <c r="B6710" t="str">
        <f>T("   AUTRES")</f>
        <v xml:space="preserve">   AUTRES</v>
      </c>
      <c r="C6710" s="4">
        <v>2500</v>
      </c>
      <c r="D6710" s="4">
        <v>1016738</v>
      </c>
    </row>
    <row r="6711" spans="1:4" x14ac:dyDescent="0.25">
      <c r="A6711" t="str">
        <f>T("   950662")</f>
        <v xml:space="preserve">   950662</v>
      </c>
      <c r="B6711" t="str">
        <f>T("   GONFLABLES")</f>
        <v xml:space="preserve">   GONFLABLES</v>
      </c>
      <c r="C6711" s="4">
        <v>13</v>
      </c>
      <c r="D6711" s="4">
        <v>63611</v>
      </c>
    </row>
    <row r="6712" spans="1:4" s="5" customFormat="1" x14ac:dyDescent="0.25">
      <c r="A6712" s="5" t="str">
        <f>T("   ZZ_Total_Produit_SH6")</f>
        <v xml:space="preserve">   ZZ_Total_Produit_SH6</v>
      </c>
      <c r="B6712" s="5" t="str">
        <f>T("   ZZ_Total_Produit_SH6")</f>
        <v xml:space="preserve">   ZZ_Total_Produit_SH6</v>
      </c>
      <c r="C6712" s="1">
        <v>31752424.239999998</v>
      </c>
      <c r="D6712" s="1">
        <v>9318716075.4829998</v>
      </c>
    </row>
    <row r="6713" spans="1:4" s="5" customFormat="1" x14ac:dyDescent="0.25">
      <c r="B6713" s="5" t="str">
        <f>T("Irlande")</f>
        <v>Irlande</v>
      </c>
      <c r="C6713" s="1"/>
      <c r="D6713" s="1"/>
    </row>
    <row r="6714" spans="1:4" x14ac:dyDescent="0.25">
      <c r="A6714" t="str">
        <f>T("   020712")</f>
        <v xml:space="preserve">   020712</v>
      </c>
      <c r="B6714" t="str">
        <f>T("   NON DECOUPES EN MORCEAUX, CONGELES")</f>
        <v xml:space="preserve">   NON DECOUPES EN MORCEAUX, CONGELES</v>
      </c>
      <c r="C6714" s="4">
        <v>150000</v>
      </c>
      <c r="D6714" s="4">
        <v>93300564</v>
      </c>
    </row>
    <row r="6715" spans="1:4" x14ac:dyDescent="0.25">
      <c r="A6715" t="str">
        <f>T("   020714")</f>
        <v xml:space="preserve">   020714</v>
      </c>
      <c r="B6715" t="str">
        <f>T("   MORCEAUX ET ABATS, CONGELES")</f>
        <v xml:space="preserve">   MORCEAUX ET ABATS, CONGELES</v>
      </c>
      <c r="C6715" s="4">
        <v>475000</v>
      </c>
      <c r="D6715" s="4">
        <v>295450376</v>
      </c>
    </row>
    <row r="6716" spans="1:4" x14ac:dyDescent="0.25">
      <c r="A6716" t="str">
        <f>T("   020727")</f>
        <v xml:space="preserve">   020727</v>
      </c>
      <c r="B6716" t="str">
        <f>T("   MORCEAUX ET ABATS, CONGELES")</f>
        <v xml:space="preserve">   MORCEAUX ET ABATS, CONGELES</v>
      </c>
      <c r="C6716" s="4">
        <v>675000</v>
      </c>
      <c r="D6716" s="4">
        <v>419850396</v>
      </c>
    </row>
    <row r="6717" spans="1:4" x14ac:dyDescent="0.25">
      <c r="A6717" t="str">
        <f>T("   030219")</f>
        <v xml:space="preserve">   030219</v>
      </c>
      <c r="B6717" t="str">
        <f>T("   AUTRES")</f>
        <v xml:space="preserve">   AUTRES</v>
      </c>
      <c r="C6717" s="4">
        <v>745000</v>
      </c>
      <c r="D6717" s="4">
        <v>298000000</v>
      </c>
    </row>
    <row r="6718" spans="1:4" x14ac:dyDescent="0.25">
      <c r="A6718" t="str">
        <f>T("   030329")</f>
        <v xml:space="preserve">   030329</v>
      </c>
      <c r="B6718" t="str">
        <f>T("   AUTRES")</f>
        <v xml:space="preserve">   AUTRES</v>
      </c>
      <c r="C6718" s="4">
        <v>75000</v>
      </c>
      <c r="D6718" s="4">
        <v>17718791</v>
      </c>
    </row>
    <row r="6719" spans="1:4" x14ac:dyDescent="0.25">
      <c r="A6719" t="str">
        <f>T("   030379")</f>
        <v xml:space="preserve">   030379</v>
      </c>
      <c r="B6719" t="str">
        <f>T("   AUTRES POISSONS ENTIERS CONGELES.(FOIES,OEUFS,LAITANCES EXCLUS)")</f>
        <v xml:space="preserve">   AUTRES POISSONS ENTIERS CONGELES.(FOIES,OEUFS,LAITANCES EXCLUS)</v>
      </c>
      <c r="C6719" s="4">
        <v>25000</v>
      </c>
      <c r="D6719" s="4">
        <v>10000110</v>
      </c>
    </row>
    <row r="6720" spans="1:4" x14ac:dyDescent="0.25">
      <c r="A6720" t="str">
        <f>T("   040210")</f>
        <v xml:space="preserve">   040210</v>
      </c>
      <c r="B6720" t="str">
        <f>T("   EN POUDRE, EN GRANULES OU SOUS D’AUTRES FORMES SOLIDES, D’UNE TENEUR EN POIDS DE MATI")</f>
        <v xml:space="preserve">   EN POUDRE, EN GRANULES OU SOUS D’AUTRES FORMES SOLIDES, D’UNE TENEUR EN POIDS DE MATI</v>
      </c>
      <c r="C6720" s="4">
        <v>368811</v>
      </c>
      <c r="D6720" s="4">
        <v>687006073</v>
      </c>
    </row>
    <row r="6721" spans="1:4" x14ac:dyDescent="0.25">
      <c r="A6721" t="str">
        <f>T("   210690")</f>
        <v xml:space="preserve">   210690</v>
      </c>
      <c r="B6721" t="str">
        <f>T("   AUTRES")</f>
        <v xml:space="preserve">   AUTRES</v>
      </c>
      <c r="C6721" s="4">
        <v>22536</v>
      </c>
      <c r="D6721" s="4">
        <v>129375646</v>
      </c>
    </row>
    <row r="6722" spans="1:4" x14ac:dyDescent="0.25">
      <c r="A6722" t="str">
        <f>T("   330210")</f>
        <v xml:space="preserve">   330210</v>
      </c>
      <c r="B6722" t="str">
        <f>T("   DES TYPES UTILISES POUR LES INDUSTRIES ALIMENTAIRES OU DES BOISSONS")</f>
        <v xml:space="preserve">   DES TYPES UTILISES POUR LES INDUSTRIES ALIMENTAIRES OU DES BOISSONS</v>
      </c>
      <c r="C6722" s="4">
        <v>90144</v>
      </c>
      <c r="D6722" s="4">
        <v>526830995</v>
      </c>
    </row>
    <row r="6723" spans="1:4" x14ac:dyDescent="0.25">
      <c r="A6723" t="str">
        <f>T("   481840")</f>
        <v xml:space="preserve">   481840</v>
      </c>
      <c r="B6723" t="str">
        <f>T("   SERVIETTES,TAMPONS HYGIENIQUES,COUCHES POUR BEBES ET SIMILAIRES EN PAPIER")</f>
        <v xml:space="preserve">   SERVIETTES,TAMPONS HYGIENIQUES,COUCHES POUR BEBES ET SIMILAIRES EN PAPIER</v>
      </c>
      <c r="C6723" s="4">
        <v>4978</v>
      </c>
      <c r="D6723" s="4">
        <v>3495358</v>
      </c>
    </row>
    <row r="6724" spans="1:4" x14ac:dyDescent="0.25">
      <c r="A6724" t="str">
        <f>T("   630900")</f>
        <v xml:space="preserve">   630900</v>
      </c>
      <c r="B6724" t="str">
        <f>T("   ARTICLES DE FRIPERIE.")</f>
        <v xml:space="preserve">   ARTICLES DE FRIPERIE.</v>
      </c>
      <c r="C6724" s="4">
        <v>1045031</v>
      </c>
      <c r="D6724" s="4">
        <v>551943875</v>
      </c>
    </row>
    <row r="6725" spans="1:4" x14ac:dyDescent="0.25">
      <c r="A6725" t="str">
        <f>T("   631010")</f>
        <v xml:space="preserve">   631010</v>
      </c>
      <c r="B6725" t="str">
        <f>T("   TRIES")</f>
        <v xml:space="preserve">   TRIES</v>
      </c>
      <c r="C6725" s="4">
        <v>22000</v>
      </c>
      <c r="D6725" s="4">
        <v>9832000</v>
      </c>
    </row>
    <row r="6726" spans="1:4" x14ac:dyDescent="0.25">
      <c r="A6726" t="str">
        <f>T("   631090")</f>
        <v xml:space="preserve">   631090</v>
      </c>
      <c r="B6726" t="str">
        <f>T("   AUTRES")</f>
        <v xml:space="preserve">   AUTRES</v>
      </c>
      <c r="C6726" s="4">
        <v>450422</v>
      </c>
      <c r="D6726" s="4">
        <v>225700200</v>
      </c>
    </row>
    <row r="6727" spans="1:4" x14ac:dyDescent="0.25">
      <c r="A6727" t="str">
        <f>T("   640299")</f>
        <v xml:space="preserve">   640299</v>
      </c>
      <c r="B6727" t="str">
        <f>T("   AUTRES")</f>
        <v xml:space="preserve">   AUTRES</v>
      </c>
      <c r="C6727" s="4">
        <v>10900</v>
      </c>
      <c r="D6727" s="4">
        <v>7600000</v>
      </c>
    </row>
    <row r="6728" spans="1:4" x14ac:dyDescent="0.25">
      <c r="A6728" t="str">
        <f>T("   640590")</f>
        <v xml:space="preserve">   640590</v>
      </c>
      <c r="B6728" t="str">
        <f>T("   AUTRES")</f>
        <v xml:space="preserve">   AUTRES</v>
      </c>
      <c r="C6728" s="4">
        <v>33000</v>
      </c>
      <c r="D6728" s="4">
        <v>26970452</v>
      </c>
    </row>
    <row r="6729" spans="1:4" x14ac:dyDescent="0.25">
      <c r="A6729" t="str">
        <f>T("   841459")</f>
        <v xml:space="preserve">   841459</v>
      </c>
      <c r="B6729" t="str">
        <f>T("   AUTRES")</f>
        <v xml:space="preserve">   AUTRES</v>
      </c>
      <c r="C6729" s="4">
        <v>9</v>
      </c>
      <c r="D6729" s="4">
        <v>208559</v>
      </c>
    </row>
    <row r="6730" spans="1:4" x14ac:dyDescent="0.25">
      <c r="A6730" t="str">
        <f>T("   847290")</f>
        <v xml:space="preserve">   847290</v>
      </c>
      <c r="B6730" t="str">
        <f>T("   AUTRES")</f>
        <v xml:space="preserve">   AUTRES</v>
      </c>
      <c r="C6730" s="4">
        <v>13914</v>
      </c>
      <c r="D6730" s="4">
        <v>111264113</v>
      </c>
    </row>
    <row r="6731" spans="1:4" x14ac:dyDescent="0.25">
      <c r="A6731" t="str">
        <f>T("   850490")</f>
        <v xml:space="preserve">   850490</v>
      </c>
      <c r="B6731" t="str">
        <f>T("   PARTIES")</f>
        <v xml:space="preserve">   PARTIES</v>
      </c>
      <c r="C6731" s="4">
        <v>114</v>
      </c>
      <c r="D6731" s="4">
        <v>2707952</v>
      </c>
    </row>
    <row r="6732" spans="1:4" x14ac:dyDescent="0.25">
      <c r="A6732" t="str">
        <f>T("   850720")</f>
        <v xml:space="preserve">   850720</v>
      </c>
      <c r="B6732" t="str">
        <f>T("   AUTRES ACCUMULATEURS AU PLOMB")</f>
        <v xml:space="preserve">   AUTRES ACCUMULATEURS AU PLOMB</v>
      </c>
      <c r="C6732" s="4">
        <v>365</v>
      </c>
      <c r="D6732" s="4">
        <v>1750101</v>
      </c>
    </row>
    <row r="6733" spans="1:4" x14ac:dyDescent="0.25">
      <c r="A6733" t="str">
        <f>T("   851989")</f>
        <v xml:space="preserve">   851989</v>
      </c>
      <c r="B6733" t="str">
        <f>T("   AUTRES")</f>
        <v xml:space="preserve">   AUTRES</v>
      </c>
      <c r="C6733" s="4">
        <v>86</v>
      </c>
      <c r="D6733" s="4">
        <v>100077</v>
      </c>
    </row>
    <row r="6734" spans="1:4" x14ac:dyDescent="0.25">
      <c r="A6734" t="str">
        <f>T("   852871")</f>
        <v xml:space="preserve">   852871</v>
      </c>
      <c r="B6734" t="str">
        <f>T("   NON CONCUS POUR INCORPORER UN DISPOSITIF D'AFFICHAGE OU UN ECRAN VIDEO")</f>
        <v xml:space="preserve">   NON CONCUS POUR INCORPORER UN DISPOSITIF D'AFFICHAGE OU UN ECRAN VIDEO</v>
      </c>
      <c r="C6734" s="4">
        <v>172</v>
      </c>
      <c r="D6734" s="4">
        <v>200154</v>
      </c>
    </row>
    <row r="6735" spans="1:4" x14ac:dyDescent="0.25">
      <c r="A6735" t="str">
        <f>T("   853120")</f>
        <v xml:space="preserve">   853120</v>
      </c>
      <c r="B6735" t="str">
        <f>T("   PANNEAUX INDICATEURS INCORPORANT DES DISPOSITIFS A CRISTAUX LIQUIDES (LCD) OU A DIODE")</f>
        <v xml:space="preserve">   PANNEAUX INDICATEURS INCORPORANT DES DISPOSITIFS A CRISTAUX LIQUIDES (LCD) OU A DIODE</v>
      </c>
      <c r="C6735" s="4">
        <v>9</v>
      </c>
      <c r="D6735" s="4">
        <v>194493</v>
      </c>
    </row>
    <row r="6736" spans="1:4" x14ac:dyDescent="0.25">
      <c r="A6736" t="str">
        <f>T("   853610")</f>
        <v xml:space="preserve">   853610</v>
      </c>
      <c r="B6736" t="str">
        <f>T("   FUSIBLES ET COUPECIRCUIT A FUSIBLES")</f>
        <v xml:space="preserve">   FUSIBLES ET COUPECIRCUIT A FUSIBLES</v>
      </c>
      <c r="C6736" s="4">
        <v>18</v>
      </c>
      <c r="D6736" s="4">
        <v>396515</v>
      </c>
    </row>
    <row r="6737" spans="1:4" x14ac:dyDescent="0.25">
      <c r="A6737" t="str">
        <f>T("   950510")</f>
        <v xml:space="preserve">   950510</v>
      </c>
      <c r="B6737" t="str">
        <f>T("   ARTICLES POUR FETES DE NOëL")</f>
        <v xml:space="preserve">   ARTICLES POUR FETES DE NOëL</v>
      </c>
      <c r="C6737" s="4">
        <v>100</v>
      </c>
      <c r="D6737" s="4">
        <v>100000</v>
      </c>
    </row>
    <row r="6738" spans="1:4" s="5" customFormat="1" x14ac:dyDescent="0.25">
      <c r="A6738" s="5" t="str">
        <f>T("   ZZ_Total_Produit_SH6")</f>
        <v xml:space="preserve">   ZZ_Total_Produit_SH6</v>
      </c>
      <c r="B6738" s="5" t="str">
        <f>T("   ZZ_Total_Produit_SH6")</f>
        <v xml:space="preserve">   ZZ_Total_Produit_SH6</v>
      </c>
      <c r="C6738" s="1">
        <v>4207609</v>
      </c>
      <c r="D6738" s="1">
        <v>3419996800</v>
      </c>
    </row>
    <row r="6739" spans="1:4" s="5" customFormat="1" x14ac:dyDescent="0.25">
      <c r="B6739" s="5" t="str">
        <f>T("Israël")</f>
        <v>Israël</v>
      </c>
      <c r="C6739" s="1"/>
      <c r="D6739" s="1"/>
    </row>
    <row r="6740" spans="1:4" x14ac:dyDescent="0.25">
      <c r="A6740" t="str">
        <f>T("   020727")</f>
        <v xml:space="preserve">   020727</v>
      </c>
      <c r="B6740" t="str">
        <f>T("   MORCEAUX ET ABATS, CONGELES")</f>
        <v xml:space="preserve">   MORCEAUX ET ABATS, CONGELES</v>
      </c>
      <c r="C6740" s="4">
        <v>25000</v>
      </c>
      <c r="D6740" s="4">
        <v>12450000</v>
      </c>
    </row>
    <row r="6741" spans="1:4" x14ac:dyDescent="0.25">
      <c r="A6741" t="str">
        <f>T("   271019")</f>
        <v xml:space="preserve">   271019</v>
      </c>
      <c r="B6741" t="str">
        <f>T("   AUTRES")</f>
        <v xml:space="preserve">   AUTRES</v>
      </c>
      <c r="C6741" s="4">
        <v>1500000</v>
      </c>
      <c r="D6741" s="4">
        <v>508875178</v>
      </c>
    </row>
    <row r="6742" spans="1:4" x14ac:dyDescent="0.25">
      <c r="A6742" t="str">
        <f>T("   401220")</f>
        <v xml:space="preserve">   401220</v>
      </c>
      <c r="B6742" t="str">
        <f>T("   PNEUMATIQUES USAGES")</f>
        <v xml:space="preserve">   PNEUMATIQUES USAGES</v>
      </c>
      <c r="C6742" s="4">
        <v>30510</v>
      </c>
      <c r="D6742" s="4">
        <v>10740328</v>
      </c>
    </row>
    <row r="6743" spans="1:4" x14ac:dyDescent="0.25">
      <c r="A6743" t="str">
        <f>T("   630900")</f>
        <v xml:space="preserve">   630900</v>
      </c>
      <c r="B6743" t="str">
        <f>T("   ARTICLES DE FRIPERIE.")</f>
        <v xml:space="preserve">   ARTICLES DE FRIPERIE.</v>
      </c>
      <c r="C6743" s="4">
        <v>217690</v>
      </c>
      <c r="D6743" s="4">
        <v>112676264</v>
      </c>
    </row>
    <row r="6744" spans="1:4" x14ac:dyDescent="0.25">
      <c r="A6744" t="str">
        <f>T("   730810")</f>
        <v xml:space="preserve">   730810</v>
      </c>
      <c r="B6744" t="str">
        <f>T("   PONTS ET ELEMENTS DE PONTS")</f>
        <v xml:space="preserve">   PONTS ET ELEMENTS DE PONTS</v>
      </c>
      <c r="C6744" s="4">
        <v>4510</v>
      </c>
      <c r="D6744" s="4">
        <v>15857988</v>
      </c>
    </row>
    <row r="6745" spans="1:4" x14ac:dyDescent="0.25">
      <c r="A6745" t="str">
        <f>T("   850239")</f>
        <v xml:space="preserve">   850239</v>
      </c>
      <c r="B6745" t="str">
        <f>T("   AUTRES")</f>
        <v xml:space="preserve">   AUTRES</v>
      </c>
      <c r="C6745" s="4">
        <v>90</v>
      </c>
      <c r="D6745" s="4">
        <v>310652</v>
      </c>
    </row>
    <row r="6746" spans="1:4" x14ac:dyDescent="0.25">
      <c r="A6746" t="str">
        <f>T("   851769")</f>
        <v xml:space="preserve">   851769</v>
      </c>
      <c r="B6746" t="str">
        <f>T("   AUTRES")</f>
        <v xml:space="preserve">   AUTRES</v>
      </c>
      <c r="C6746" s="4">
        <v>450</v>
      </c>
      <c r="D6746" s="4">
        <v>7194108</v>
      </c>
    </row>
    <row r="6747" spans="1:4" x14ac:dyDescent="0.25">
      <c r="A6747" t="str">
        <f>T("   852550")</f>
        <v xml:space="preserve">   852550</v>
      </c>
      <c r="B6747" t="str">
        <f>T("   APPAREILS D'EMISSION")</f>
        <v xml:space="preserve">   APPAREILS D'EMISSION</v>
      </c>
      <c r="C6747" s="4">
        <v>236</v>
      </c>
      <c r="D6747" s="4">
        <v>5290145</v>
      </c>
    </row>
    <row r="6748" spans="1:4" x14ac:dyDescent="0.25">
      <c r="A6748" t="str">
        <f>T("   852799")</f>
        <v xml:space="preserve">   852799</v>
      </c>
      <c r="B6748" t="str">
        <f>T("   AUTRES")</f>
        <v xml:space="preserve">   AUTRES</v>
      </c>
      <c r="C6748" s="4">
        <v>2850</v>
      </c>
      <c r="D6748" s="4">
        <v>53523</v>
      </c>
    </row>
    <row r="6749" spans="1:4" x14ac:dyDescent="0.25">
      <c r="A6749" t="str">
        <f>T("   853690")</f>
        <v xml:space="preserve">   853690</v>
      </c>
      <c r="B6749" t="str">
        <f>T("   AUTRES APPAREILS")</f>
        <v xml:space="preserve">   AUTRES APPAREILS</v>
      </c>
      <c r="C6749" s="4">
        <v>9</v>
      </c>
      <c r="D6749" s="4">
        <v>1034029</v>
      </c>
    </row>
    <row r="6750" spans="1:4" x14ac:dyDescent="0.25">
      <c r="A6750" t="str">
        <f>T("   854150")</f>
        <v xml:space="preserve">   854150</v>
      </c>
      <c r="B6750" t="str">
        <f>T("   AUTRES DISPOSITIFS A SEMICONDUCTEUR")</f>
        <v xml:space="preserve">   AUTRES DISPOSITIFS A SEMICONDUCTEUR</v>
      </c>
      <c r="C6750" s="4">
        <v>1</v>
      </c>
      <c r="D6750" s="4">
        <v>264116</v>
      </c>
    </row>
    <row r="6751" spans="1:4" x14ac:dyDescent="0.25">
      <c r="A6751" t="str">
        <f>T("   854420")</f>
        <v xml:space="preserve">   854420</v>
      </c>
      <c r="B6751" t="str">
        <f>T("   Cables coaxiaux et autres conducteurs electriques coaxiaux")</f>
        <v xml:space="preserve">   Cables coaxiaux et autres conducteurs electriques coaxiaux</v>
      </c>
      <c r="C6751" s="4">
        <v>128</v>
      </c>
      <c r="D6751" s="4">
        <v>15159440</v>
      </c>
    </row>
    <row r="6752" spans="1:4" x14ac:dyDescent="0.25">
      <c r="A6752" t="str">
        <f>T("   902780")</f>
        <v xml:space="preserve">   902780</v>
      </c>
      <c r="B6752" t="str">
        <f>T("   AUTRES INSTRUMENTS ET APPAREILS")</f>
        <v xml:space="preserve">   AUTRES INSTRUMENTS ET APPAREILS</v>
      </c>
      <c r="C6752" s="4">
        <v>4</v>
      </c>
      <c r="D6752" s="4">
        <v>2509396</v>
      </c>
    </row>
    <row r="6753" spans="1:4" s="5" customFormat="1" x14ac:dyDescent="0.25">
      <c r="A6753" s="5" t="str">
        <f>T("   ZZ_Total_Produit_SH6")</f>
        <v xml:space="preserve">   ZZ_Total_Produit_SH6</v>
      </c>
      <c r="B6753" s="5" t="str">
        <f>T("   ZZ_Total_Produit_SH6")</f>
        <v xml:space="preserve">   ZZ_Total_Produit_SH6</v>
      </c>
      <c r="C6753" s="1">
        <v>1781478</v>
      </c>
      <c r="D6753" s="1">
        <v>692415167</v>
      </c>
    </row>
    <row r="6754" spans="1:4" s="5" customFormat="1" x14ac:dyDescent="0.25">
      <c r="B6754" s="5" t="str">
        <f>T("ILE DE MAN")</f>
        <v>ILE DE MAN</v>
      </c>
      <c r="C6754" s="1"/>
      <c r="D6754" s="1"/>
    </row>
    <row r="6755" spans="1:4" x14ac:dyDescent="0.25">
      <c r="A6755" t="str">
        <f>T("   840999")</f>
        <v xml:space="preserve">   840999</v>
      </c>
      <c r="B6755" t="str">
        <f>T("   AUTRES")</f>
        <v xml:space="preserve">   AUTRES</v>
      </c>
      <c r="C6755" s="4">
        <v>250</v>
      </c>
      <c r="D6755" s="4">
        <v>239413</v>
      </c>
    </row>
    <row r="6756" spans="1:4" s="5" customFormat="1" x14ac:dyDescent="0.25">
      <c r="A6756" s="5" t="str">
        <f>T("   ZZ_Total_Produit_SH6")</f>
        <v xml:space="preserve">   ZZ_Total_Produit_SH6</v>
      </c>
      <c r="B6756" s="5" t="str">
        <f>T("   ZZ_Total_Produit_SH6")</f>
        <v xml:space="preserve">   ZZ_Total_Produit_SH6</v>
      </c>
      <c r="C6756" s="1">
        <v>250</v>
      </c>
      <c r="D6756" s="1">
        <v>239413</v>
      </c>
    </row>
    <row r="6757" spans="1:4" s="5" customFormat="1" x14ac:dyDescent="0.25">
      <c r="B6757" s="5" t="str">
        <f>T("Inde")</f>
        <v>Inde</v>
      </c>
      <c r="C6757" s="1"/>
      <c r="D6757" s="1"/>
    </row>
    <row r="6758" spans="1:4" x14ac:dyDescent="0.25">
      <c r="A6758" t="str">
        <f>T("   020629")</f>
        <v xml:space="preserve">   020629</v>
      </c>
      <c r="B6758" t="str">
        <f>T("   AUTRES")</f>
        <v xml:space="preserve">   AUTRES</v>
      </c>
      <c r="C6758" s="4">
        <v>75000</v>
      </c>
      <c r="D6758" s="4">
        <v>37320000</v>
      </c>
    </row>
    <row r="6759" spans="1:4" x14ac:dyDescent="0.25">
      <c r="A6759" t="str">
        <f>T("   020890")</f>
        <v xml:space="preserve">   020890</v>
      </c>
      <c r="B6759" t="str">
        <f>T("   AUTRES")</f>
        <v xml:space="preserve">   AUTRES</v>
      </c>
      <c r="C6759" s="4">
        <v>75000</v>
      </c>
      <c r="D6759" s="4">
        <v>46650000</v>
      </c>
    </row>
    <row r="6760" spans="1:4" x14ac:dyDescent="0.25">
      <c r="A6760" t="str">
        <f>T("   021020")</f>
        <v xml:space="preserve">   021020</v>
      </c>
      <c r="B6760" t="str">
        <f>T("   VIANDES DE L'ESPECE BOVINE")</f>
        <v xml:space="preserve">   VIANDES DE L'ESPECE BOVINE</v>
      </c>
      <c r="C6760" s="4">
        <v>50000</v>
      </c>
      <c r="D6760" s="4">
        <v>31100376</v>
      </c>
    </row>
    <row r="6761" spans="1:4" x14ac:dyDescent="0.25">
      <c r="A6761" t="str">
        <f>T("   030219")</f>
        <v xml:space="preserve">   030219</v>
      </c>
      <c r="B6761" t="str">
        <f>T("   AUTRES")</f>
        <v xml:space="preserve">   AUTRES</v>
      </c>
      <c r="C6761" s="4">
        <v>70174</v>
      </c>
      <c r="D6761" s="4">
        <v>28069600</v>
      </c>
    </row>
    <row r="6762" spans="1:4" x14ac:dyDescent="0.25">
      <c r="A6762" t="str">
        <f>T("   030269")</f>
        <v xml:space="preserve">   030269</v>
      </c>
      <c r="B6762" t="str">
        <f>T("   Autres poissons entiers,frais ou refrigeres.(foies,oeufs laitances exclus)")</f>
        <v xml:space="preserve">   Autres poissons entiers,frais ou refrigeres.(foies,oeufs laitances exclus)</v>
      </c>
      <c r="C6762" s="4">
        <v>46730</v>
      </c>
      <c r="D6762" s="4">
        <v>18692000</v>
      </c>
    </row>
    <row r="6763" spans="1:4" x14ac:dyDescent="0.25">
      <c r="A6763" t="str">
        <f>T("   030329")</f>
        <v xml:space="preserve">   030329</v>
      </c>
      <c r="B6763" t="str">
        <f>T("   AUTRES")</f>
        <v xml:space="preserve">   AUTRES</v>
      </c>
      <c r="C6763" s="4">
        <v>50000</v>
      </c>
      <c r="D6763" s="4">
        <v>11251026</v>
      </c>
    </row>
    <row r="6764" spans="1:4" x14ac:dyDescent="0.25">
      <c r="A6764" t="str">
        <f>T("   030339")</f>
        <v xml:space="preserve">   030339</v>
      </c>
      <c r="B6764" t="str">
        <f>T("   AUTRES")</f>
        <v xml:space="preserve">   AUTRES</v>
      </c>
      <c r="C6764" s="4">
        <v>43740</v>
      </c>
      <c r="D6764" s="4">
        <v>9841500</v>
      </c>
    </row>
    <row r="6765" spans="1:4" x14ac:dyDescent="0.25">
      <c r="A6765" t="str">
        <f>T("   030379")</f>
        <v xml:space="preserve">   030379</v>
      </c>
      <c r="B6765" t="str">
        <f>T("   AUTRES POISSONS ENTIERS CONGELES.(FOIES,OEUFS,LAITANCES EXCLUS)")</f>
        <v xml:space="preserve">   AUTRES POISSONS ENTIERS CONGELES.(FOIES,OEUFS,LAITANCES EXCLUS)</v>
      </c>
      <c r="C6765" s="4">
        <v>45440</v>
      </c>
      <c r="D6765" s="4">
        <v>10223956</v>
      </c>
    </row>
    <row r="6766" spans="1:4" x14ac:dyDescent="0.25">
      <c r="A6766" t="str">
        <f>T("   070190")</f>
        <v xml:space="preserve">   070190</v>
      </c>
      <c r="B6766" t="str">
        <f>T("   AUTRES")</f>
        <v xml:space="preserve">   AUTRES</v>
      </c>
      <c r="C6766" s="4">
        <v>28000</v>
      </c>
      <c r="D6766" s="4">
        <v>4620582</v>
      </c>
    </row>
    <row r="6767" spans="1:4" x14ac:dyDescent="0.25">
      <c r="A6767" t="str">
        <f>T("   090111")</f>
        <v xml:space="preserve">   090111</v>
      </c>
      <c r="B6767" t="str">
        <f>T("   NON DECAFEINE")</f>
        <v xml:space="preserve">   NON DECAFEINE</v>
      </c>
      <c r="C6767" s="4">
        <v>101779</v>
      </c>
      <c r="D6767" s="4">
        <v>34296837</v>
      </c>
    </row>
    <row r="6768" spans="1:4" x14ac:dyDescent="0.25">
      <c r="A6768" t="str">
        <f>T("   090190")</f>
        <v xml:space="preserve">   090190</v>
      </c>
      <c r="B6768" t="str">
        <f>T("   AUTRES")</f>
        <v xml:space="preserve">   AUTRES</v>
      </c>
      <c r="C6768" s="4">
        <v>58580</v>
      </c>
      <c r="D6768" s="4">
        <v>24062815</v>
      </c>
    </row>
    <row r="6769" spans="1:4" x14ac:dyDescent="0.25">
      <c r="A6769" t="str">
        <f>T("   090220")</f>
        <v xml:space="preserve">   090220</v>
      </c>
      <c r="B6769" t="str">
        <f>T("   THE VERT (NON FERMENTE) PRESENTE AUTREMENT")</f>
        <v xml:space="preserve">   THE VERT (NON FERMENTE) PRESENTE AUTREMENT</v>
      </c>
      <c r="C6769" s="4">
        <v>26241</v>
      </c>
      <c r="D6769" s="4">
        <v>14546568</v>
      </c>
    </row>
    <row r="6770" spans="1:4" x14ac:dyDescent="0.25">
      <c r="A6770" t="str">
        <f>T("   091099")</f>
        <v xml:space="preserve">   091099</v>
      </c>
      <c r="B6770" t="str">
        <f>T("   AUTRES")</f>
        <v xml:space="preserve">   AUTRES</v>
      </c>
      <c r="C6770" s="4">
        <v>70</v>
      </c>
      <c r="D6770" s="4">
        <v>621063</v>
      </c>
    </row>
    <row r="6771" spans="1:4" x14ac:dyDescent="0.25">
      <c r="A6771" t="str">
        <f>T("   100610")</f>
        <v xml:space="preserve">   100610</v>
      </c>
      <c r="B6771" t="str">
        <f>T("   RIZ EN PAILLE (RIZ PADDY)")</f>
        <v xml:space="preserve">   RIZ EN PAILLE (RIZ PADDY)</v>
      </c>
      <c r="C6771" s="4">
        <v>2331155</v>
      </c>
      <c r="D6771" s="4">
        <v>276990293</v>
      </c>
    </row>
    <row r="6772" spans="1:4" x14ac:dyDescent="0.25">
      <c r="A6772" t="str">
        <f>T("   100620")</f>
        <v xml:space="preserve">   100620</v>
      </c>
      <c r="B6772" t="str">
        <f>T("   RIZ DECORTIQUE (RIZ CARGO OU RIZ BRUN)")</f>
        <v xml:space="preserve">   RIZ DECORTIQUE (RIZ CARGO OU RIZ BRUN)</v>
      </c>
      <c r="C6772" s="4">
        <v>37143528</v>
      </c>
      <c r="D6772" s="4">
        <v>12185335952.284</v>
      </c>
    </row>
    <row r="6773" spans="1:4" x14ac:dyDescent="0.25">
      <c r="A6773" t="str">
        <f>T("   100630")</f>
        <v xml:space="preserve">   100630</v>
      </c>
      <c r="B6773" t="str">
        <f>T("   RIZ SEMIBLANCHI OU BLANCHI, MEME POLI OU GLACE")</f>
        <v xml:space="preserve">   RIZ SEMIBLANCHI OU BLANCHI, MEME POLI OU GLACE</v>
      </c>
      <c r="C6773" s="4">
        <v>17145564</v>
      </c>
      <c r="D6773" s="4">
        <v>2952897298</v>
      </c>
    </row>
    <row r="6774" spans="1:4" x14ac:dyDescent="0.25">
      <c r="A6774" t="str">
        <f>T("   100640")</f>
        <v xml:space="preserve">   100640</v>
      </c>
      <c r="B6774" t="str">
        <f>T("   RIZ EN BRISURES")</f>
        <v xml:space="preserve">   RIZ EN BRISURES</v>
      </c>
      <c r="C6774" s="4">
        <v>535829450</v>
      </c>
      <c r="D6774" s="4">
        <v>204538229598.11401</v>
      </c>
    </row>
    <row r="6775" spans="1:4" x14ac:dyDescent="0.25">
      <c r="A6775" t="str">
        <f>T("   110100")</f>
        <v xml:space="preserve">   110100</v>
      </c>
      <c r="B6775" t="str">
        <f>T("   FARINES DE FROMENT (BLE) OU DE METEIL.")</f>
        <v xml:space="preserve">   FARINES DE FROMENT (BLE) OU DE METEIL.</v>
      </c>
      <c r="C6775" s="4">
        <v>182000</v>
      </c>
      <c r="D6775" s="4">
        <v>48552836.274999999</v>
      </c>
    </row>
    <row r="6776" spans="1:4" x14ac:dyDescent="0.25">
      <c r="A6776" t="str">
        <f>T("   150890")</f>
        <v xml:space="preserve">   150890</v>
      </c>
      <c r="B6776" t="str">
        <f>T("   AUTRES")</f>
        <v xml:space="preserve">   AUTRES</v>
      </c>
      <c r="C6776" s="4">
        <v>286000</v>
      </c>
      <c r="D6776" s="4">
        <v>71500000</v>
      </c>
    </row>
    <row r="6777" spans="1:4" x14ac:dyDescent="0.25">
      <c r="A6777" t="str">
        <f>T("   151190")</f>
        <v xml:space="preserve">   151190</v>
      </c>
      <c r="B6777" t="str">
        <f>T("   AUTRES")</f>
        <v xml:space="preserve">   AUTRES</v>
      </c>
      <c r="C6777" s="4">
        <v>1452000</v>
      </c>
      <c r="D6777" s="4">
        <v>591301688.92700005</v>
      </c>
    </row>
    <row r="6778" spans="1:4" x14ac:dyDescent="0.25">
      <c r="A6778" t="str">
        <f>T("   151590")</f>
        <v xml:space="preserve">   151590</v>
      </c>
      <c r="B6778" t="str">
        <f>T("   AUTRES")</f>
        <v xml:space="preserve">   AUTRES</v>
      </c>
      <c r="C6778" s="4">
        <v>220000</v>
      </c>
      <c r="D6778" s="4">
        <v>55000000</v>
      </c>
    </row>
    <row r="6779" spans="1:4" x14ac:dyDescent="0.25">
      <c r="A6779" t="str">
        <f>T("   151620")</f>
        <v xml:space="preserve">   151620</v>
      </c>
      <c r="B6779" t="str">
        <f>T("   GRAISSES ET HUILES VEGETALES ET LEURS FRACTIONS")</f>
        <v xml:space="preserve">   GRAISSES ET HUILES VEGETALES ET LEURS FRACTIONS</v>
      </c>
      <c r="C6779" s="4">
        <v>178416</v>
      </c>
      <c r="D6779" s="4">
        <v>44754579</v>
      </c>
    </row>
    <row r="6780" spans="1:4" x14ac:dyDescent="0.25">
      <c r="A6780" t="str">
        <f>T("   170191")</f>
        <v xml:space="preserve">   170191</v>
      </c>
      <c r="B6780" t="str">
        <f>T("   ADDITIONNES D'AROMATISANTS OU DE COLORANTS")</f>
        <v xml:space="preserve">   ADDITIONNES D'AROMATISANTS OU DE COLORANTS</v>
      </c>
      <c r="C6780" s="4">
        <v>25000</v>
      </c>
      <c r="D6780" s="4">
        <v>3009600</v>
      </c>
    </row>
    <row r="6781" spans="1:4" x14ac:dyDescent="0.25">
      <c r="A6781" t="str">
        <f>T("   170490")</f>
        <v xml:space="preserve">   170490</v>
      </c>
      <c r="B6781" t="str">
        <f>T("   AUTRES")</f>
        <v xml:space="preserve">   AUTRES</v>
      </c>
      <c r="C6781" s="4">
        <v>1051542</v>
      </c>
      <c r="D6781" s="4">
        <v>173923689</v>
      </c>
    </row>
    <row r="6782" spans="1:4" x14ac:dyDescent="0.25">
      <c r="A6782" t="str">
        <f>T("   180610")</f>
        <v xml:space="preserve">   180610</v>
      </c>
      <c r="B6782" t="str">
        <f>T("   POUDRE DE CACAO, AVEC ADDITION DE SUCRE OU D'AUTRES EDULCORANTS")</f>
        <v xml:space="preserve">   POUDRE DE CACAO, AVEC ADDITION DE SUCRE OU D'AUTRES EDULCORANTS</v>
      </c>
      <c r="C6782" s="4">
        <v>76750</v>
      </c>
      <c r="D6782" s="4">
        <v>22892942</v>
      </c>
    </row>
    <row r="6783" spans="1:4" x14ac:dyDescent="0.25">
      <c r="A6783" t="str">
        <f>T("   180620")</f>
        <v xml:space="preserve">   180620</v>
      </c>
      <c r="B6783" t="str">
        <f>T("   AUTRES PREPARATIONS PRESENTEES SOIT EN BLOCS OU EN BARRES D'UN POIDS EXCEDANT 2 KG, S")</f>
        <v xml:space="preserve">   AUTRES PREPARATIONS PRESENTEES SOIT EN BLOCS OU EN BARRES D'UN POIDS EXCEDANT 2 KG, S</v>
      </c>
      <c r="C6783" s="4">
        <v>32640</v>
      </c>
      <c r="D6783" s="4">
        <v>17964088</v>
      </c>
    </row>
    <row r="6784" spans="1:4" x14ac:dyDescent="0.25">
      <c r="A6784" t="str">
        <f>T("   180690")</f>
        <v xml:space="preserve">   180690</v>
      </c>
      <c r="B6784" t="str">
        <f>T("   AUTRES")</f>
        <v xml:space="preserve">   AUTRES</v>
      </c>
      <c r="C6784" s="4">
        <v>9375</v>
      </c>
      <c r="D6784" s="4">
        <v>1296601</v>
      </c>
    </row>
    <row r="6785" spans="1:4" x14ac:dyDescent="0.25">
      <c r="A6785" t="str">
        <f>T("   190190")</f>
        <v xml:space="preserve">   190190</v>
      </c>
      <c r="B6785" t="str">
        <f>T("   AUTRES")</f>
        <v xml:space="preserve">   AUTRES</v>
      </c>
      <c r="C6785" s="4">
        <v>22293</v>
      </c>
      <c r="D6785" s="4">
        <v>3241754</v>
      </c>
    </row>
    <row r="6786" spans="1:4" x14ac:dyDescent="0.25">
      <c r="A6786" t="str">
        <f>T("   190531")</f>
        <v xml:space="preserve">   190531</v>
      </c>
      <c r="B6786" t="str">
        <f>T("   BISCUITS ADDITIONNES D’EDULCORANTS")</f>
        <v xml:space="preserve">   BISCUITS ADDITIONNES D’EDULCORANTS</v>
      </c>
      <c r="C6786" s="4">
        <v>541927.4</v>
      </c>
      <c r="D6786" s="4">
        <v>98418283</v>
      </c>
    </row>
    <row r="6787" spans="1:4" x14ac:dyDescent="0.25">
      <c r="A6787" t="str">
        <f>T("   190540")</f>
        <v xml:space="preserve">   190540</v>
      </c>
      <c r="B6787" t="str">
        <f>T("   BISCOTTES, PAIN GRILLE ET PRODUITS SIMILAIRES GRILLES")</f>
        <v xml:space="preserve">   BISCOTTES, PAIN GRILLE ET PRODUITS SIMILAIRES GRILLES</v>
      </c>
      <c r="C6787" s="4">
        <v>16625</v>
      </c>
      <c r="D6787" s="4">
        <v>5390060</v>
      </c>
    </row>
    <row r="6788" spans="1:4" x14ac:dyDescent="0.25">
      <c r="A6788" t="str">
        <f>T("   190590")</f>
        <v xml:space="preserve">   190590</v>
      </c>
      <c r="B6788" t="str">
        <f>T("   AUTRES")</f>
        <v xml:space="preserve">   AUTRES</v>
      </c>
      <c r="C6788" s="4">
        <v>581560.4</v>
      </c>
      <c r="D6788" s="4">
        <v>136175253</v>
      </c>
    </row>
    <row r="6789" spans="1:4" x14ac:dyDescent="0.25">
      <c r="A6789" t="str">
        <f>T("   200290")</f>
        <v xml:space="preserve">   200290</v>
      </c>
      <c r="B6789" t="str">
        <f>T("   AUTRES")</f>
        <v xml:space="preserve">   AUTRES</v>
      </c>
      <c r="C6789" s="4">
        <v>17100</v>
      </c>
      <c r="D6789" s="4">
        <v>6915786</v>
      </c>
    </row>
    <row r="6790" spans="1:4" x14ac:dyDescent="0.25">
      <c r="A6790" t="str">
        <f>T("   210112")</f>
        <v xml:space="preserve">   210112</v>
      </c>
      <c r="B6790" t="str">
        <f>T("   PREPARATIONS A BASE D'EXTRAITS, ESSENCES OU CONCENTRES OU A BASE DE CAFE")</f>
        <v xml:space="preserve">   PREPARATIONS A BASE D'EXTRAITS, ESSENCES OU CONCENTRES OU A BASE DE CAFE</v>
      </c>
      <c r="C6790" s="4">
        <v>100514</v>
      </c>
      <c r="D6790" s="4">
        <v>35731504</v>
      </c>
    </row>
    <row r="6791" spans="1:4" x14ac:dyDescent="0.25">
      <c r="A6791" t="str">
        <f>T("   210690")</f>
        <v xml:space="preserve">   210690</v>
      </c>
      <c r="B6791" t="str">
        <f>T("   AUTRES")</f>
        <v xml:space="preserve">   AUTRES</v>
      </c>
      <c r="C6791" s="4">
        <v>14125</v>
      </c>
      <c r="D6791" s="4">
        <v>4826320</v>
      </c>
    </row>
    <row r="6792" spans="1:4" x14ac:dyDescent="0.25">
      <c r="A6792" t="str">
        <f>T("   220290")</f>
        <v xml:space="preserve">   220290</v>
      </c>
      <c r="B6792" t="str">
        <f>T("   AUTRES")</f>
        <v xml:space="preserve">   AUTRES</v>
      </c>
      <c r="C6792" s="4">
        <v>57605</v>
      </c>
      <c r="D6792" s="4">
        <v>10623928</v>
      </c>
    </row>
    <row r="6793" spans="1:4" x14ac:dyDescent="0.25">
      <c r="A6793" t="str">
        <f>T("   220300")</f>
        <v xml:space="preserve">   220300</v>
      </c>
      <c r="B6793" t="str">
        <f>T("   BIERES DE MALT.")</f>
        <v xml:space="preserve">   BIERES DE MALT.</v>
      </c>
      <c r="C6793" s="4">
        <v>99395</v>
      </c>
      <c r="D6793" s="4">
        <v>19885966</v>
      </c>
    </row>
    <row r="6794" spans="1:4" x14ac:dyDescent="0.25">
      <c r="A6794" t="str">
        <f>T("   220710")</f>
        <v xml:space="preserve">   220710</v>
      </c>
      <c r="B6794" t="str">
        <f>T("   ALCOOL ETHYLIQUE NON DENATURE D'UN TITRE ALCOOMETRIQUE +VOLUMIQUE DE 80 % VOL OU PLUS")</f>
        <v xml:space="preserve">   ALCOOL ETHYLIQUE NON DENATURE D'UN TITRE ALCOOMETRIQUE +VOLUMIQUE DE 80 % VOL OU PLUS</v>
      </c>
      <c r="C6794" s="4">
        <v>477560</v>
      </c>
      <c r="D6794" s="4">
        <v>64704190</v>
      </c>
    </row>
    <row r="6795" spans="1:4" x14ac:dyDescent="0.25">
      <c r="A6795" t="str">
        <f>T("   220830")</f>
        <v xml:space="preserve">   220830</v>
      </c>
      <c r="B6795" t="str">
        <f>T("   Whiskies")</f>
        <v xml:space="preserve">   Whiskies</v>
      </c>
      <c r="C6795" s="4">
        <v>35806</v>
      </c>
      <c r="D6795" s="4">
        <v>3839289</v>
      </c>
    </row>
    <row r="6796" spans="1:4" x14ac:dyDescent="0.25">
      <c r="A6796" t="str">
        <f>T("   220870")</f>
        <v xml:space="preserve">   220870</v>
      </c>
      <c r="B6796" t="str">
        <f>T("   LIQUEURS")</f>
        <v xml:space="preserve">   LIQUEURS</v>
      </c>
      <c r="C6796" s="4">
        <v>26217</v>
      </c>
      <c r="D6796" s="4">
        <v>4449377</v>
      </c>
    </row>
    <row r="6797" spans="1:4" x14ac:dyDescent="0.25">
      <c r="A6797" t="str">
        <f>T("   220890")</f>
        <v xml:space="preserve">   220890</v>
      </c>
      <c r="B6797" t="str">
        <f>T("   AUTRES")</f>
        <v xml:space="preserve">   AUTRES</v>
      </c>
      <c r="C6797" s="4">
        <v>42502</v>
      </c>
      <c r="D6797" s="4">
        <v>3570910</v>
      </c>
    </row>
    <row r="6798" spans="1:4" x14ac:dyDescent="0.25">
      <c r="A6798" t="str">
        <f>T("   250100")</f>
        <v xml:space="preserve">   250100</v>
      </c>
      <c r="B6798" t="str">
        <f>T("   SEL (Y COMPRIS LE SEL PREPARE POUR LA TABLE ET LE SEL DENATURE) ET CHLORURE DE SODIUM P")</f>
        <v xml:space="preserve">   SEL (Y COMPRIS LE SEL PREPARE POUR LA TABLE ET LE SEL DENATURE) ET CHLORURE DE SODIUM P</v>
      </c>
      <c r="C6798" s="4">
        <v>1736426</v>
      </c>
      <c r="D6798" s="4">
        <v>106423781</v>
      </c>
    </row>
    <row r="6799" spans="1:4" x14ac:dyDescent="0.25">
      <c r="A6799" t="str">
        <f>T("   250840")</f>
        <v xml:space="preserve">   250840</v>
      </c>
      <c r="B6799" t="str">
        <f>T("   AUTRES ARGILES")</f>
        <v xml:space="preserve">   AUTRES ARGILES</v>
      </c>
      <c r="C6799" s="4">
        <v>18108</v>
      </c>
      <c r="D6799" s="4">
        <v>4131974</v>
      </c>
    </row>
    <row r="6800" spans="1:4" x14ac:dyDescent="0.25">
      <c r="A6800" t="str">
        <f>T("   251200")</f>
        <v xml:space="preserve">   251200</v>
      </c>
      <c r="B6800" t="str">
        <f>T("   FARINES SILICEUSES FOSSILES (KIESELGUHR, TRIPOLITE, DIATOMITE, PAR EXEMPLE) ET AUTRES T")</f>
        <v xml:space="preserve">   FARINES SILICEUSES FOSSILES (KIESELGUHR, TRIPOLITE, DIATOMITE, PAR EXEMPLE) ET AUTRES T</v>
      </c>
      <c r="C6800" s="4">
        <v>960</v>
      </c>
      <c r="D6800" s="4">
        <v>143479</v>
      </c>
    </row>
    <row r="6801" spans="1:4" x14ac:dyDescent="0.25">
      <c r="A6801" t="str">
        <f>T("   251690")</f>
        <v xml:space="preserve">   251690</v>
      </c>
      <c r="B6801" t="str">
        <f>T("   AUTRES PIERRES DE TAILLE OU DE CONSTRUCTION")</f>
        <v xml:space="preserve">   AUTRES PIERRES DE TAILLE OU DE CONSTRUCTION</v>
      </c>
      <c r="C6801" s="4">
        <v>25000</v>
      </c>
      <c r="D6801" s="4">
        <v>17742169</v>
      </c>
    </row>
    <row r="6802" spans="1:4" x14ac:dyDescent="0.25">
      <c r="A6802" t="str">
        <f>T("   252620")</f>
        <v xml:space="preserve">   252620</v>
      </c>
      <c r="B6802" t="str">
        <f>T("   BROYES OU PULVERISES")</f>
        <v xml:space="preserve">   BROYES OU PULVERISES</v>
      </c>
      <c r="C6802" s="4">
        <v>36600</v>
      </c>
      <c r="D6802" s="4">
        <v>9768222</v>
      </c>
    </row>
    <row r="6803" spans="1:4" x14ac:dyDescent="0.25">
      <c r="A6803" t="str">
        <f>T("   271019")</f>
        <v xml:space="preserve">   271019</v>
      </c>
      <c r="B6803" t="str">
        <f>T("   AUTRES")</f>
        <v xml:space="preserve">   AUTRES</v>
      </c>
      <c r="C6803" s="4">
        <v>37367</v>
      </c>
      <c r="D6803" s="4">
        <v>18487305</v>
      </c>
    </row>
    <row r="6804" spans="1:4" x14ac:dyDescent="0.25">
      <c r="A6804" t="str">
        <f>T("   271099")</f>
        <v xml:space="preserve">   271099</v>
      </c>
      <c r="B6804" t="str">
        <f>T("   AUTRES")</f>
        <v xml:space="preserve">   AUTRES</v>
      </c>
      <c r="C6804" s="4">
        <v>10000</v>
      </c>
      <c r="D6804" s="4">
        <v>6380074</v>
      </c>
    </row>
    <row r="6805" spans="1:4" x14ac:dyDescent="0.25">
      <c r="A6805" t="str">
        <f>T("   282810")</f>
        <v xml:space="preserve">   282810</v>
      </c>
      <c r="B6805" t="str">
        <f>T("   Hypochlorite de calcium du commerce et autres hypochlorites de calcium")</f>
        <v xml:space="preserve">   Hypochlorite de calcium du commerce et autres hypochlorites de calcium</v>
      </c>
      <c r="C6805" s="4">
        <v>13995</v>
      </c>
      <c r="D6805" s="4">
        <v>4925187</v>
      </c>
    </row>
    <row r="6806" spans="1:4" x14ac:dyDescent="0.25">
      <c r="A6806" t="str">
        <f>T("   290611")</f>
        <v xml:space="preserve">   290611</v>
      </c>
      <c r="B6806" t="str">
        <f>T("   Menthol")</f>
        <v xml:space="preserve">   Menthol</v>
      </c>
      <c r="C6806" s="4">
        <v>4504</v>
      </c>
      <c r="D6806" s="4">
        <v>3506959</v>
      </c>
    </row>
    <row r="6807" spans="1:4" x14ac:dyDescent="0.25">
      <c r="A6807" t="str">
        <f>T("   293339")</f>
        <v xml:space="preserve">   293339</v>
      </c>
      <c r="B6807" t="str">
        <f>T("   AUTRES")</f>
        <v xml:space="preserve">   AUTRES</v>
      </c>
      <c r="C6807" s="4">
        <v>5700</v>
      </c>
      <c r="D6807" s="4">
        <v>48049070</v>
      </c>
    </row>
    <row r="6808" spans="1:4" x14ac:dyDescent="0.25">
      <c r="A6808" t="str">
        <f>T("   293629")</f>
        <v xml:space="preserve">   293629</v>
      </c>
      <c r="B6808" t="str">
        <f>T("   AUTRES VITAMINES ET LEURS DERIVES")</f>
        <v xml:space="preserve">   AUTRES VITAMINES ET LEURS DERIVES</v>
      </c>
      <c r="C6808" s="4">
        <v>2540</v>
      </c>
      <c r="D6808" s="4">
        <v>17842112</v>
      </c>
    </row>
    <row r="6809" spans="1:4" x14ac:dyDescent="0.25">
      <c r="A6809" t="str">
        <f>T("   293690")</f>
        <v xml:space="preserve">   293690</v>
      </c>
      <c r="B6809" t="str">
        <f>T("   AUTRES, Y COMPRIS LES CONCENTRATS NATURELS")</f>
        <v xml:space="preserve">   AUTRES, Y COMPRIS LES CONCENTRATS NATURELS</v>
      </c>
      <c r="C6809" s="4">
        <v>3536</v>
      </c>
      <c r="D6809" s="4">
        <v>7221235</v>
      </c>
    </row>
    <row r="6810" spans="1:4" x14ac:dyDescent="0.25">
      <c r="A6810" t="str">
        <f>T("   294190")</f>
        <v xml:space="preserve">   294190</v>
      </c>
      <c r="B6810" t="str">
        <f>T("   AUTRES")</f>
        <v xml:space="preserve">   AUTRES</v>
      </c>
      <c r="C6810" s="4">
        <v>8353</v>
      </c>
      <c r="D6810" s="4">
        <v>110697220</v>
      </c>
    </row>
    <row r="6811" spans="1:4" x14ac:dyDescent="0.25">
      <c r="A6811" t="str">
        <f>T("   300220")</f>
        <v xml:space="preserve">   300220</v>
      </c>
      <c r="B6811" t="str">
        <f>T("   Vaccins pour la medecine humaine")</f>
        <v xml:space="preserve">   Vaccins pour la medecine humaine</v>
      </c>
      <c r="C6811" s="4">
        <v>4244.7</v>
      </c>
      <c r="D6811" s="4">
        <v>305358455</v>
      </c>
    </row>
    <row r="6812" spans="1:4" x14ac:dyDescent="0.25">
      <c r="A6812" t="str">
        <f>T("   300230")</f>
        <v xml:space="preserve">   300230</v>
      </c>
      <c r="B6812" t="str">
        <f>T("   VACCINS POUR LA MEDECINE VETERINAIRE")</f>
        <v xml:space="preserve">   VACCINS POUR LA MEDECINE VETERINAIRE</v>
      </c>
      <c r="C6812" s="4">
        <v>831</v>
      </c>
      <c r="D6812" s="4">
        <v>2477955</v>
      </c>
    </row>
    <row r="6813" spans="1:4" x14ac:dyDescent="0.25">
      <c r="A6813" t="str">
        <f>T("   300310")</f>
        <v xml:space="preserve">   300310</v>
      </c>
      <c r="B6813" t="str">
        <f>T("   CONTENANT DES PENICILLINES OU DES DERIVES DE CES PRODUITS, A STRUCTURE D'ACIDE PENICI")</f>
        <v xml:space="preserve">   CONTENANT DES PENICILLINES OU DES DERIVES DE CES PRODUITS, A STRUCTURE D'ACIDE PENICI</v>
      </c>
      <c r="C6813" s="4">
        <v>235</v>
      </c>
      <c r="D6813" s="4">
        <v>1001319</v>
      </c>
    </row>
    <row r="6814" spans="1:4" x14ac:dyDescent="0.25">
      <c r="A6814" t="str">
        <f>T("   300320")</f>
        <v xml:space="preserve">   300320</v>
      </c>
      <c r="B6814" t="str">
        <f>T("   CONTENANT D'AUTRES ANTIBIOTIQUES")</f>
        <v xml:space="preserve">   CONTENANT D'AUTRES ANTIBIOTIQUES</v>
      </c>
      <c r="C6814" s="4">
        <v>36</v>
      </c>
      <c r="D6814" s="4">
        <v>200000</v>
      </c>
    </row>
    <row r="6815" spans="1:4" x14ac:dyDescent="0.25">
      <c r="A6815" t="str">
        <f>T("   300339")</f>
        <v xml:space="preserve">   300339</v>
      </c>
      <c r="B6815" t="str">
        <f>T("   AUTRES")</f>
        <v xml:space="preserve">   AUTRES</v>
      </c>
      <c r="C6815" s="4">
        <v>7775.99</v>
      </c>
      <c r="D6815" s="4">
        <v>426548299</v>
      </c>
    </row>
    <row r="6816" spans="1:4" x14ac:dyDescent="0.25">
      <c r="A6816" t="str">
        <f>T("   300390")</f>
        <v xml:space="preserve">   300390</v>
      </c>
      <c r="B6816" t="str">
        <f>T("   AUTRES")</f>
        <v xml:space="preserve">   AUTRES</v>
      </c>
      <c r="C6816" s="4">
        <v>50203</v>
      </c>
      <c r="D6816" s="4">
        <v>57508301</v>
      </c>
    </row>
    <row r="6817" spans="1:4" x14ac:dyDescent="0.25">
      <c r="A6817" t="str">
        <f>T("   300439")</f>
        <v xml:space="preserve">   300439</v>
      </c>
      <c r="B6817" t="str">
        <f>T("   AUTRES")</f>
        <v xml:space="preserve">   AUTRES</v>
      </c>
      <c r="C6817" s="4">
        <v>1151</v>
      </c>
      <c r="D6817" s="4">
        <v>18008192</v>
      </c>
    </row>
    <row r="6818" spans="1:4" x14ac:dyDescent="0.25">
      <c r="A6818" t="str">
        <f>T("   300490")</f>
        <v xml:space="preserve">   300490</v>
      </c>
      <c r="B6818" t="str">
        <f>T("   AUTRES")</f>
        <v xml:space="preserve">   AUTRES</v>
      </c>
      <c r="C6818" s="4">
        <v>285744.18</v>
      </c>
      <c r="D6818" s="4">
        <v>2714089962</v>
      </c>
    </row>
    <row r="6819" spans="1:4" x14ac:dyDescent="0.25">
      <c r="A6819" t="str">
        <f>T("   300590")</f>
        <v xml:space="preserve">   300590</v>
      </c>
      <c r="B6819" t="str">
        <f>T("   AUTRES")</f>
        <v xml:space="preserve">   AUTRES</v>
      </c>
      <c r="C6819" s="4">
        <v>22330</v>
      </c>
      <c r="D6819" s="4">
        <v>32500000</v>
      </c>
    </row>
    <row r="6820" spans="1:4" x14ac:dyDescent="0.25">
      <c r="A6820" t="str">
        <f>T("   300620")</f>
        <v xml:space="preserve">   300620</v>
      </c>
      <c r="B6820" t="str">
        <f>T("   REACTIFS DESTINES A LA DETERMINATION DES GROUPES OU DES FACTEURS SANGUINS")</f>
        <v xml:space="preserve">   REACTIFS DESTINES A LA DETERMINATION DES GROUPES OU DES FACTEURS SANGUINS</v>
      </c>
      <c r="C6820" s="4">
        <v>24.7</v>
      </c>
      <c r="D6820" s="4">
        <v>150000</v>
      </c>
    </row>
    <row r="6821" spans="1:4" x14ac:dyDescent="0.25">
      <c r="A6821" t="str">
        <f>T("   310590")</f>
        <v xml:space="preserve">   310590</v>
      </c>
      <c r="B6821" t="str">
        <f>T("   AUTRES")</f>
        <v xml:space="preserve">   AUTRES</v>
      </c>
      <c r="C6821" s="4">
        <v>44464</v>
      </c>
      <c r="D6821" s="4">
        <v>8429400</v>
      </c>
    </row>
    <row r="6822" spans="1:4" x14ac:dyDescent="0.25">
      <c r="A6822" t="str">
        <f>T("   320417")</f>
        <v xml:space="preserve">   320417</v>
      </c>
      <c r="B6822" t="str">
        <f>T("   Colorants pigmentaires et preparations a base de ces colorants")</f>
        <v xml:space="preserve">   Colorants pigmentaires et preparations a base de ces colorants</v>
      </c>
      <c r="C6822" s="4">
        <v>210</v>
      </c>
      <c r="D6822" s="4">
        <v>50287</v>
      </c>
    </row>
    <row r="6823" spans="1:4" x14ac:dyDescent="0.25">
      <c r="A6823" t="str">
        <f>T("   320490")</f>
        <v xml:space="preserve">   320490</v>
      </c>
      <c r="B6823" t="str">
        <f>T("   AUTRES")</f>
        <v xml:space="preserve">   AUTRES</v>
      </c>
      <c r="C6823" s="4">
        <v>12000</v>
      </c>
      <c r="D6823" s="4">
        <v>5193629</v>
      </c>
    </row>
    <row r="6824" spans="1:4" x14ac:dyDescent="0.25">
      <c r="A6824" t="str">
        <f>T("   321590")</f>
        <v xml:space="preserve">   321590</v>
      </c>
      <c r="B6824" t="str">
        <f>T("   AUTRES")</f>
        <v xml:space="preserve">   AUTRES</v>
      </c>
      <c r="C6824" s="4">
        <v>310</v>
      </c>
      <c r="D6824" s="4">
        <v>50000</v>
      </c>
    </row>
    <row r="6825" spans="1:4" x14ac:dyDescent="0.25">
      <c r="A6825" t="str">
        <f>T("   330190")</f>
        <v xml:space="preserve">   330190</v>
      </c>
      <c r="B6825" t="str">
        <f>T("   AUTRES")</f>
        <v xml:space="preserve">   AUTRES</v>
      </c>
      <c r="C6825" s="4">
        <v>200</v>
      </c>
      <c r="D6825" s="4">
        <v>189200</v>
      </c>
    </row>
    <row r="6826" spans="1:4" x14ac:dyDescent="0.25">
      <c r="A6826" t="str">
        <f>T("   330210")</f>
        <v xml:space="preserve">   330210</v>
      </c>
      <c r="B6826" t="str">
        <f>T("   DES TYPES UTILISES POUR LES INDUSTRIES ALIMENTAIRES OU DES BOISSONS")</f>
        <v xml:space="preserve">   DES TYPES UTILISES POUR LES INDUSTRIES ALIMENTAIRES OU DES BOISSONS</v>
      </c>
      <c r="C6826" s="4">
        <v>7529</v>
      </c>
      <c r="D6826" s="4">
        <v>11443418</v>
      </c>
    </row>
    <row r="6827" spans="1:4" x14ac:dyDescent="0.25">
      <c r="A6827" t="str">
        <f>T("   330610")</f>
        <v xml:space="preserve">   330610</v>
      </c>
      <c r="B6827" t="str">
        <f>T("   Dentifrices")</f>
        <v xml:space="preserve">   Dentifrices</v>
      </c>
      <c r="C6827" s="4">
        <v>7740</v>
      </c>
      <c r="D6827" s="4">
        <v>4369197</v>
      </c>
    </row>
    <row r="6828" spans="1:4" x14ac:dyDescent="0.25">
      <c r="A6828" t="str">
        <f>T("   340111")</f>
        <v xml:space="preserve">   340111</v>
      </c>
      <c r="B6828" t="str">
        <f>T("   DE TOILETTE (Y COMPRIS CEUX A USAGES MEDICAUX)")</f>
        <v xml:space="preserve">   DE TOILETTE (Y COMPRIS CEUX A USAGES MEDICAUX)</v>
      </c>
      <c r="C6828" s="4">
        <v>12710</v>
      </c>
      <c r="D6828" s="4">
        <v>5186387</v>
      </c>
    </row>
    <row r="6829" spans="1:4" x14ac:dyDescent="0.25">
      <c r="A6829" t="str">
        <f>T("   340119")</f>
        <v xml:space="preserve">   340119</v>
      </c>
      <c r="B6829" t="str">
        <f>T("   AUTRES")</f>
        <v xml:space="preserve">   AUTRES</v>
      </c>
      <c r="C6829" s="4">
        <v>41110</v>
      </c>
      <c r="D6829" s="4">
        <v>8716000</v>
      </c>
    </row>
    <row r="6830" spans="1:4" x14ac:dyDescent="0.25">
      <c r="A6830" t="str">
        <f>T("   340120")</f>
        <v xml:space="preserve">   340120</v>
      </c>
      <c r="B6830" t="str">
        <f>T("   SAVONS SOUS AUTRES FORMES")</f>
        <v xml:space="preserve">   SAVONS SOUS AUTRES FORMES</v>
      </c>
      <c r="C6830" s="4">
        <v>19560</v>
      </c>
      <c r="D6830" s="4">
        <v>3057081</v>
      </c>
    </row>
    <row r="6831" spans="1:4" x14ac:dyDescent="0.25">
      <c r="A6831" t="str">
        <f>T("   340220")</f>
        <v xml:space="preserve">   340220</v>
      </c>
      <c r="B6831" t="str">
        <f>T("   PREPARATIONS CONDITIONNEES POUR LA VENTE AU DETAIL")</f>
        <v xml:space="preserve">   PREPARATIONS CONDITIONNEES POUR LA VENTE AU DETAIL</v>
      </c>
      <c r="C6831" s="4">
        <v>28239</v>
      </c>
      <c r="D6831" s="4">
        <v>10600574</v>
      </c>
    </row>
    <row r="6832" spans="1:4" x14ac:dyDescent="0.25">
      <c r="A6832" t="str">
        <f>T("   340290")</f>
        <v xml:space="preserve">   340290</v>
      </c>
      <c r="B6832" t="str">
        <f>T("   AUTRES")</f>
        <v xml:space="preserve">   AUTRES</v>
      </c>
      <c r="C6832" s="4">
        <v>504</v>
      </c>
      <c r="D6832" s="4">
        <v>304797</v>
      </c>
    </row>
    <row r="6833" spans="1:4" x14ac:dyDescent="0.25">
      <c r="A6833" t="str">
        <f>T("   340399")</f>
        <v xml:space="preserve">   340399</v>
      </c>
      <c r="B6833" t="str">
        <f>T("   AUTRES")</f>
        <v xml:space="preserve">   AUTRES</v>
      </c>
      <c r="C6833" s="4">
        <v>900</v>
      </c>
      <c r="D6833" s="4">
        <v>3727249</v>
      </c>
    </row>
    <row r="6834" spans="1:4" x14ac:dyDescent="0.25">
      <c r="A6834" t="str">
        <f>T("   360500")</f>
        <v xml:space="preserve">   360500</v>
      </c>
      <c r="B6834" t="str">
        <f>T("   ALLUMETTES, AUTRES QUE LES ARTICLES DE PYROTECHNIE DU N° 36.04.")</f>
        <v xml:space="preserve">   ALLUMETTES, AUTRES QUE LES ARTICLES DE PYROTECHNIE DU N° 36.04.</v>
      </c>
      <c r="C6834" s="4">
        <v>388223</v>
      </c>
      <c r="D6834" s="4">
        <v>132786163</v>
      </c>
    </row>
    <row r="6835" spans="1:4" x14ac:dyDescent="0.25">
      <c r="A6835" t="str">
        <f>T("   380210")</f>
        <v xml:space="preserve">   380210</v>
      </c>
      <c r="B6835" t="str">
        <f>T("   Charbons actives")</f>
        <v xml:space="preserve">   Charbons actives</v>
      </c>
      <c r="C6835" s="4">
        <v>480</v>
      </c>
      <c r="D6835" s="4">
        <v>387448</v>
      </c>
    </row>
    <row r="6836" spans="1:4" x14ac:dyDescent="0.25">
      <c r="A6836" t="str">
        <f>T("   380893")</f>
        <v xml:space="preserve">   380893</v>
      </c>
      <c r="B6836" t="str">
        <f>T("   HERBICIDES, INHIBITEURS DE GERMINATION ET REGULATEURS DE CROISSANCE POUR PLANTES")</f>
        <v xml:space="preserve">   HERBICIDES, INHIBITEURS DE GERMINATION ET REGULATEURS DE CROISSANCE POUR PLANTES</v>
      </c>
      <c r="C6836" s="4">
        <v>146790</v>
      </c>
      <c r="D6836" s="4">
        <v>263486564</v>
      </c>
    </row>
    <row r="6837" spans="1:4" x14ac:dyDescent="0.25">
      <c r="A6837" t="str">
        <f>T("   382200")</f>
        <v xml:space="preserve">   382200</v>
      </c>
      <c r="B6837" t="str">
        <f>T("   REACTIFS DE DIAGNOSTIC OU DE LABORATOIRE SUR TOUT SUPPORT ET REACTIFS DE DIAGNOSTIC OU")</f>
        <v xml:space="preserve">   REACTIFS DE DIAGNOSTIC OU DE LABORATOIRE SUR TOUT SUPPORT ET REACTIFS DE DIAGNOSTIC OU</v>
      </c>
      <c r="C6837" s="4">
        <v>2479.5</v>
      </c>
      <c r="D6837" s="4">
        <v>55399623</v>
      </c>
    </row>
    <row r="6838" spans="1:4" x14ac:dyDescent="0.25">
      <c r="A6838" t="str">
        <f>T("   391721")</f>
        <v xml:space="preserve">   391721</v>
      </c>
      <c r="B6838" t="str">
        <f>T("   EN POLYMERES DE L'ETHYLENE")</f>
        <v xml:space="preserve">   EN POLYMERES DE L'ETHYLENE</v>
      </c>
      <c r="C6838" s="4">
        <v>15970</v>
      </c>
      <c r="D6838" s="4">
        <v>19710383</v>
      </c>
    </row>
    <row r="6839" spans="1:4" x14ac:dyDescent="0.25">
      <c r="A6839" t="str">
        <f>T("   392350")</f>
        <v xml:space="preserve">   392350</v>
      </c>
      <c r="B6839" t="str">
        <f>T("   BOUCHONS, COUVERCLES, CAPSULES ET AUTRES DISPOSITIFS DE FERMETURE")</f>
        <v xml:space="preserve">   BOUCHONS, COUVERCLES, CAPSULES ET AUTRES DISPOSITIFS DE FERMETURE</v>
      </c>
      <c r="C6839" s="4">
        <v>11264</v>
      </c>
      <c r="D6839" s="4">
        <v>2773282</v>
      </c>
    </row>
    <row r="6840" spans="1:4" x14ac:dyDescent="0.25">
      <c r="A6840" t="str">
        <f>T("   392390")</f>
        <v xml:space="preserve">   392390</v>
      </c>
      <c r="B6840" t="str">
        <f>T("   AUTRES")</f>
        <v xml:space="preserve">   AUTRES</v>
      </c>
      <c r="C6840" s="4">
        <v>7905</v>
      </c>
      <c r="D6840" s="4">
        <v>27032210</v>
      </c>
    </row>
    <row r="6841" spans="1:4" x14ac:dyDescent="0.25">
      <c r="A6841" t="str">
        <f>T("   392490")</f>
        <v xml:space="preserve">   392490</v>
      </c>
      <c r="B6841" t="str">
        <f>T("   AUTRES")</f>
        <v xml:space="preserve">   AUTRES</v>
      </c>
      <c r="C6841" s="4">
        <v>14315</v>
      </c>
      <c r="D6841" s="4">
        <v>8200041</v>
      </c>
    </row>
    <row r="6842" spans="1:4" x14ac:dyDescent="0.25">
      <c r="A6842" t="str">
        <f>T("   392510")</f>
        <v xml:space="preserve">   392510</v>
      </c>
      <c r="B6842" t="str">
        <f>T("   RESERVOIRS, FOUDRES, CUVES ET RECIPIENTS ANALOGUES, D'UNE CONTENANCE EXCEDANT 300 L")</f>
        <v xml:space="preserve">   RESERVOIRS, FOUDRES, CUVES ET RECIPIENTS ANALOGUES, D'UNE CONTENANCE EXCEDANT 300 L</v>
      </c>
      <c r="C6842" s="4">
        <v>800</v>
      </c>
      <c r="D6842" s="4">
        <v>2620113</v>
      </c>
    </row>
    <row r="6843" spans="1:4" x14ac:dyDescent="0.25">
      <c r="A6843" t="str">
        <f>T("   401019")</f>
        <v xml:space="preserve">   401019</v>
      </c>
      <c r="B6843" t="str">
        <f>T("   AUTRES")</f>
        <v xml:space="preserve">   AUTRES</v>
      </c>
      <c r="C6843" s="4">
        <v>1425</v>
      </c>
      <c r="D6843" s="4">
        <v>3095921</v>
      </c>
    </row>
    <row r="6844" spans="1:4" x14ac:dyDescent="0.25">
      <c r="A6844" t="str">
        <f>T("   401194")</f>
        <v xml:space="preserve">   401194</v>
      </c>
      <c r="B6844" t="str">
        <f>T("   DES TYPES UTILISES POUR LES VEHICULES ET ENGINS DE GENIE CIVIL ET DE MANUTENTION IND")</f>
        <v xml:space="preserve">   DES TYPES UTILISES POUR LES VEHICULES ET ENGINS DE GENIE CIVIL ET DE MANUTENTION IND</v>
      </c>
      <c r="C6844" s="4">
        <v>7179</v>
      </c>
      <c r="D6844" s="4">
        <v>19761451</v>
      </c>
    </row>
    <row r="6845" spans="1:4" x14ac:dyDescent="0.25">
      <c r="A6845" t="str">
        <f>T("   401199")</f>
        <v xml:space="preserve">   401199</v>
      </c>
      <c r="B6845" t="str">
        <f>T("   AUTRES")</f>
        <v xml:space="preserve">   AUTRES</v>
      </c>
      <c r="C6845" s="4">
        <v>29420</v>
      </c>
      <c r="D6845" s="4">
        <v>16660072</v>
      </c>
    </row>
    <row r="6846" spans="1:4" x14ac:dyDescent="0.25">
      <c r="A6846" t="str">
        <f>T("   401410")</f>
        <v xml:space="preserve">   401410</v>
      </c>
      <c r="B6846" t="str">
        <f>T("   PRESERVATIFS")</f>
        <v xml:space="preserve">   PRESERVATIFS</v>
      </c>
      <c r="C6846" s="4">
        <v>5144</v>
      </c>
      <c r="D6846" s="4">
        <v>35749342</v>
      </c>
    </row>
    <row r="6847" spans="1:4" x14ac:dyDescent="0.25">
      <c r="A6847" t="str">
        <f>T("   401490")</f>
        <v xml:space="preserve">   401490</v>
      </c>
      <c r="B6847" t="str">
        <f>T("   AUTRES")</f>
        <v xml:space="preserve">   AUTRES</v>
      </c>
      <c r="C6847" s="4">
        <v>70</v>
      </c>
      <c r="D6847" s="4">
        <v>654733</v>
      </c>
    </row>
    <row r="6848" spans="1:4" x14ac:dyDescent="0.25">
      <c r="A6848" t="str">
        <f>T("   401691")</f>
        <v xml:space="preserve">   401691</v>
      </c>
      <c r="B6848" t="str">
        <f>T("   REVETEMENTS DE SOL ET TAPIS DE PIED")</f>
        <v xml:space="preserve">   REVETEMENTS DE SOL ET TAPIS DE PIED</v>
      </c>
      <c r="C6848" s="4">
        <v>300</v>
      </c>
      <c r="D6848" s="4">
        <v>139909</v>
      </c>
    </row>
    <row r="6849" spans="1:4" x14ac:dyDescent="0.25">
      <c r="A6849" t="str">
        <f>T("   420229")</f>
        <v xml:space="preserve">   420229</v>
      </c>
      <c r="B6849" t="str">
        <f>T("   AUTRES")</f>
        <v xml:space="preserve">   AUTRES</v>
      </c>
      <c r="C6849" s="4">
        <v>15000</v>
      </c>
      <c r="D6849" s="4">
        <v>3450000</v>
      </c>
    </row>
    <row r="6850" spans="1:4" x14ac:dyDescent="0.25">
      <c r="A6850" t="str">
        <f>T("   420239")</f>
        <v xml:space="preserve">   420239</v>
      </c>
      <c r="B6850" t="str">
        <f>T("   AUTRES")</f>
        <v xml:space="preserve">   AUTRES</v>
      </c>
      <c r="C6850" s="4">
        <v>100</v>
      </c>
      <c r="D6850" s="4">
        <v>140000</v>
      </c>
    </row>
    <row r="6851" spans="1:4" x14ac:dyDescent="0.25">
      <c r="A6851" t="str">
        <f>T("   420292")</f>
        <v xml:space="preserve">   420292</v>
      </c>
      <c r="B6851" t="str">
        <f>T("   A SURFACE EXTERIEURE EN FEUILLES DE MATIERES PLASTIQUES OU EN MATIERES TEXTILES")</f>
        <v xml:space="preserve">   A SURFACE EXTERIEURE EN FEUILLES DE MATIERES PLASTIQUES OU EN MATIERES TEXTILES</v>
      </c>
      <c r="C6851" s="4">
        <v>280</v>
      </c>
      <c r="D6851" s="4">
        <v>153160</v>
      </c>
    </row>
    <row r="6852" spans="1:4" x14ac:dyDescent="0.25">
      <c r="A6852" t="str">
        <f>T("   420299")</f>
        <v xml:space="preserve">   420299</v>
      </c>
      <c r="B6852" t="str">
        <f>T("   AUTRES")</f>
        <v xml:space="preserve">   AUTRES</v>
      </c>
      <c r="C6852" s="4">
        <v>350</v>
      </c>
      <c r="D6852" s="4">
        <v>450000</v>
      </c>
    </row>
    <row r="6853" spans="1:4" x14ac:dyDescent="0.25">
      <c r="A6853" t="str">
        <f>T("   420330")</f>
        <v xml:space="preserve">   420330</v>
      </c>
      <c r="B6853" t="str">
        <f>T("   CEINTURES, CEINTURONS ET BAUDRIERS")</f>
        <v xml:space="preserve">   CEINTURES, CEINTURONS ET BAUDRIERS</v>
      </c>
      <c r="C6853" s="4">
        <v>266</v>
      </c>
      <c r="D6853" s="4">
        <v>478870</v>
      </c>
    </row>
    <row r="6854" spans="1:4" x14ac:dyDescent="0.25">
      <c r="A6854" t="str">
        <f>T("   441820")</f>
        <v xml:space="preserve">   441820</v>
      </c>
      <c r="B6854" t="str">
        <f>T("   PORTES ET LEURS CADRES, CHAMBRANLES ET SEUILS")</f>
        <v xml:space="preserve">   PORTES ET LEURS CADRES, CHAMBRANLES ET SEUILS</v>
      </c>
      <c r="C6854" s="4">
        <v>15000</v>
      </c>
      <c r="D6854" s="4">
        <v>1747679</v>
      </c>
    </row>
    <row r="6855" spans="1:4" x14ac:dyDescent="0.25">
      <c r="A6855" t="str">
        <f>T("   442190")</f>
        <v xml:space="preserve">   442190</v>
      </c>
      <c r="B6855" t="str">
        <f>T("   AUTRES")</f>
        <v xml:space="preserve">   AUTRES</v>
      </c>
      <c r="C6855" s="4">
        <v>6100</v>
      </c>
      <c r="D6855" s="4">
        <v>1856908</v>
      </c>
    </row>
    <row r="6856" spans="1:4" x14ac:dyDescent="0.25">
      <c r="A6856" t="str">
        <f>T("   480100")</f>
        <v xml:space="preserve">   480100</v>
      </c>
      <c r="B6856" t="str">
        <f>T("   PAPIER JOURNAL, EN ROULEAUX OU EN FEUILLES.")</f>
        <v xml:space="preserve">   PAPIER JOURNAL, EN ROULEAUX OU EN FEUILLES.</v>
      </c>
      <c r="C6856" s="4">
        <v>103857</v>
      </c>
      <c r="D6856" s="4">
        <v>36104694</v>
      </c>
    </row>
    <row r="6857" spans="1:4" x14ac:dyDescent="0.25">
      <c r="A6857" t="str">
        <f>T("   480257")</f>
        <v xml:space="preserve">   480257</v>
      </c>
      <c r="B6857" t="str">
        <f>T("   AUTRES, D'UN POIDS AU M² DE 40 G OU PLUS MAIS N'EXCEDANT PAS 150 G")</f>
        <v xml:space="preserve">   AUTRES, D'UN POIDS AU M² DE 40 G OU PLUS MAIS N'EXCEDANT PAS 150 G</v>
      </c>
      <c r="C6857" s="4">
        <v>175891</v>
      </c>
      <c r="D6857" s="4">
        <v>75244505</v>
      </c>
    </row>
    <row r="6858" spans="1:4" x14ac:dyDescent="0.25">
      <c r="A6858" t="str">
        <f>T("   480593")</f>
        <v xml:space="preserve">   480593</v>
      </c>
      <c r="B6858" t="str">
        <f>T("   D'UN POIDS AU M² EGAL OU SUPERIEUR A 225 G")</f>
        <v xml:space="preserve">   D'UN POIDS AU M² EGAL OU SUPERIEUR A 225 G</v>
      </c>
      <c r="C6858" s="4">
        <v>80936</v>
      </c>
      <c r="D6858" s="4">
        <v>24800601</v>
      </c>
    </row>
    <row r="6859" spans="1:4" x14ac:dyDescent="0.25">
      <c r="A6859" t="str">
        <f>T("   481820")</f>
        <v xml:space="preserve">   481820</v>
      </c>
      <c r="B6859" t="str">
        <f>T("   MOUCHOIRS, SERVIETTES A DEMAQUILLER ET ESSUIEMAINS")</f>
        <v xml:space="preserve">   MOUCHOIRS, SERVIETTES A DEMAQUILLER ET ESSUIEMAINS</v>
      </c>
      <c r="C6859" s="4">
        <v>300</v>
      </c>
      <c r="D6859" s="4">
        <v>159681</v>
      </c>
    </row>
    <row r="6860" spans="1:4" x14ac:dyDescent="0.25">
      <c r="A6860" t="str">
        <f>T("   481920")</f>
        <v xml:space="preserve">   481920</v>
      </c>
      <c r="B6860" t="str">
        <f>T("   BOITES ET CARTONNAGES, PLIANTS, EN PAPIER OU CARTON NON ONDULE")</f>
        <v xml:space="preserve">   BOITES ET CARTONNAGES, PLIANTS, EN PAPIER OU CARTON NON ONDULE</v>
      </c>
      <c r="C6860" s="4">
        <v>44253</v>
      </c>
      <c r="D6860" s="4">
        <v>19265091</v>
      </c>
    </row>
    <row r="6861" spans="1:4" x14ac:dyDescent="0.25">
      <c r="A6861" t="str">
        <f>T("   481950")</f>
        <v xml:space="preserve">   481950</v>
      </c>
      <c r="B6861" t="str">
        <f>T("   AUTRES EMBALLAGES, Y COMPRIS LES POCHETTES POUR DISQUES")</f>
        <v xml:space="preserve">   AUTRES EMBALLAGES, Y COMPRIS LES POCHETTES POUR DISQUES</v>
      </c>
      <c r="C6861" s="4">
        <v>3000</v>
      </c>
      <c r="D6861" s="4">
        <v>5748896</v>
      </c>
    </row>
    <row r="6862" spans="1:4" x14ac:dyDescent="0.25">
      <c r="A6862" t="str">
        <f>T("   482010")</f>
        <v xml:space="preserve">   482010</v>
      </c>
      <c r="B6862" t="str">
        <f>T("   REGISTRES, LIVRES COMPTABLES, CARNETS (DE NOTES, DE COMMANDES, DE QUITTANCES), BLOCS")</f>
        <v xml:space="preserve">   REGISTRES, LIVRES COMPTABLES, CARNETS (DE NOTES, DE COMMANDES, DE QUITTANCES), BLOCS</v>
      </c>
      <c r="C6862" s="4">
        <v>92</v>
      </c>
      <c r="D6862" s="4">
        <v>85931</v>
      </c>
    </row>
    <row r="6863" spans="1:4" x14ac:dyDescent="0.25">
      <c r="A6863" t="str">
        <f>T("   482020")</f>
        <v xml:space="preserve">   482020</v>
      </c>
      <c r="B6863" t="str">
        <f>T("   Cahiers")</f>
        <v xml:space="preserve">   Cahiers</v>
      </c>
      <c r="C6863" s="4">
        <v>39804</v>
      </c>
      <c r="D6863" s="4">
        <v>6554352</v>
      </c>
    </row>
    <row r="6864" spans="1:4" x14ac:dyDescent="0.25">
      <c r="A6864" t="str">
        <f>T("   482090")</f>
        <v xml:space="preserve">   482090</v>
      </c>
      <c r="B6864" t="str">
        <f>T("   AUTRES")</f>
        <v xml:space="preserve">   AUTRES</v>
      </c>
      <c r="C6864" s="4">
        <v>77</v>
      </c>
      <c r="D6864" s="4">
        <v>817327</v>
      </c>
    </row>
    <row r="6865" spans="1:4" x14ac:dyDescent="0.25">
      <c r="A6865" t="str">
        <f>T("   482110")</f>
        <v xml:space="preserve">   482110</v>
      </c>
      <c r="B6865" t="str">
        <f>T("   IMPRIMEES")</f>
        <v xml:space="preserve">   IMPRIMEES</v>
      </c>
      <c r="C6865" s="4">
        <v>64</v>
      </c>
      <c r="D6865" s="4">
        <v>70844</v>
      </c>
    </row>
    <row r="6866" spans="1:4" x14ac:dyDescent="0.25">
      <c r="A6866" t="str">
        <f>T("   482190")</f>
        <v xml:space="preserve">   482190</v>
      </c>
      <c r="B6866" t="str">
        <f>T("   AUTRES")</f>
        <v xml:space="preserve">   AUTRES</v>
      </c>
      <c r="C6866" s="4">
        <v>1358</v>
      </c>
      <c r="D6866" s="4">
        <v>1616854</v>
      </c>
    </row>
    <row r="6867" spans="1:4" x14ac:dyDescent="0.25">
      <c r="A6867" t="str">
        <f>T("   482369")</f>
        <v xml:space="preserve">   482369</v>
      </c>
      <c r="B6867" t="str">
        <f>T("   AUTRES")</f>
        <v xml:space="preserve">   AUTRES</v>
      </c>
      <c r="C6867" s="4">
        <v>25771</v>
      </c>
      <c r="D6867" s="4">
        <v>2184598</v>
      </c>
    </row>
    <row r="6868" spans="1:4" x14ac:dyDescent="0.25">
      <c r="A6868" t="str">
        <f>T("   490110")</f>
        <v xml:space="preserve">   490110</v>
      </c>
      <c r="B6868" t="str">
        <f>T("   EN FEUILLETS ISOLES, MEME PLIES")</f>
        <v xml:space="preserve">   EN FEUILLETS ISOLES, MEME PLIES</v>
      </c>
      <c r="C6868" s="4">
        <v>996</v>
      </c>
      <c r="D6868" s="4">
        <v>647264</v>
      </c>
    </row>
    <row r="6869" spans="1:4" x14ac:dyDescent="0.25">
      <c r="A6869" t="str">
        <f>T("   490199")</f>
        <v xml:space="preserve">   490199</v>
      </c>
      <c r="B6869" t="str">
        <f>T("   AUTRES")</f>
        <v xml:space="preserve">   AUTRES</v>
      </c>
      <c r="C6869" s="4">
        <v>7261.2</v>
      </c>
      <c r="D6869" s="4">
        <v>6145829</v>
      </c>
    </row>
    <row r="6870" spans="1:4" x14ac:dyDescent="0.25">
      <c r="A6870" t="str">
        <f>T("   490210")</f>
        <v xml:space="preserve">   490210</v>
      </c>
      <c r="B6870" t="str">
        <f>T("   PARAISSANT AU MOINS QUATRE FOIS PAR SEMAINE")</f>
        <v xml:space="preserve">   PARAISSANT AU MOINS QUATRE FOIS PAR SEMAINE</v>
      </c>
      <c r="C6870" s="4">
        <v>175</v>
      </c>
      <c r="D6870" s="4">
        <v>354219</v>
      </c>
    </row>
    <row r="6871" spans="1:4" x14ac:dyDescent="0.25">
      <c r="A6871" t="str">
        <f>T("   491000")</f>
        <v xml:space="preserve">   491000</v>
      </c>
      <c r="B6871" t="str">
        <f>T("   CALENDRIERS DE TOUS GENRES, IMPRIMES, Y COMPRIS LES BLOCS DE CALENDRIERS A EFFEUILLER.")</f>
        <v xml:space="preserve">   CALENDRIERS DE TOUS GENRES, IMPRIMES, Y COMPRIS LES BLOCS DE CALENDRIERS A EFFEUILLER.</v>
      </c>
      <c r="C6871" s="4">
        <v>257</v>
      </c>
      <c r="D6871" s="4">
        <v>128957</v>
      </c>
    </row>
    <row r="6872" spans="1:4" x14ac:dyDescent="0.25">
      <c r="A6872" t="str">
        <f>T("   491110")</f>
        <v xml:space="preserve">   491110</v>
      </c>
      <c r="B6872" t="str">
        <f>T("   IMPRIMES PUBLICITAIRES, CATALOGUES COMMERCIAUX ET SIMILAIRES")</f>
        <v xml:space="preserve">   IMPRIMES PUBLICITAIRES, CATALOGUES COMMERCIAUX ET SIMILAIRES</v>
      </c>
      <c r="C6872" s="4">
        <v>16073.5</v>
      </c>
      <c r="D6872" s="4">
        <v>69413291</v>
      </c>
    </row>
    <row r="6873" spans="1:4" x14ac:dyDescent="0.25">
      <c r="A6873" t="str">
        <f>T("   491199")</f>
        <v xml:space="preserve">   491199</v>
      </c>
      <c r="B6873" t="str">
        <f>T("   AUTRES")</f>
        <v xml:space="preserve">   AUTRES</v>
      </c>
      <c r="C6873" s="4">
        <v>7535</v>
      </c>
      <c r="D6873" s="4">
        <v>74839119</v>
      </c>
    </row>
    <row r="6874" spans="1:4" x14ac:dyDescent="0.25">
      <c r="A6874" t="str">
        <f>T("   520299")</f>
        <v xml:space="preserve">   520299</v>
      </c>
      <c r="B6874" t="str">
        <f>T("   AUTRES")</f>
        <v xml:space="preserve">   AUTRES</v>
      </c>
      <c r="C6874" s="4">
        <v>300</v>
      </c>
      <c r="D6874" s="4">
        <v>101571</v>
      </c>
    </row>
    <row r="6875" spans="1:4" x14ac:dyDescent="0.25">
      <c r="A6875" t="str">
        <f>T("   520419")</f>
        <v xml:space="preserve">   520419</v>
      </c>
      <c r="B6875" t="str">
        <f>T("   AUTRES")</f>
        <v xml:space="preserve">   AUTRES</v>
      </c>
      <c r="C6875" s="4">
        <v>275</v>
      </c>
      <c r="D6875" s="4">
        <v>672160</v>
      </c>
    </row>
    <row r="6876" spans="1:4" x14ac:dyDescent="0.25">
      <c r="A6876" t="str">
        <f>T("   520839")</f>
        <v xml:space="preserve">   520839</v>
      </c>
      <c r="B6876" t="str">
        <f>T("   AUTRES TISSUS")</f>
        <v xml:space="preserve">   AUTRES TISSUS</v>
      </c>
      <c r="C6876" s="4">
        <v>17931</v>
      </c>
      <c r="D6876" s="4">
        <v>13104754</v>
      </c>
    </row>
    <row r="6877" spans="1:4" x14ac:dyDescent="0.25">
      <c r="A6877" t="str">
        <f>T("   520851")</f>
        <v xml:space="preserve">   520851</v>
      </c>
      <c r="B6877" t="str">
        <f>T("   A ARMURE TOILE, D'UN POIDS N'EXCEDANT PAS 100 G/M²")</f>
        <v xml:space="preserve">   A ARMURE TOILE, D'UN POIDS N'EXCEDANT PAS 100 G/M²</v>
      </c>
      <c r="C6877" s="4">
        <v>113484</v>
      </c>
      <c r="D6877" s="4">
        <v>76461004</v>
      </c>
    </row>
    <row r="6878" spans="1:4" x14ac:dyDescent="0.25">
      <c r="A6878" t="str">
        <f>T("   520852")</f>
        <v xml:space="preserve">   520852</v>
      </c>
      <c r="B6878" t="str">
        <f>T("   A ARMURE TOILE, D'UN POIDS EXCEDANT 100 G/M²")</f>
        <v xml:space="preserve">   A ARMURE TOILE, D'UN POIDS EXCEDANT 100 G/M²</v>
      </c>
      <c r="C6878" s="4">
        <v>325035</v>
      </c>
      <c r="D6878" s="4">
        <v>214442797</v>
      </c>
    </row>
    <row r="6879" spans="1:4" x14ac:dyDescent="0.25">
      <c r="A6879" t="str">
        <f>T("   520859")</f>
        <v xml:space="preserve">   520859</v>
      </c>
      <c r="B6879" t="str">
        <f>T("   AUTRES TISSUS")</f>
        <v xml:space="preserve">   AUTRES TISSUS</v>
      </c>
      <c r="C6879" s="4">
        <v>323962</v>
      </c>
      <c r="D6879" s="4">
        <v>204380755</v>
      </c>
    </row>
    <row r="6880" spans="1:4" x14ac:dyDescent="0.25">
      <c r="A6880" t="str">
        <f>T("   520951")</f>
        <v xml:space="preserve">   520951</v>
      </c>
      <c r="B6880" t="str">
        <f>T("   A ARMURE TOILE")</f>
        <v xml:space="preserve">   A ARMURE TOILE</v>
      </c>
      <c r="C6880" s="4">
        <v>41221</v>
      </c>
      <c r="D6880" s="4">
        <v>34953578</v>
      </c>
    </row>
    <row r="6881" spans="1:4" x14ac:dyDescent="0.25">
      <c r="A6881" t="str">
        <f>T("   521159")</f>
        <v xml:space="preserve">   521159</v>
      </c>
      <c r="B6881" t="str">
        <f>T("   AUTRES TISSUS")</f>
        <v xml:space="preserve">   AUTRES TISSUS</v>
      </c>
      <c r="C6881" s="4">
        <v>12024</v>
      </c>
      <c r="D6881" s="4">
        <v>13096000</v>
      </c>
    </row>
    <row r="6882" spans="1:4" x14ac:dyDescent="0.25">
      <c r="A6882" t="str">
        <f>T("   551313")</f>
        <v xml:space="preserve">   551313</v>
      </c>
      <c r="B6882" t="str">
        <f>T("   AUTRES TISSUS DE FIBRES DISCONTINUES DE POLYESTER")</f>
        <v xml:space="preserve">   AUTRES TISSUS DE FIBRES DISCONTINUES DE POLYESTER</v>
      </c>
      <c r="C6882" s="4">
        <v>122767</v>
      </c>
      <c r="D6882" s="4">
        <v>112432993</v>
      </c>
    </row>
    <row r="6883" spans="1:4" x14ac:dyDescent="0.25">
      <c r="A6883" t="str">
        <f>T("   551319")</f>
        <v xml:space="preserve">   551319</v>
      </c>
      <c r="B6883" t="str">
        <f>T("   AUTRES TISSUS")</f>
        <v xml:space="preserve">   AUTRES TISSUS</v>
      </c>
      <c r="C6883" s="4">
        <v>7783</v>
      </c>
      <c r="D6883" s="4">
        <v>3495357</v>
      </c>
    </row>
    <row r="6884" spans="1:4" x14ac:dyDescent="0.25">
      <c r="A6884" t="str">
        <f>T("   551519")</f>
        <v xml:space="preserve">   551519</v>
      </c>
      <c r="B6884" t="str">
        <f>T("   AUTRES")</f>
        <v xml:space="preserve">   AUTRES</v>
      </c>
      <c r="C6884" s="4">
        <v>14847</v>
      </c>
      <c r="D6884" s="4">
        <v>6553805</v>
      </c>
    </row>
    <row r="6885" spans="1:4" x14ac:dyDescent="0.25">
      <c r="A6885" t="str">
        <f>T("   570220")</f>
        <v xml:space="preserve">   570220</v>
      </c>
      <c r="B6885" t="str">
        <f>T("   REVETEMENTS DE SOL EN COCO")</f>
        <v xml:space="preserve">   REVETEMENTS DE SOL EN COCO</v>
      </c>
      <c r="C6885" s="4">
        <v>9685</v>
      </c>
      <c r="D6885" s="4">
        <v>4538820</v>
      </c>
    </row>
    <row r="6886" spans="1:4" x14ac:dyDescent="0.25">
      <c r="A6886" t="str">
        <f>T("   581099")</f>
        <v xml:space="preserve">   581099</v>
      </c>
      <c r="B6886" t="str">
        <f>T("   D'AUTRES MATIERES TEXTILES")</f>
        <v xml:space="preserve">   D'AUTRES MATIERES TEXTILES</v>
      </c>
      <c r="C6886" s="4">
        <v>165</v>
      </c>
      <c r="D6886" s="4">
        <v>275250</v>
      </c>
    </row>
    <row r="6887" spans="1:4" x14ac:dyDescent="0.25">
      <c r="A6887" t="str">
        <f>T("   610910")</f>
        <v xml:space="preserve">   610910</v>
      </c>
      <c r="B6887" t="str">
        <f>T("   DE COTON")</f>
        <v xml:space="preserve">   DE COTON</v>
      </c>
      <c r="C6887" s="4">
        <v>3</v>
      </c>
      <c r="D6887" s="4">
        <v>54445</v>
      </c>
    </row>
    <row r="6888" spans="1:4" x14ac:dyDescent="0.25">
      <c r="A6888" t="str">
        <f>T("   610990")</f>
        <v xml:space="preserve">   610990</v>
      </c>
      <c r="B6888" t="str">
        <f>T("   D'AUTRES MATIERES TEXTILES")</f>
        <v xml:space="preserve">   D'AUTRES MATIERES TEXTILES</v>
      </c>
      <c r="C6888" s="4">
        <v>6572</v>
      </c>
      <c r="D6888" s="4">
        <v>1663167</v>
      </c>
    </row>
    <row r="6889" spans="1:4" x14ac:dyDescent="0.25">
      <c r="A6889" t="str">
        <f>T("   620412")</f>
        <v xml:space="preserve">   620412</v>
      </c>
      <c r="B6889" t="str">
        <f>T("   DE COTON")</f>
        <v xml:space="preserve">   DE COTON</v>
      </c>
      <c r="C6889" s="4">
        <v>84</v>
      </c>
      <c r="D6889" s="4">
        <v>31000</v>
      </c>
    </row>
    <row r="6890" spans="1:4" x14ac:dyDescent="0.25">
      <c r="A6890" t="str">
        <f>T("   620520")</f>
        <v xml:space="preserve">   620520</v>
      </c>
      <c r="B6890" t="str">
        <f>T("   DE COTON")</f>
        <v xml:space="preserve">   DE COTON</v>
      </c>
      <c r="C6890" s="4">
        <v>280</v>
      </c>
      <c r="D6890" s="4">
        <v>293000</v>
      </c>
    </row>
    <row r="6891" spans="1:4" x14ac:dyDescent="0.25">
      <c r="A6891" t="str">
        <f>T("   620590")</f>
        <v xml:space="preserve">   620590</v>
      </c>
      <c r="B6891" t="str">
        <f>T("   D'AUTRES MATIERES TEXTILES")</f>
        <v xml:space="preserve">   D'AUTRES MATIERES TEXTILES</v>
      </c>
      <c r="C6891" s="4">
        <v>3900</v>
      </c>
      <c r="D6891" s="4">
        <v>3900000</v>
      </c>
    </row>
    <row r="6892" spans="1:4" x14ac:dyDescent="0.25">
      <c r="A6892" t="str">
        <f>T("   630510")</f>
        <v xml:space="preserve">   630510</v>
      </c>
      <c r="B6892" t="str">
        <f>T("   DE JUTE OU D'AUTRES FIBRES TEXTILES LIBERIENNES DU N° 53.03")</f>
        <v xml:space="preserve">   DE JUTE OU D'AUTRES FIBRES TEXTILES LIBERIENNES DU N° 53.03</v>
      </c>
      <c r="C6892" s="4">
        <v>21125</v>
      </c>
      <c r="D6892" s="4">
        <v>2779620</v>
      </c>
    </row>
    <row r="6893" spans="1:4" x14ac:dyDescent="0.25">
      <c r="A6893" t="str">
        <f>T("   630533")</f>
        <v xml:space="preserve">   630533</v>
      </c>
      <c r="B6893" t="str">
        <f>T("   AUTRES, OBTENUES A PARTIR DE LAMES OU FORMES SIMILAIRES DE POLYETHYLENE OU DE POLYPR")</f>
        <v xml:space="preserve">   AUTRES, OBTENUES A PARTIR DE LAMES OU FORMES SIMILAIRES DE POLYETHYLENE OU DE POLYPR</v>
      </c>
      <c r="C6893" s="4">
        <v>3000</v>
      </c>
      <c r="D6893" s="4">
        <v>2000000</v>
      </c>
    </row>
    <row r="6894" spans="1:4" x14ac:dyDescent="0.25">
      <c r="A6894" t="str">
        <f>T("   630590")</f>
        <v xml:space="preserve">   630590</v>
      </c>
      <c r="B6894" t="str">
        <f>T("   D'AUTRES MATIERES TEXTILES")</f>
        <v xml:space="preserve">   D'AUTRES MATIERES TEXTILES</v>
      </c>
      <c r="C6894" s="4">
        <v>1000</v>
      </c>
      <c r="D6894" s="4">
        <v>200000</v>
      </c>
    </row>
    <row r="6895" spans="1:4" x14ac:dyDescent="0.25">
      <c r="A6895" t="str">
        <f>T("   630900")</f>
        <v xml:space="preserve">   630900</v>
      </c>
      <c r="B6895" t="str">
        <f>T("   ARTICLES DE FRIPERIE.")</f>
        <v xml:space="preserve">   ARTICLES DE FRIPERIE.</v>
      </c>
      <c r="C6895" s="4">
        <v>27208</v>
      </c>
      <c r="D6895" s="4">
        <v>9830694</v>
      </c>
    </row>
    <row r="6896" spans="1:4" x14ac:dyDescent="0.25">
      <c r="A6896" t="str">
        <f>T("   640590")</f>
        <v xml:space="preserve">   640590</v>
      </c>
      <c r="B6896" t="str">
        <f>T("   AUTRES")</f>
        <v xml:space="preserve">   AUTRES</v>
      </c>
      <c r="C6896" s="4">
        <v>11793.4</v>
      </c>
      <c r="D6896" s="4">
        <v>6926938</v>
      </c>
    </row>
    <row r="6897" spans="1:4" x14ac:dyDescent="0.25">
      <c r="A6897" t="str">
        <f>T("   650610")</f>
        <v xml:space="preserve">   650610</v>
      </c>
      <c r="B6897" t="str">
        <f>T("   COIFFURES DE SECURITE")</f>
        <v xml:space="preserve">   COIFFURES DE SECURITE</v>
      </c>
      <c r="C6897" s="4">
        <v>6701</v>
      </c>
      <c r="D6897" s="4">
        <v>15226446</v>
      </c>
    </row>
    <row r="6898" spans="1:4" x14ac:dyDescent="0.25">
      <c r="A6898" t="str">
        <f>T("   680223")</f>
        <v xml:space="preserve">   680223</v>
      </c>
      <c r="B6898" t="str">
        <f>T("   GRANIT")</f>
        <v xml:space="preserve">   GRANIT</v>
      </c>
      <c r="C6898" s="4">
        <v>26527</v>
      </c>
      <c r="D6898" s="4">
        <v>14938523</v>
      </c>
    </row>
    <row r="6899" spans="1:4" x14ac:dyDescent="0.25">
      <c r="A6899" t="str">
        <f>T("   680422")</f>
        <v xml:space="preserve">   680422</v>
      </c>
      <c r="B6899" t="str">
        <f>T("   EN AUTRES ABRASIFS AGGLOMERES OU EN CERAMIQUE")</f>
        <v xml:space="preserve">   EN AUTRES ABRASIFS AGGLOMERES OU EN CERAMIQUE</v>
      </c>
      <c r="C6899" s="4">
        <v>51863</v>
      </c>
      <c r="D6899" s="4">
        <v>20700073</v>
      </c>
    </row>
    <row r="6900" spans="1:4" x14ac:dyDescent="0.25">
      <c r="A6900" t="str">
        <f>T("   681019")</f>
        <v xml:space="preserve">   681019</v>
      </c>
      <c r="B6900" t="str">
        <f>T("   AUTRES")</f>
        <v xml:space="preserve">   AUTRES</v>
      </c>
      <c r="C6900" s="4">
        <v>617330</v>
      </c>
      <c r="D6900" s="4">
        <v>49552500</v>
      </c>
    </row>
    <row r="6901" spans="1:4" x14ac:dyDescent="0.25">
      <c r="A6901" t="str">
        <f>T("   690290")</f>
        <v xml:space="preserve">   690290</v>
      </c>
      <c r="B6901" t="str">
        <f>T("   AUTRES")</f>
        <v xml:space="preserve">   AUTRES</v>
      </c>
      <c r="C6901" s="4">
        <v>23237</v>
      </c>
      <c r="D6901" s="4">
        <v>4370000</v>
      </c>
    </row>
    <row r="6902" spans="1:4" x14ac:dyDescent="0.25">
      <c r="A6902" t="str">
        <f>T("   690510")</f>
        <v xml:space="preserve">   690510</v>
      </c>
      <c r="B6902" t="str">
        <f>T("   TUILES")</f>
        <v xml:space="preserve">   TUILES</v>
      </c>
      <c r="C6902" s="4">
        <v>649409</v>
      </c>
      <c r="D6902" s="4">
        <v>38245260</v>
      </c>
    </row>
    <row r="6903" spans="1:4" x14ac:dyDescent="0.25">
      <c r="A6903" t="str">
        <f>T("   690790")</f>
        <v xml:space="preserve">   690790</v>
      </c>
      <c r="B6903" t="str">
        <f>T("   AUTRES")</f>
        <v xml:space="preserve">   AUTRES</v>
      </c>
      <c r="C6903" s="4">
        <v>73000</v>
      </c>
      <c r="D6903" s="4">
        <v>7427636</v>
      </c>
    </row>
    <row r="6904" spans="1:4" x14ac:dyDescent="0.25">
      <c r="A6904" t="str">
        <f>T("   690810")</f>
        <v xml:space="preserve">   690810</v>
      </c>
      <c r="B6904" t="str">
        <f>T("   CARREAUX, CUBES, DES ET ARTICLES SIMILAIRES, MEME DE FORME AUTRE QUE CARREE OU RECTAN")</f>
        <v xml:space="preserve">   CARREAUX, CUBES, DES ET ARTICLES SIMILAIRES, MEME DE FORME AUTRE QUE CARREE OU RECTAN</v>
      </c>
      <c r="C6904" s="4">
        <v>23269</v>
      </c>
      <c r="D6904" s="4">
        <v>7634000</v>
      </c>
    </row>
    <row r="6905" spans="1:4" x14ac:dyDescent="0.25">
      <c r="A6905" t="str">
        <f>T("   690890")</f>
        <v xml:space="preserve">   690890</v>
      </c>
      <c r="B6905" t="str">
        <f>T("   AUTRES")</f>
        <v xml:space="preserve">   AUTRES</v>
      </c>
      <c r="C6905" s="4">
        <v>36653</v>
      </c>
      <c r="D6905" s="4">
        <v>9395593</v>
      </c>
    </row>
    <row r="6906" spans="1:4" x14ac:dyDescent="0.25">
      <c r="A6906" t="str">
        <f>T("   691010")</f>
        <v xml:space="preserve">   691010</v>
      </c>
      <c r="B6906" t="str">
        <f>T("   EN PORCELAINE")</f>
        <v xml:space="preserve">   EN PORCELAINE</v>
      </c>
      <c r="C6906" s="4">
        <v>137635</v>
      </c>
      <c r="D6906" s="4">
        <v>24828106</v>
      </c>
    </row>
    <row r="6907" spans="1:4" x14ac:dyDescent="0.25">
      <c r="A6907" t="str">
        <f>T("   691090")</f>
        <v xml:space="preserve">   691090</v>
      </c>
      <c r="B6907" t="str">
        <f t="shared" ref="B6907:B6914" si="3">T("   AUTRES")</f>
        <v xml:space="preserve">   AUTRES</v>
      </c>
      <c r="C6907" s="4">
        <v>546579</v>
      </c>
      <c r="D6907" s="4">
        <v>135340103</v>
      </c>
    </row>
    <row r="6908" spans="1:4" x14ac:dyDescent="0.25">
      <c r="A6908" t="str">
        <f>T("   691490")</f>
        <v xml:space="preserve">   691490</v>
      </c>
      <c r="B6908" t="str">
        <f t="shared" si="3"/>
        <v xml:space="preserve">   AUTRES</v>
      </c>
      <c r="C6908" s="4">
        <v>170186</v>
      </c>
      <c r="D6908" s="4">
        <v>38082844</v>
      </c>
    </row>
    <row r="6909" spans="1:4" x14ac:dyDescent="0.25">
      <c r="A6909" t="str">
        <f>T("   701090")</f>
        <v xml:space="preserve">   701090</v>
      </c>
      <c r="B6909" t="str">
        <f t="shared" si="3"/>
        <v xml:space="preserve">   AUTRES</v>
      </c>
      <c r="C6909" s="4">
        <v>515048</v>
      </c>
      <c r="D6909" s="4">
        <v>111224954</v>
      </c>
    </row>
    <row r="6910" spans="1:4" x14ac:dyDescent="0.25">
      <c r="A6910" t="str">
        <f>T("   711790")</f>
        <v xml:space="preserve">   711790</v>
      </c>
      <c r="B6910" t="str">
        <f t="shared" si="3"/>
        <v xml:space="preserve">   AUTRES</v>
      </c>
      <c r="C6910" s="4">
        <v>19</v>
      </c>
      <c r="D6910" s="4">
        <v>1280000</v>
      </c>
    </row>
    <row r="6911" spans="1:4" x14ac:dyDescent="0.25">
      <c r="A6911" t="str">
        <f>T("   720690")</f>
        <v xml:space="preserve">   720690</v>
      </c>
      <c r="B6911" t="str">
        <f t="shared" si="3"/>
        <v xml:space="preserve">   AUTRES</v>
      </c>
      <c r="C6911" s="4">
        <v>1032195</v>
      </c>
      <c r="D6911" s="4">
        <v>308345996</v>
      </c>
    </row>
    <row r="6912" spans="1:4" x14ac:dyDescent="0.25">
      <c r="A6912" t="str">
        <f>T("   720890")</f>
        <v xml:space="preserve">   720890</v>
      </c>
      <c r="B6912" t="str">
        <f t="shared" si="3"/>
        <v xml:space="preserve">   AUTRES</v>
      </c>
      <c r="C6912" s="4">
        <v>187725</v>
      </c>
      <c r="D6912" s="4">
        <v>111145324</v>
      </c>
    </row>
    <row r="6913" spans="1:4" x14ac:dyDescent="0.25">
      <c r="A6913" t="str">
        <f>T("   721049")</f>
        <v xml:space="preserve">   721049</v>
      </c>
      <c r="B6913" t="str">
        <f t="shared" si="3"/>
        <v xml:space="preserve">   AUTRES</v>
      </c>
      <c r="C6913" s="4">
        <v>2557297</v>
      </c>
      <c r="D6913" s="4">
        <v>1265368564</v>
      </c>
    </row>
    <row r="6914" spans="1:4" x14ac:dyDescent="0.25">
      <c r="A6914" t="str">
        <f>T("   721090")</f>
        <v xml:space="preserve">   721090</v>
      </c>
      <c r="B6914" t="str">
        <f t="shared" si="3"/>
        <v xml:space="preserve">   AUTRES</v>
      </c>
      <c r="C6914" s="4">
        <v>570180</v>
      </c>
      <c r="D6914" s="4">
        <v>209723255</v>
      </c>
    </row>
    <row r="6915" spans="1:4" x14ac:dyDescent="0.25">
      <c r="A6915" t="str">
        <f>T("   721430")</f>
        <v xml:space="preserve">   721430</v>
      </c>
      <c r="B6915" t="str">
        <f>T("   AUTRES, EN ACIERS DE DECOLLETAGE")</f>
        <v xml:space="preserve">   AUTRES, EN ACIERS DE DECOLLETAGE</v>
      </c>
      <c r="C6915" s="4">
        <v>26858</v>
      </c>
      <c r="D6915" s="4">
        <v>121027564</v>
      </c>
    </row>
    <row r="6916" spans="1:4" x14ac:dyDescent="0.25">
      <c r="A6916" t="str">
        <f>T("   730419")</f>
        <v xml:space="preserve">   730419</v>
      </c>
      <c r="B6916" t="str">
        <f>T("   AUTRES")</f>
        <v xml:space="preserve">   AUTRES</v>
      </c>
      <c r="C6916" s="4">
        <v>11318</v>
      </c>
      <c r="D6916" s="4">
        <v>24132550</v>
      </c>
    </row>
    <row r="6917" spans="1:4" x14ac:dyDescent="0.25">
      <c r="A6917" t="str">
        <f>T("   730820")</f>
        <v xml:space="preserve">   730820</v>
      </c>
      <c r="B6917" t="str">
        <f>T("   TOURS ET PYLONES")</f>
        <v xml:space="preserve">   TOURS ET PYLONES</v>
      </c>
      <c r="C6917" s="4">
        <v>122040</v>
      </c>
      <c r="D6917" s="4">
        <v>167530216</v>
      </c>
    </row>
    <row r="6918" spans="1:4" x14ac:dyDescent="0.25">
      <c r="A6918" t="str">
        <f>T("   730890")</f>
        <v xml:space="preserve">   730890</v>
      </c>
      <c r="B6918" t="str">
        <f>T("   AUTRES")</f>
        <v xml:space="preserve">   AUTRES</v>
      </c>
      <c r="C6918" s="4">
        <v>187222</v>
      </c>
      <c r="D6918" s="4">
        <v>354597115</v>
      </c>
    </row>
    <row r="6919" spans="1:4" x14ac:dyDescent="0.25">
      <c r="A6919" t="str">
        <f>T("   731100")</f>
        <v xml:space="preserve">   731100</v>
      </c>
      <c r="B6919" t="str">
        <f>T("   RECIPIENTS POUR GAZ COMPRIMES OU LIQUEFIES, EN FONTE, FER OU ACIER.")</f>
        <v xml:space="preserve">   RECIPIENTS POUR GAZ COMPRIMES OU LIQUEFIES, EN FONTE, FER OU ACIER.</v>
      </c>
      <c r="C6919" s="4">
        <v>58440</v>
      </c>
      <c r="D6919" s="4">
        <v>52207030</v>
      </c>
    </row>
    <row r="6920" spans="1:4" x14ac:dyDescent="0.25">
      <c r="A6920" t="str">
        <f>T("   731419")</f>
        <v xml:space="preserve">   731419</v>
      </c>
      <c r="B6920" t="str">
        <f>T("   AUTRES")</f>
        <v xml:space="preserve">   AUTRES</v>
      </c>
      <c r="C6920" s="4">
        <v>931328</v>
      </c>
      <c r="D6920" s="4">
        <v>94375590</v>
      </c>
    </row>
    <row r="6921" spans="1:4" x14ac:dyDescent="0.25">
      <c r="A6921" t="str">
        <f>T("   731449")</f>
        <v xml:space="preserve">   731449</v>
      </c>
      <c r="B6921" t="str">
        <f>T("   AUTRES")</f>
        <v xml:space="preserve">   AUTRES</v>
      </c>
      <c r="C6921" s="4">
        <v>18150</v>
      </c>
      <c r="D6921" s="4">
        <v>27820746</v>
      </c>
    </row>
    <row r="6922" spans="1:4" x14ac:dyDescent="0.25">
      <c r="A6922" t="str">
        <f>T("   731450")</f>
        <v xml:space="preserve">   731450</v>
      </c>
      <c r="B6922" t="str">
        <f>T("   TOLES ET BANDES DEPLOYEES")</f>
        <v xml:space="preserve">   TOLES ET BANDES DEPLOYEES</v>
      </c>
      <c r="C6922" s="4">
        <v>1076722</v>
      </c>
      <c r="D6922" s="4">
        <v>456799565</v>
      </c>
    </row>
    <row r="6923" spans="1:4" x14ac:dyDescent="0.25">
      <c r="A6923" t="str">
        <f>T("   731814")</f>
        <v xml:space="preserve">   731814</v>
      </c>
      <c r="B6923" t="str">
        <f>T("   VIS AUTOTARAUDEUSES")</f>
        <v xml:space="preserve">   VIS AUTOTARAUDEUSES</v>
      </c>
      <c r="C6923" s="4">
        <v>88</v>
      </c>
      <c r="D6923" s="4">
        <v>202644</v>
      </c>
    </row>
    <row r="6924" spans="1:4" x14ac:dyDescent="0.25">
      <c r="A6924" t="str">
        <f>T("   731815")</f>
        <v xml:space="preserve">   731815</v>
      </c>
      <c r="B6924" t="str">
        <f>T("   AUTRES VIS ET BOULONS, MEME AVEC LEURS ECROUS OU RONDELLES")</f>
        <v xml:space="preserve">   AUTRES VIS ET BOULONS, MEME AVEC LEURS ECROUS OU RONDELLES</v>
      </c>
      <c r="C6924" s="4">
        <v>41.1</v>
      </c>
      <c r="D6924" s="4">
        <v>24496</v>
      </c>
    </row>
    <row r="6925" spans="1:4" x14ac:dyDescent="0.25">
      <c r="A6925" t="str">
        <f>T("   732111")</f>
        <v xml:space="preserve">   732111</v>
      </c>
      <c r="B6925" t="str">
        <f>T("   A COMBUSTIBLES GAZEUX OU A GAZ ET AUTRES COMBUSTIBLES")</f>
        <v xml:space="preserve">   A COMBUSTIBLES GAZEUX OU A GAZ ET AUTRES COMBUSTIBLES</v>
      </c>
      <c r="C6925" s="4">
        <v>100</v>
      </c>
      <c r="D6925" s="4">
        <v>100000</v>
      </c>
    </row>
    <row r="6926" spans="1:4" x14ac:dyDescent="0.25">
      <c r="A6926" t="str">
        <f>T("   732394")</f>
        <v xml:space="preserve">   732394</v>
      </c>
      <c r="B6926" t="str">
        <f>T("   EN FER OU EN ACIER, EMAILLES")</f>
        <v xml:space="preserve">   EN FER OU EN ACIER, EMAILLES</v>
      </c>
      <c r="C6926" s="4">
        <v>4000</v>
      </c>
      <c r="D6926" s="4">
        <v>4000000</v>
      </c>
    </row>
    <row r="6927" spans="1:4" x14ac:dyDescent="0.25">
      <c r="A6927" t="str">
        <f>T("   732399")</f>
        <v xml:space="preserve">   732399</v>
      </c>
      <c r="B6927" t="str">
        <f>T("   AUTRES")</f>
        <v xml:space="preserve">   AUTRES</v>
      </c>
      <c r="C6927" s="4">
        <v>7959</v>
      </c>
      <c r="D6927" s="4">
        <v>9973770</v>
      </c>
    </row>
    <row r="6928" spans="1:4" x14ac:dyDescent="0.25">
      <c r="A6928" t="str">
        <f>T("   732591")</f>
        <v xml:space="preserve">   732591</v>
      </c>
      <c r="B6928" t="str">
        <f>T("   BOULETS ET ARTICLES SIMILAIRES POUR BROYEURS")</f>
        <v xml:space="preserve">   BOULETS ET ARTICLES SIMILAIRES POUR BROYEURS</v>
      </c>
      <c r="C6928" s="4">
        <v>277238</v>
      </c>
      <c r="D6928" s="4">
        <v>202049698</v>
      </c>
    </row>
    <row r="6929" spans="1:4" x14ac:dyDescent="0.25">
      <c r="A6929" t="str">
        <f>T("   732611")</f>
        <v xml:space="preserve">   732611</v>
      </c>
      <c r="B6929" t="str">
        <f>T("   BOULETS ET ARTICLES SIMILAIRES POUR BROYEURS")</f>
        <v xml:space="preserve">   BOULETS ET ARTICLES SIMILAIRES POUR BROYEURS</v>
      </c>
      <c r="C6929" s="4">
        <v>22902</v>
      </c>
      <c r="D6929" s="4">
        <v>22273122</v>
      </c>
    </row>
    <row r="6930" spans="1:4" x14ac:dyDescent="0.25">
      <c r="A6930" t="str">
        <f>T("   732690")</f>
        <v xml:space="preserve">   732690</v>
      </c>
      <c r="B6930" t="str">
        <f>T("   AUTRES")</f>
        <v xml:space="preserve">   AUTRES</v>
      </c>
      <c r="C6930" s="4">
        <v>182442</v>
      </c>
      <c r="D6930" s="4">
        <v>270129275</v>
      </c>
    </row>
    <row r="6931" spans="1:4" x14ac:dyDescent="0.25">
      <c r="A6931" t="str">
        <f>T("   740819")</f>
        <v xml:space="preserve">   740819</v>
      </c>
      <c r="B6931" t="str">
        <f>T("   AUTRES")</f>
        <v xml:space="preserve">   AUTRES</v>
      </c>
      <c r="C6931" s="4">
        <v>56</v>
      </c>
      <c r="D6931" s="4">
        <v>100541</v>
      </c>
    </row>
    <row r="6932" spans="1:4" x14ac:dyDescent="0.25">
      <c r="A6932" t="str">
        <f>T("   740929")</f>
        <v xml:space="preserve">   740929</v>
      </c>
      <c r="B6932" t="str">
        <f>T("   AUTRES")</f>
        <v xml:space="preserve">   AUTRES</v>
      </c>
      <c r="C6932" s="4">
        <v>239015</v>
      </c>
      <c r="D6932" s="4">
        <v>119557894</v>
      </c>
    </row>
    <row r="6933" spans="1:4" x14ac:dyDescent="0.25">
      <c r="A6933" t="str">
        <f>T("   740939")</f>
        <v xml:space="preserve">   740939</v>
      </c>
      <c r="B6933" t="str">
        <f>T("   AUTRES")</f>
        <v xml:space="preserve">   AUTRES</v>
      </c>
      <c r="C6933" s="4">
        <v>1453093</v>
      </c>
      <c r="D6933" s="4">
        <v>367848594</v>
      </c>
    </row>
    <row r="6934" spans="1:4" x14ac:dyDescent="0.25">
      <c r="A6934" t="str">
        <f>T("   760429")</f>
        <v xml:space="preserve">   760429</v>
      </c>
      <c r="B6934" t="str">
        <f>T("   AUTRES")</f>
        <v xml:space="preserve">   AUTRES</v>
      </c>
      <c r="C6934" s="4">
        <v>16720</v>
      </c>
      <c r="D6934" s="4">
        <v>45791719</v>
      </c>
    </row>
    <row r="6935" spans="1:4" x14ac:dyDescent="0.25">
      <c r="A6935" t="str">
        <f>T("   760611")</f>
        <v xml:space="preserve">   760611</v>
      </c>
      <c r="B6935" t="str">
        <f>T("   EN ALUMINIUM NON ALLIE")</f>
        <v xml:space="preserve">   EN ALUMINIUM NON ALLIE</v>
      </c>
      <c r="C6935" s="4">
        <v>250390</v>
      </c>
      <c r="D6935" s="4">
        <v>98306937</v>
      </c>
    </row>
    <row r="6936" spans="1:4" x14ac:dyDescent="0.25">
      <c r="A6936" t="str">
        <f>T("   760691")</f>
        <v xml:space="preserve">   760691</v>
      </c>
      <c r="B6936" t="str">
        <f>T("   EN ALUMINIUM NON ALLIE")</f>
        <v xml:space="preserve">   EN ALUMINIUM NON ALLIE</v>
      </c>
      <c r="C6936" s="4">
        <v>27730</v>
      </c>
      <c r="D6936" s="4">
        <v>14199891</v>
      </c>
    </row>
    <row r="6937" spans="1:4" x14ac:dyDescent="0.25">
      <c r="A6937" t="str">
        <f>T("   760692")</f>
        <v xml:space="preserve">   760692</v>
      </c>
      <c r="B6937" t="str">
        <f>T("   EN ALLIAGES D'ALUMINIUM")</f>
        <v xml:space="preserve">   EN ALLIAGES D'ALUMINIUM</v>
      </c>
      <c r="C6937" s="4">
        <v>402040</v>
      </c>
      <c r="D6937" s="4">
        <v>96689161</v>
      </c>
    </row>
    <row r="6938" spans="1:4" x14ac:dyDescent="0.25">
      <c r="A6938" t="str">
        <f>T("   760719")</f>
        <v xml:space="preserve">   760719</v>
      </c>
      <c r="B6938" t="str">
        <f>T("   AUTRES")</f>
        <v xml:space="preserve">   AUTRES</v>
      </c>
      <c r="C6938" s="4">
        <v>4984</v>
      </c>
      <c r="D6938" s="4">
        <v>15615512</v>
      </c>
    </row>
    <row r="6939" spans="1:4" x14ac:dyDescent="0.25">
      <c r="A6939" t="str">
        <f>T("   761300")</f>
        <v xml:space="preserve">   761300</v>
      </c>
      <c r="B6939" t="str">
        <f>T("   RECIPIENTS EN ALUMINIUM POUR GAZ COMPRIMES OU LIQUEFIES.")</f>
        <v xml:space="preserve">   RECIPIENTS EN ALUMINIUM POUR GAZ COMPRIMES OU LIQUEFIES.</v>
      </c>
      <c r="C6939" s="4">
        <v>4500</v>
      </c>
      <c r="D6939" s="4">
        <v>1282083</v>
      </c>
    </row>
    <row r="6940" spans="1:4" x14ac:dyDescent="0.25">
      <c r="A6940" t="str">
        <f>T("   761519")</f>
        <v xml:space="preserve">   761519</v>
      </c>
      <c r="B6940" t="str">
        <f>T("   AUTRES ARTICLES DE MENAGES OU D'ECONOMIE DOMESTIQUE EN ALUMINIUM")</f>
        <v xml:space="preserve">   AUTRES ARTICLES DE MENAGES OU D'ECONOMIE DOMESTIQUE EN ALUMINIUM</v>
      </c>
      <c r="C6940" s="4">
        <v>6655</v>
      </c>
      <c r="D6940" s="4">
        <v>3900000</v>
      </c>
    </row>
    <row r="6941" spans="1:4" x14ac:dyDescent="0.25">
      <c r="A6941" t="str">
        <f>T("   761699")</f>
        <v xml:space="preserve">   761699</v>
      </c>
      <c r="B6941" t="str">
        <f>T("   AUTRES")</f>
        <v xml:space="preserve">   AUTRES</v>
      </c>
      <c r="C6941" s="4">
        <v>8100</v>
      </c>
      <c r="D6941" s="4">
        <v>1404067</v>
      </c>
    </row>
    <row r="6942" spans="1:4" x14ac:dyDescent="0.25">
      <c r="A6942" t="str">
        <f>T("   780600")</f>
        <v xml:space="preserve">   780600</v>
      </c>
      <c r="B6942" t="str">
        <f>T("   AUTRES OUVRAGES EN PLOMB.")</f>
        <v xml:space="preserve">   AUTRES OUVRAGES EN PLOMB.</v>
      </c>
      <c r="C6942" s="4">
        <v>2500</v>
      </c>
      <c r="D6942" s="4">
        <v>7073111</v>
      </c>
    </row>
    <row r="6943" spans="1:4" x14ac:dyDescent="0.25">
      <c r="A6943" t="str">
        <f>T("   820299")</f>
        <v xml:space="preserve">   820299</v>
      </c>
      <c r="B6943" t="str">
        <f>T("   AUTRES")</f>
        <v xml:space="preserve">   AUTRES</v>
      </c>
      <c r="C6943" s="4">
        <v>13.5</v>
      </c>
      <c r="D6943" s="4">
        <v>263387</v>
      </c>
    </row>
    <row r="6944" spans="1:4" x14ac:dyDescent="0.25">
      <c r="A6944" t="str">
        <f>T("   830242")</f>
        <v xml:space="preserve">   830242</v>
      </c>
      <c r="B6944" t="str">
        <f>T("   AUTRES, POUR MEUBLES")</f>
        <v xml:space="preserve">   AUTRES, POUR MEUBLES</v>
      </c>
      <c r="C6944" s="4">
        <v>183</v>
      </c>
      <c r="D6944" s="4">
        <v>170550</v>
      </c>
    </row>
    <row r="6945" spans="1:4" x14ac:dyDescent="0.25">
      <c r="A6945" t="str">
        <f>T("   840219")</f>
        <v xml:space="preserve">   840219</v>
      </c>
      <c r="B6945" t="str">
        <f>T("   AUTRES CHAUDIERES A VAPEUR, Y COMPRIS LES CHAUDIERES MIXTES")</f>
        <v xml:space="preserve">   AUTRES CHAUDIERES A VAPEUR, Y COMPRIS LES CHAUDIERES MIXTES</v>
      </c>
      <c r="C6945" s="4">
        <v>9800</v>
      </c>
      <c r="D6945" s="4">
        <v>16438031</v>
      </c>
    </row>
    <row r="6946" spans="1:4" x14ac:dyDescent="0.25">
      <c r="A6946" t="str">
        <f>T("   840999")</f>
        <v xml:space="preserve">   840999</v>
      </c>
      <c r="B6946" t="str">
        <f>T("   AUTRES")</f>
        <v xml:space="preserve">   AUTRES</v>
      </c>
      <c r="C6946" s="4">
        <v>80</v>
      </c>
      <c r="D6946" s="4">
        <v>2738592</v>
      </c>
    </row>
    <row r="6947" spans="1:4" x14ac:dyDescent="0.25">
      <c r="A6947" t="str">
        <f>T("   841319")</f>
        <v xml:space="preserve">   841319</v>
      </c>
      <c r="B6947" t="str">
        <f>T("   AUTRES")</f>
        <v xml:space="preserve">   AUTRES</v>
      </c>
      <c r="C6947" s="4">
        <v>2500</v>
      </c>
      <c r="D6947" s="4">
        <v>3721773</v>
      </c>
    </row>
    <row r="6948" spans="1:4" x14ac:dyDescent="0.25">
      <c r="A6948" t="str">
        <f>T("   841381")</f>
        <v xml:space="preserve">   841381</v>
      </c>
      <c r="B6948" t="str">
        <f>T("   POMPES")</f>
        <v xml:space="preserve">   POMPES</v>
      </c>
      <c r="C6948" s="4">
        <v>11371</v>
      </c>
      <c r="D6948" s="4">
        <v>19380925</v>
      </c>
    </row>
    <row r="6949" spans="1:4" x14ac:dyDescent="0.25">
      <c r="A6949" t="str">
        <f>T("   841420")</f>
        <v xml:space="preserve">   841420</v>
      </c>
      <c r="B6949" t="str">
        <f>T("   POMPES A AIR, A MAIN OU A PIED")</f>
        <v xml:space="preserve">   POMPES A AIR, A MAIN OU A PIED</v>
      </c>
      <c r="C6949" s="4">
        <v>1003</v>
      </c>
      <c r="D6949" s="4">
        <v>477482</v>
      </c>
    </row>
    <row r="6950" spans="1:4" x14ac:dyDescent="0.25">
      <c r="A6950" t="str">
        <f>T("   841440")</f>
        <v xml:space="preserve">   841440</v>
      </c>
      <c r="B6950" t="str">
        <f>T("   COMPRESSEURS D'AIR MONTES SUR CHASSIS A ROUES ET REMORQUABLES")</f>
        <v xml:space="preserve">   COMPRESSEURS D'AIR MONTES SUR CHASSIS A ROUES ET REMORQUABLES</v>
      </c>
      <c r="C6950" s="4">
        <v>1500</v>
      </c>
      <c r="D6950" s="4">
        <v>1456346</v>
      </c>
    </row>
    <row r="6951" spans="1:4" x14ac:dyDescent="0.25">
      <c r="A6951" t="str">
        <f>T("   841459")</f>
        <v xml:space="preserve">   841459</v>
      </c>
      <c r="B6951" t="str">
        <f>T("   AUTRES")</f>
        <v xml:space="preserve">   AUTRES</v>
      </c>
      <c r="C6951" s="4">
        <v>22596</v>
      </c>
      <c r="D6951" s="4">
        <v>9552312</v>
      </c>
    </row>
    <row r="6952" spans="1:4" x14ac:dyDescent="0.25">
      <c r="A6952" t="str">
        <f>T("   841480")</f>
        <v xml:space="preserve">   841480</v>
      </c>
      <c r="B6952" t="str">
        <f>T("   AUTRES")</f>
        <v xml:space="preserve">   AUTRES</v>
      </c>
      <c r="C6952" s="4">
        <v>120</v>
      </c>
      <c r="D6952" s="4">
        <v>275421</v>
      </c>
    </row>
    <row r="6953" spans="1:4" x14ac:dyDescent="0.25">
      <c r="A6953" t="str">
        <f>T("   841829")</f>
        <v xml:space="preserve">   841829</v>
      </c>
      <c r="B6953" t="str">
        <f>T("   AUTRES")</f>
        <v xml:space="preserve">   AUTRES</v>
      </c>
      <c r="C6953" s="4">
        <v>61981</v>
      </c>
      <c r="D6953" s="4">
        <v>74500809</v>
      </c>
    </row>
    <row r="6954" spans="1:4" x14ac:dyDescent="0.25">
      <c r="A6954" t="str">
        <f>T("   841850")</f>
        <v xml:space="preserve">   841850</v>
      </c>
      <c r="B6954" t="str">
        <f>T("   AUTRES MEUBLES (COFFRES, ARMOIRES, VITRINES, COMPTOIRS ET SIMILAIRES), POUR LA CONSER")</f>
        <v xml:space="preserve">   AUTRES MEUBLES (COFFRES, ARMOIRES, VITRINES, COMPTOIRS ET SIMILAIRES), POUR LA CONSER</v>
      </c>
      <c r="C6954" s="4">
        <v>87525</v>
      </c>
      <c r="D6954" s="4">
        <v>245710166</v>
      </c>
    </row>
    <row r="6955" spans="1:4" x14ac:dyDescent="0.25">
      <c r="A6955" t="str">
        <f>T("   841899")</f>
        <v xml:space="preserve">   841899</v>
      </c>
      <c r="B6955" t="str">
        <f>T("   AUTRES")</f>
        <v xml:space="preserve">   AUTRES</v>
      </c>
      <c r="C6955" s="4">
        <v>5870</v>
      </c>
      <c r="D6955" s="4">
        <v>6511011</v>
      </c>
    </row>
    <row r="6956" spans="1:4" x14ac:dyDescent="0.25">
      <c r="A6956" t="str">
        <f>T("   842010")</f>
        <v xml:space="preserve">   842010</v>
      </c>
      <c r="B6956" t="str">
        <f>T("   Calandres et laminoirs")</f>
        <v xml:space="preserve">   Calandres et laminoirs</v>
      </c>
      <c r="C6956" s="4">
        <v>288</v>
      </c>
      <c r="D6956" s="4">
        <v>1316935</v>
      </c>
    </row>
    <row r="6957" spans="1:4" x14ac:dyDescent="0.25">
      <c r="A6957" t="str">
        <f>T("   842121")</f>
        <v xml:space="preserve">   842121</v>
      </c>
      <c r="B6957" t="str">
        <f>T("   POUR LA FILTRATION OU L'EPURATION DES EAUX")</f>
        <v xml:space="preserve">   POUR LA FILTRATION OU L'EPURATION DES EAUX</v>
      </c>
      <c r="C6957" s="4">
        <v>3975</v>
      </c>
      <c r="D6957" s="4">
        <v>10068484</v>
      </c>
    </row>
    <row r="6958" spans="1:4" x14ac:dyDescent="0.25">
      <c r="A6958" t="str">
        <f>T("   842199")</f>
        <v xml:space="preserve">   842199</v>
      </c>
      <c r="B6958" t="str">
        <f>T("   AUTRES")</f>
        <v xml:space="preserve">   AUTRES</v>
      </c>
      <c r="C6958" s="4">
        <v>145</v>
      </c>
      <c r="D6958" s="4">
        <v>946002</v>
      </c>
    </row>
    <row r="6959" spans="1:4" x14ac:dyDescent="0.25">
      <c r="A6959" t="str">
        <f>T("   842220")</f>
        <v xml:space="preserve">   842220</v>
      </c>
      <c r="B6959" t="str">
        <f>T("   MACHINES ET APPAREILS SERVANT A NETTOYER OU A SECHER LES BOUTEILLES OU AUTRES RECIPIE")</f>
        <v xml:space="preserve">   MACHINES ET APPAREILS SERVANT A NETTOYER OU A SECHER LES BOUTEILLES OU AUTRES RECIPIE</v>
      </c>
      <c r="C6959" s="4">
        <v>28000</v>
      </c>
      <c r="D6959" s="4">
        <v>46640407</v>
      </c>
    </row>
    <row r="6960" spans="1:4" x14ac:dyDescent="0.25">
      <c r="A6960" t="str">
        <f>T("   842230")</f>
        <v xml:space="preserve">   842230</v>
      </c>
      <c r="B6960" t="str">
        <f>T("   MACHINES ET APPAREILS A REMPLIR, FERMER, BOUCHER OU ETIQUETER LES BOUTEILLES, BOITES,")</f>
        <v xml:space="preserve">   MACHINES ET APPAREILS A REMPLIR, FERMER, BOUCHER OU ETIQUETER LES BOUTEILLES, BOITES,</v>
      </c>
      <c r="C6960" s="4">
        <v>2959</v>
      </c>
      <c r="D6960" s="4">
        <v>22168820</v>
      </c>
    </row>
    <row r="6961" spans="1:4" x14ac:dyDescent="0.25">
      <c r="A6961" t="str">
        <f>T("   842240")</f>
        <v xml:space="preserve">   842240</v>
      </c>
      <c r="B6961" t="str">
        <f>T("   AUTRES MACHINES ET APPAREILS A EMPAQUETER OU A EMBALLER LES MARCHANDISES (Y COMPRIS L")</f>
        <v xml:space="preserve">   AUTRES MACHINES ET APPAREILS A EMPAQUETER OU A EMBALLER LES MARCHANDISES (Y COMPRIS L</v>
      </c>
      <c r="C6961" s="4">
        <v>3179</v>
      </c>
      <c r="D6961" s="4">
        <v>2733449</v>
      </c>
    </row>
    <row r="6962" spans="1:4" x14ac:dyDescent="0.25">
      <c r="A6962" t="str">
        <f>T("   842320")</f>
        <v xml:space="preserve">   842320</v>
      </c>
      <c r="B6962" t="str">
        <f>T("   Bascules a pesage continu sur transporteurs")</f>
        <v xml:space="preserve">   Bascules a pesage continu sur transporteurs</v>
      </c>
      <c r="C6962" s="4">
        <v>32834</v>
      </c>
      <c r="D6962" s="4">
        <v>13244507</v>
      </c>
    </row>
    <row r="6963" spans="1:4" x14ac:dyDescent="0.25">
      <c r="A6963" t="str">
        <f>T("   842382")</f>
        <v xml:space="preserve">   842382</v>
      </c>
      <c r="B6963" t="str">
        <f>T("   D'UNE PORTEE EXCEDANT 30 KG MAIS N'EXCEDANT PAS 5.000 KG")</f>
        <v xml:space="preserve">   D'UNE PORTEE EXCEDANT 30 KG MAIS N'EXCEDANT PAS 5.000 KG</v>
      </c>
      <c r="C6963" s="4">
        <v>45</v>
      </c>
      <c r="D6963" s="4">
        <v>164306</v>
      </c>
    </row>
    <row r="6964" spans="1:4" x14ac:dyDescent="0.25">
      <c r="A6964" t="str">
        <f>T("   842389")</f>
        <v xml:space="preserve">   842389</v>
      </c>
      <c r="B6964" t="str">
        <f>T("   AUTRES")</f>
        <v xml:space="preserve">   AUTRES</v>
      </c>
      <c r="C6964" s="4">
        <v>8585</v>
      </c>
      <c r="D6964" s="4">
        <v>26966594</v>
      </c>
    </row>
    <row r="6965" spans="1:4" x14ac:dyDescent="0.25">
      <c r="A6965" t="str">
        <f>T("   842481")</f>
        <v xml:space="preserve">   842481</v>
      </c>
      <c r="B6965" t="str">
        <f>T("   POUR L'AGRICULTURE OU L'HORTICULTURE")</f>
        <v xml:space="preserve">   POUR L'AGRICULTURE OU L'HORTICULTURE</v>
      </c>
      <c r="C6965" s="4">
        <v>13127</v>
      </c>
      <c r="D6965" s="4">
        <v>24895159</v>
      </c>
    </row>
    <row r="6966" spans="1:4" x14ac:dyDescent="0.25">
      <c r="A6966" t="str">
        <f>T("   842612")</f>
        <v xml:space="preserve">   842612</v>
      </c>
      <c r="B6966" t="str">
        <f>T("   PORTIQUES MOBILES SUR PNEUMATIQUES ET CHARIOTSCAVALIERS")</f>
        <v xml:space="preserve">   PORTIQUES MOBILES SUR PNEUMATIQUES ET CHARIOTSCAVALIERS</v>
      </c>
      <c r="C6966" s="4">
        <v>21058</v>
      </c>
      <c r="D6966" s="4">
        <v>14324085</v>
      </c>
    </row>
    <row r="6967" spans="1:4" x14ac:dyDescent="0.25">
      <c r="A6967" t="str">
        <f>T("   842790")</f>
        <v xml:space="preserve">   842790</v>
      </c>
      <c r="B6967" t="str">
        <f>T("   AUTRES CHARIOTS")</f>
        <v xml:space="preserve">   AUTRES CHARIOTS</v>
      </c>
      <c r="C6967" s="4">
        <v>16605</v>
      </c>
      <c r="D6967" s="4">
        <v>84192645</v>
      </c>
    </row>
    <row r="6968" spans="1:4" x14ac:dyDescent="0.25">
      <c r="A6968" t="str">
        <f>T("   842833")</f>
        <v xml:space="preserve">   842833</v>
      </c>
      <c r="B6968" t="str">
        <f>T("   AUTRES, A BANDE OU A COURROIE")</f>
        <v xml:space="preserve">   AUTRES, A BANDE OU A COURROIE</v>
      </c>
      <c r="C6968" s="4">
        <v>2500</v>
      </c>
      <c r="D6968" s="4">
        <v>13679693</v>
      </c>
    </row>
    <row r="6969" spans="1:4" x14ac:dyDescent="0.25">
      <c r="A6969" t="str">
        <f>T("   842959")</f>
        <v xml:space="preserve">   842959</v>
      </c>
      <c r="B6969" t="str">
        <f>T("   AUTRES")</f>
        <v xml:space="preserve">   AUTRES</v>
      </c>
      <c r="C6969" s="4">
        <v>33500</v>
      </c>
      <c r="D6969" s="4">
        <v>19076082</v>
      </c>
    </row>
    <row r="6970" spans="1:4" x14ac:dyDescent="0.25">
      <c r="A6970" t="str">
        <f>T("   843049")</f>
        <v xml:space="preserve">   843049</v>
      </c>
      <c r="B6970" t="str">
        <f>T("   AUTRES")</f>
        <v xml:space="preserve">   AUTRES</v>
      </c>
      <c r="C6970" s="4">
        <v>23780</v>
      </c>
      <c r="D6970" s="4">
        <v>33008015</v>
      </c>
    </row>
    <row r="6971" spans="1:4" x14ac:dyDescent="0.25">
      <c r="A6971" t="str">
        <f>T("   843120")</f>
        <v xml:space="preserve">   843120</v>
      </c>
      <c r="B6971" t="str">
        <f>T("   DE MACHINES OU APPAREILS DU N° 84.27")</f>
        <v xml:space="preserve">   DE MACHINES OU APPAREILS DU N° 84.27</v>
      </c>
      <c r="C6971" s="4">
        <v>28377</v>
      </c>
      <c r="D6971" s="4">
        <v>355717640</v>
      </c>
    </row>
    <row r="6972" spans="1:4" x14ac:dyDescent="0.25">
      <c r="A6972" t="str">
        <f>T("   843149")</f>
        <v xml:space="preserve">   843149</v>
      </c>
      <c r="B6972" t="str">
        <f>T("   AUTRES")</f>
        <v xml:space="preserve">   AUTRES</v>
      </c>
      <c r="C6972" s="4">
        <v>156242</v>
      </c>
      <c r="D6972" s="4">
        <v>714661271</v>
      </c>
    </row>
    <row r="6973" spans="1:4" x14ac:dyDescent="0.25">
      <c r="A6973" t="str">
        <f>T("   843210")</f>
        <v xml:space="preserve">   843210</v>
      </c>
      <c r="B6973" t="str">
        <f>T("   Charrues")</f>
        <v xml:space="preserve">   Charrues</v>
      </c>
      <c r="C6973" s="4">
        <v>47864</v>
      </c>
      <c r="D6973" s="4">
        <v>172869491</v>
      </c>
    </row>
    <row r="6974" spans="1:4" x14ac:dyDescent="0.25">
      <c r="A6974" t="str">
        <f>T("   843290")</f>
        <v xml:space="preserve">   843290</v>
      </c>
      <c r="B6974" t="str">
        <f>T("   PARTIES")</f>
        <v xml:space="preserve">   PARTIES</v>
      </c>
      <c r="C6974" s="4">
        <v>14955</v>
      </c>
      <c r="D6974" s="4">
        <v>90559104</v>
      </c>
    </row>
    <row r="6975" spans="1:4" x14ac:dyDescent="0.25">
      <c r="A6975" t="str">
        <f>T("   843390")</f>
        <v xml:space="preserve">   843390</v>
      </c>
      <c r="B6975" t="str">
        <f>T("   PARTIES")</f>
        <v xml:space="preserve">   PARTIES</v>
      </c>
      <c r="C6975" s="4">
        <v>300</v>
      </c>
      <c r="D6975" s="4">
        <v>1295028</v>
      </c>
    </row>
    <row r="6976" spans="1:4" x14ac:dyDescent="0.25">
      <c r="A6976" t="str">
        <f>T("   843790")</f>
        <v xml:space="preserve">   843790</v>
      </c>
      <c r="B6976" t="str">
        <f>T("   PARTIES")</f>
        <v xml:space="preserve">   PARTIES</v>
      </c>
      <c r="C6976" s="4">
        <v>55224</v>
      </c>
      <c r="D6976" s="4">
        <v>91525235</v>
      </c>
    </row>
    <row r="6977" spans="1:4" x14ac:dyDescent="0.25">
      <c r="A6977" t="str">
        <f>T("   843840")</f>
        <v xml:space="preserve">   843840</v>
      </c>
      <c r="B6977" t="str">
        <f>T("   Machines et appareils pour la brasserie")</f>
        <v xml:space="preserve">   Machines et appareils pour la brasserie</v>
      </c>
      <c r="C6977" s="4">
        <v>12115</v>
      </c>
      <c r="D6977" s="4">
        <v>27156799</v>
      </c>
    </row>
    <row r="6978" spans="1:4" x14ac:dyDescent="0.25">
      <c r="A6978" t="str">
        <f>T("   843880")</f>
        <v xml:space="preserve">   843880</v>
      </c>
      <c r="B6978" t="str">
        <f>T("   AUTRES MACHINES ET APPAREILS")</f>
        <v xml:space="preserve">   AUTRES MACHINES ET APPAREILS</v>
      </c>
      <c r="C6978" s="4">
        <v>7970</v>
      </c>
      <c r="D6978" s="4">
        <v>37337849</v>
      </c>
    </row>
    <row r="6979" spans="1:4" x14ac:dyDescent="0.25">
      <c r="A6979" t="str">
        <f>T("   843890")</f>
        <v xml:space="preserve">   843890</v>
      </c>
      <c r="B6979" t="str">
        <f>T("   PARTIES")</f>
        <v xml:space="preserve">   PARTIES</v>
      </c>
      <c r="C6979" s="4">
        <v>20230</v>
      </c>
      <c r="D6979" s="4">
        <v>117088860</v>
      </c>
    </row>
    <row r="6980" spans="1:4" x14ac:dyDescent="0.25">
      <c r="A6980" t="str">
        <f>T("   844319")</f>
        <v xml:space="preserve">   844319</v>
      </c>
      <c r="B6980" t="str">
        <f>T("   AUTRES")</f>
        <v xml:space="preserve">   AUTRES</v>
      </c>
      <c r="C6980" s="4">
        <v>500</v>
      </c>
      <c r="D6980" s="4">
        <v>3318477</v>
      </c>
    </row>
    <row r="6981" spans="1:4" x14ac:dyDescent="0.25">
      <c r="A6981" t="str">
        <f>T("   844391")</f>
        <v xml:space="preserve">   844391</v>
      </c>
      <c r="B6981" t="str">
        <f>T("   PARTIES ET ACCESSOIRES DE MACHINES ET D’APPAREILS SERVANT A L’IMPRESSION AU MOYEN DE")</f>
        <v xml:space="preserve">   PARTIES ET ACCESSOIRES DE MACHINES ET D’APPAREILS SERVANT A L’IMPRESSION AU MOYEN DE</v>
      </c>
      <c r="C6981" s="4">
        <v>1283</v>
      </c>
      <c r="D6981" s="4">
        <v>2305379</v>
      </c>
    </row>
    <row r="6982" spans="1:4" x14ac:dyDescent="0.25">
      <c r="A6982" t="str">
        <f>T("   844820")</f>
        <v xml:space="preserve">   844820</v>
      </c>
      <c r="B6982" t="str">
        <f>T("   PARTIES ET ACCESSOIRES DES MACHINES DU N° 84.44 OU DE LEURS MACHINES OU APPAREILS AUX")</f>
        <v xml:space="preserve">   PARTIES ET ACCESSOIRES DES MACHINES DU N° 84.44 OU DE LEURS MACHINES OU APPAREILS AUX</v>
      </c>
      <c r="C6982" s="4">
        <v>36</v>
      </c>
      <c r="D6982" s="4">
        <v>4280387</v>
      </c>
    </row>
    <row r="6983" spans="1:4" x14ac:dyDescent="0.25">
      <c r="A6983" t="str">
        <f>T("   844832")</f>
        <v xml:space="preserve">   844832</v>
      </c>
      <c r="B6983" t="str">
        <f>T("   DE MACHINES POUR LA PREPARATION DES MATIERES TEXTILES, AUTRES QUE LES GARNITURES DE")</f>
        <v xml:space="preserve">   DE MACHINES POUR LA PREPARATION DES MATIERES TEXTILES, AUTRES QUE LES GARNITURES DE</v>
      </c>
      <c r="C6983" s="4">
        <v>5896</v>
      </c>
      <c r="D6983" s="4">
        <v>62451450</v>
      </c>
    </row>
    <row r="6984" spans="1:4" x14ac:dyDescent="0.25">
      <c r="A6984" t="str">
        <f>T("   845229")</f>
        <v xml:space="preserve">   845229</v>
      </c>
      <c r="B6984" t="str">
        <f>T("   AUTRES")</f>
        <v xml:space="preserve">   AUTRES</v>
      </c>
      <c r="C6984" s="4">
        <v>20</v>
      </c>
      <c r="D6984" s="4">
        <v>89621</v>
      </c>
    </row>
    <row r="6985" spans="1:4" x14ac:dyDescent="0.25">
      <c r="A6985" t="str">
        <f>T("   846239")</f>
        <v xml:space="preserve">   846239</v>
      </c>
      <c r="B6985" t="str">
        <f>T("   AUTRES")</f>
        <v xml:space="preserve">   AUTRES</v>
      </c>
      <c r="C6985" s="4">
        <v>72</v>
      </c>
      <c r="D6985" s="4">
        <v>190314</v>
      </c>
    </row>
    <row r="6986" spans="1:4" x14ac:dyDescent="0.25">
      <c r="A6986" t="str">
        <f>T("   846719")</f>
        <v xml:space="preserve">   846719</v>
      </c>
      <c r="B6986" t="str">
        <f>T("   AUTRES")</f>
        <v xml:space="preserve">   AUTRES</v>
      </c>
      <c r="C6986" s="4">
        <v>500</v>
      </c>
      <c r="D6986" s="4">
        <v>1637656</v>
      </c>
    </row>
    <row r="6987" spans="1:4" x14ac:dyDescent="0.25">
      <c r="A6987" t="str">
        <f>T("   847190")</f>
        <v xml:space="preserve">   847190</v>
      </c>
      <c r="B6987" t="str">
        <f>T("   AUTRES")</f>
        <v xml:space="preserve">   AUTRES</v>
      </c>
      <c r="C6987" s="4">
        <v>29.3</v>
      </c>
      <c r="D6987" s="4">
        <v>3240201</v>
      </c>
    </row>
    <row r="6988" spans="1:4" x14ac:dyDescent="0.25">
      <c r="A6988" t="str">
        <f>T("   847290")</f>
        <v xml:space="preserve">   847290</v>
      </c>
      <c r="B6988" t="str">
        <f>T("   AUTRES")</f>
        <v xml:space="preserve">   AUTRES</v>
      </c>
      <c r="C6988" s="4">
        <v>170</v>
      </c>
      <c r="D6988" s="4">
        <v>1639900</v>
      </c>
    </row>
    <row r="6989" spans="1:4" x14ac:dyDescent="0.25">
      <c r="A6989" t="str">
        <f>T("   847490")</f>
        <v xml:space="preserve">   847490</v>
      </c>
      <c r="B6989" t="str">
        <f>T("   PARTIES")</f>
        <v xml:space="preserve">   PARTIES</v>
      </c>
      <c r="C6989" s="4">
        <v>11320</v>
      </c>
      <c r="D6989" s="4">
        <v>16059443</v>
      </c>
    </row>
    <row r="6990" spans="1:4" x14ac:dyDescent="0.25">
      <c r="A6990" t="str">
        <f>T("   847982")</f>
        <v xml:space="preserve">   847982</v>
      </c>
      <c r="B6990" t="str">
        <f>T("   A MELANGER, MALAXER, CONCASSER, BROYER, CRIBLER, TAMISER, HOMOGENEISER, EMULSIONNER")</f>
        <v xml:space="preserve">   A MELANGER, MALAXER, CONCASSER, BROYER, CRIBLER, TAMISER, HOMOGENEISER, EMULSIONNER</v>
      </c>
      <c r="C6990" s="4">
        <v>2000</v>
      </c>
      <c r="D6990" s="4">
        <v>17762440</v>
      </c>
    </row>
    <row r="6991" spans="1:4" x14ac:dyDescent="0.25">
      <c r="A6991" t="str">
        <f>T("   847989")</f>
        <v xml:space="preserve">   847989</v>
      </c>
      <c r="B6991" t="str">
        <f>T("   AUTRES")</f>
        <v xml:space="preserve">   AUTRES</v>
      </c>
      <c r="C6991" s="4">
        <v>3025</v>
      </c>
      <c r="D6991" s="4">
        <v>3596801</v>
      </c>
    </row>
    <row r="6992" spans="1:4" x14ac:dyDescent="0.25">
      <c r="A6992" t="str">
        <f>T("   847990")</f>
        <v xml:space="preserve">   847990</v>
      </c>
      <c r="B6992" t="str">
        <f>T("   PARTIES")</f>
        <v xml:space="preserve">   PARTIES</v>
      </c>
      <c r="C6992" s="4">
        <v>3348</v>
      </c>
      <c r="D6992" s="4">
        <v>24472205</v>
      </c>
    </row>
    <row r="6993" spans="1:4" x14ac:dyDescent="0.25">
      <c r="A6993" t="str">
        <f>T("   848340")</f>
        <v xml:space="preserve">   848340</v>
      </c>
      <c r="B6993" t="str">
        <f>T("   ENGRENAGES ET ROUES DE FRICTION, AUTRES QUE LES ROUES DENTEES ET AUTRES ORGANES ELEME")</f>
        <v xml:space="preserve">   ENGRENAGES ET ROUES DE FRICTION, AUTRES QUE LES ROUES DENTEES ET AUTRES ORGANES ELEME</v>
      </c>
      <c r="C6993" s="4">
        <v>79</v>
      </c>
      <c r="D6993" s="4">
        <v>950981</v>
      </c>
    </row>
    <row r="6994" spans="1:4" x14ac:dyDescent="0.25">
      <c r="A6994" t="str">
        <f>T("   850211")</f>
        <v xml:space="preserve">   850211</v>
      </c>
      <c r="B6994" t="str">
        <f>T("   D'UNE PUISSANCE N'EXCEDANT PAS 75 KVA")</f>
        <v xml:space="preserve">   D'UNE PUISSANCE N'EXCEDANT PAS 75 KVA</v>
      </c>
      <c r="C6994" s="4">
        <v>10000</v>
      </c>
      <c r="D6994" s="4">
        <v>35848512</v>
      </c>
    </row>
    <row r="6995" spans="1:4" x14ac:dyDescent="0.25">
      <c r="A6995" t="str">
        <f>T("   850213")</f>
        <v xml:space="preserve">   850213</v>
      </c>
      <c r="B6995" t="str">
        <f>T("   D'UNE PUISSANCE EXCEDANT 375 KVA")</f>
        <v xml:space="preserve">   D'UNE PUISSANCE EXCEDANT 375 KVA</v>
      </c>
      <c r="C6995" s="4">
        <v>144</v>
      </c>
      <c r="D6995" s="4">
        <v>1010729</v>
      </c>
    </row>
    <row r="6996" spans="1:4" x14ac:dyDescent="0.25">
      <c r="A6996" t="str">
        <f>T("   850239")</f>
        <v xml:space="preserve">   850239</v>
      </c>
      <c r="B6996" t="str">
        <f>T("   AUTRES")</f>
        <v xml:space="preserve">   AUTRES</v>
      </c>
      <c r="C6996" s="4">
        <v>20480</v>
      </c>
      <c r="D6996" s="4">
        <v>61543431</v>
      </c>
    </row>
    <row r="6997" spans="1:4" x14ac:dyDescent="0.25">
      <c r="A6997" t="str">
        <f>T("   850300")</f>
        <v xml:space="preserve">   850300</v>
      </c>
      <c r="B6997" t="str">
        <f>T("   PARTIES RECONNAISSABLES COMME ETANT EXCLUSIVEMENT OU PRINCIPALEMENT DESTINEES AUX MACHI")</f>
        <v xml:space="preserve">   PARTIES RECONNAISSABLES COMME ETANT EXCLUSIVEMENT OU PRINCIPALEMENT DESTINEES AUX MACHI</v>
      </c>
      <c r="C6997" s="4">
        <v>965</v>
      </c>
      <c r="D6997" s="4">
        <v>3329165</v>
      </c>
    </row>
    <row r="6998" spans="1:4" x14ac:dyDescent="0.25">
      <c r="A6998" t="str">
        <f>T("   850421")</f>
        <v xml:space="preserve">   850421</v>
      </c>
      <c r="B6998" t="str">
        <f>T("   D'UNE PUISSANCE N'EXCEDANT PAS 650 KVA")</f>
        <v xml:space="preserve">   D'UNE PUISSANCE N'EXCEDANT PAS 650 KVA</v>
      </c>
      <c r="C6998" s="4">
        <v>84890</v>
      </c>
      <c r="D6998" s="4">
        <v>267867826</v>
      </c>
    </row>
    <row r="6999" spans="1:4" x14ac:dyDescent="0.25">
      <c r="A6999" t="str">
        <f>T("   850423")</f>
        <v xml:space="preserve">   850423</v>
      </c>
      <c r="B6999" t="str">
        <f>T("   D'UNE PUISSANCE EXCEDANT 10.000 KVA")</f>
        <v xml:space="preserve">   D'UNE PUISSANCE EXCEDANT 10.000 KVA</v>
      </c>
      <c r="C6999" s="4">
        <v>18659</v>
      </c>
      <c r="D6999" s="4">
        <v>20768278</v>
      </c>
    </row>
    <row r="7000" spans="1:4" x14ac:dyDescent="0.25">
      <c r="A7000" t="str">
        <f>T("   850433")</f>
        <v xml:space="preserve">   850433</v>
      </c>
      <c r="B7000" t="str">
        <f>T("   D'UNE PUISSANCE EXCEDANT 16 KVA MAIS N'EXCEDANT PAS 500 KVA")</f>
        <v xml:space="preserve">   D'UNE PUISSANCE EXCEDANT 16 KVA MAIS N'EXCEDANT PAS 500 KVA</v>
      </c>
      <c r="C7000" s="4">
        <v>8940</v>
      </c>
      <c r="D7000" s="4">
        <v>59676827</v>
      </c>
    </row>
    <row r="7001" spans="1:4" x14ac:dyDescent="0.25">
      <c r="A7001" t="str">
        <f>T("   850440")</f>
        <v xml:space="preserve">   850440</v>
      </c>
      <c r="B7001" t="str">
        <f>T("   CONVERTISSEURS STATIQUES")</f>
        <v xml:space="preserve">   CONVERTISSEURS STATIQUES</v>
      </c>
      <c r="C7001" s="4">
        <v>37</v>
      </c>
      <c r="D7001" s="4">
        <v>501984</v>
      </c>
    </row>
    <row r="7002" spans="1:4" x14ac:dyDescent="0.25">
      <c r="A7002" t="str">
        <f>T("   850490")</f>
        <v xml:space="preserve">   850490</v>
      </c>
      <c r="B7002" t="str">
        <f>T("   PARTIES")</f>
        <v xml:space="preserve">   PARTIES</v>
      </c>
      <c r="C7002" s="4">
        <v>12360</v>
      </c>
      <c r="D7002" s="4">
        <v>20111513</v>
      </c>
    </row>
    <row r="7003" spans="1:4" x14ac:dyDescent="0.25">
      <c r="A7003" t="str">
        <f>T("   851712")</f>
        <v xml:space="preserve">   851712</v>
      </c>
      <c r="B7003" t="str">
        <f>T("   TELEPHONES POUR RESEAUX CELLULAIRES ET POUR AUTRES RESEAUX SANS FIL")</f>
        <v xml:space="preserve">   TELEPHONES POUR RESEAUX CELLULAIRES ET POUR AUTRES RESEAUX SANS FIL</v>
      </c>
      <c r="C7003" s="4">
        <v>5773</v>
      </c>
      <c r="D7003" s="4">
        <v>19238637</v>
      </c>
    </row>
    <row r="7004" spans="1:4" x14ac:dyDescent="0.25">
      <c r="A7004" t="str">
        <f>T("   851769")</f>
        <v xml:space="preserve">   851769</v>
      </c>
      <c r="B7004" t="str">
        <f>T("   AUTRES")</f>
        <v xml:space="preserve">   AUTRES</v>
      </c>
      <c r="C7004" s="4">
        <v>163</v>
      </c>
      <c r="D7004" s="4">
        <v>398274</v>
      </c>
    </row>
    <row r="7005" spans="1:4" x14ac:dyDescent="0.25">
      <c r="A7005" t="str">
        <f>T("   851810")</f>
        <v xml:space="preserve">   851810</v>
      </c>
      <c r="B7005" t="str">
        <f>T("   MICROPHONES ET LEURS SUPPORTS")</f>
        <v xml:space="preserve">   MICROPHONES ET LEURS SUPPORTS</v>
      </c>
      <c r="C7005" s="4">
        <v>1</v>
      </c>
      <c r="D7005" s="4">
        <v>189652</v>
      </c>
    </row>
    <row r="7006" spans="1:4" x14ac:dyDescent="0.25">
      <c r="A7006" t="str">
        <f>T("   851830")</f>
        <v xml:space="preserve">   851830</v>
      </c>
      <c r="B7006" t="str">
        <f>T("   CASQUES D'ECOUTE ET ECOUTEURS, MEME COMBINES AVEC UN MICROPHONE, ET ENSEMBLES OU ASSO")</f>
        <v xml:space="preserve">   CASQUES D'ECOUTE ET ECOUTEURS, MEME COMBINES AVEC UN MICROPHONE, ET ENSEMBLES OU ASSO</v>
      </c>
      <c r="C7006" s="4">
        <v>0.9</v>
      </c>
      <c r="D7006" s="4">
        <v>162222</v>
      </c>
    </row>
    <row r="7007" spans="1:4" x14ac:dyDescent="0.25">
      <c r="A7007" t="str">
        <f>T("   852190")</f>
        <v xml:space="preserve">   852190</v>
      </c>
      <c r="B7007" t="str">
        <f>T("   AUTRES")</f>
        <v xml:space="preserve">   AUTRES</v>
      </c>
      <c r="C7007" s="4">
        <v>7938</v>
      </c>
      <c r="D7007" s="4">
        <v>10879028</v>
      </c>
    </row>
    <row r="7008" spans="1:4" x14ac:dyDescent="0.25">
      <c r="A7008" t="str">
        <f>T("   852321")</f>
        <v xml:space="preserve">   852321</v>
      </c>
      <c r="B7008" t="str">
        <f>T("   CARTES MUNIES D'UNE PISTE MAGNETIQUE")</f>
        <v xml:space="preserve">   CARTES MUNIES D'UNE PISTE MAGNETIQUE</v>
      </c>
      <c r="C7008" s="4">
        <v>0.4</v>
      </c>
      <c r="D7008" s="4">
        <v>98968</v>
      </c>
    </row>
    <row r="7009" spans="1:4" x14ac:dyDescent="0.25">
      <c r="A7009" t="str">
        <f>T("   852873")</f>
        <v xml:space="preserve">   852873</v>
      </c>
      <c r="B7009" t="str">
        <f>T("   AUTRES, EN MONOCHROMES")</f>
        <v xml:space="preserve">   AUTRES, EN MONOCHROMES</v>
      </c>
      <c r="C7009" s="4">
        <v>120</v>
      </c>
      <c r="D7009" s="4">
        <v>99600</v>
      </c>
    </row>
    <row r="7010" spans="1:4" x14ac:dyDescent="0.25">
      <c r="A7010" t="str">
        <f>T("   853810")</f>
        <v xml:space="preserve">   853810</v>
      </c>
      <c r="B7010" t="str">
        <f>T("   TABLEAUX, PANNEAUX, CONSOLES, PUPITRES, ARMOIRES ET AUTRES SUPPORTS DU N° 85.37, DEPO")</f>
        <v xml:space="preserve">   TABLEAUX, PANNEAUX, CONSOLES, PUPITRES, ARMOIRES ET AUTRES SUPPORTS DU N° 85.37, DEPO</v>
      </c>
      <c r="C7010" s="4">
        <v>58</v>
      </c>
      <c r="D7010" s="4">
        <v>2240532</v>
      </c>
    </row>
    <row r="7011" spans="1:4" x14ac:dyDescent="0.25">
      <c r="A7011" t="str">
        <f>T("   853910")</f>
        <v xml:space="preserve">   853910</v>
      </c>
      <c r="B7011" t="str">
        <f>T("   ARTICLES DITS «PHARES ET PROJECTEURS SCELLES»")</f>
        <v xml:space="preserve">   ARTICLES DITS «PHARES ET PROJECTEURS SCELLES»</v>
      </c>
      <c r="C7011" s="4">
        <v>0.3</v>
      </c>
      <c r="D7011" s="4">
        <v>154664</v>
      </c>
    </row>
    <row r="7012" spans="1:4" x14ac:dyDescent="0.25">
      <c r="A7012" t="str">
        <f>T("   853929")</f>
        <v xml:space="preserve">   853929</v>
      </c>
      <c r="B7012" t="str">
        <f>T("   AUTRES")</f>
        <v xml:space="preserve">   AUTRES</v>
      </c>
      <c r="C7012" s="4">
        <v>5514</v>
      </c>
      <c r="D7012" s="4">
        <v>23451698</v>
      </c>
    </row>
    <row r="7013" spans="1:4" x14ac:dyDescent="0.25">
      <c r="A7013" t="str">
        <f>T("   854390")</f>
        <v xml:space="preserve">   854390</v>
      </c>
      <c r="B7013" t="str">
        <f>T("   PARTIES")</f>
        <v xml:space="preserve">   PARTIES</v>
      </c>
      <c r="C7013" s="4">
        <v>192</v>
      </c>
      <c r="D7013" s="4">
        <v>334920</v>
      </c>
    </row>
    <row r="7014" spans="1:4" x14ac:dyDescent="0.25">
      <c r="A7014" t="str">
        <f>T("   854442")</f>
        <v xml:space="preserve">   854442</v>
      </c>
      <c r="B7014" t="str">
        <f>T("   MUNIS DE PIECES DE CONNEXION")</f>
        <v xml:space="preserve">   MUNIS DE PIECES DE CONNEXION</v>
      </c>
      <c r="C7014" s="4">
        <v>3500</v>
      </c>
      <c r="D7014" s="4">
        <v>7555572</v>
      </c>
    </row>
    <row r="7015" spans="1:4" x14ac:dyDescent="0.25">
      <c r="A7015" t="str">
        <f>T("   854449")</f>
        <v xml:space="preserve">   854449</v>
      </c>
      <c r="B7015" t="str">
        <f>T("   AUTRES")</f>
        <v xml:space="preserve">   AUTRES</v>
      </c>
      <c r="C7015" s="4">
        <v>9151</v>
      </c>
      <c r="D7015" s="4">
        <v>110281973</v>
      </c>
    </row>
    <row r="7016" spans="1:4" x14ac:dyDescent="0.25">
      <c r="A7016" t="str">
        <f>T("   870110")</f>
        <v xml:space="preserve">   870110</v>
      </c>
      <c r="B7016" t="str">
        <f>T("   Motoculteurs")</f>
        <v xml:space="preserve">   Motoculteurs</v>
      </c>
      <c r="C7016" s="4">
        <v>27656</v>
      </c>
      <c r="D7016" s="4">
        <v>75242043</v>
      </c>
    </row>
    <row r="7017" spans="1:4" x14ac:dyDescent="0.25">
      <c r="A7017" t="str">
        <f>T("   870190")</f>
        <v xml:space="preserve">   870190</v>
      </c>
      <c r="B7017" t="str">
        <f>T("   AUTRES")</f>
        <v xml:space="preserve">   AUTRES</v>
      </c>
      <c r="C7017" s="4">
        <v>8303</v>
      </c>
      <c r="D7017" s="4">
        <v>23078325</v>
      </c>
    </row>
    <row r="7018" spans="1:4" x14ac:dyDescent="0.25">
      <c r="A7018" t="str">
        <f>T("   870322")</f>
        <v xml:space="preserve">   870322</v>
      </c>
      <c r="B7018" t="str">
        <f>T("   D’UNE CYLINDREE EXCEDANT 1.000 CM³ MAIS N’EXCEDANT PAS 1.500 CM³")</f>
        <v xml:space="preserve">   D’UNE CYLINDREE EXCEDANT 1.000 CM³ MAIS N’EXCEDANT PAS 1.500 CM³</v>
      </c>
      <c r="C7018" s="4">
        <v>1820</v>
      </c>
      <c r="D7018" s="4">
        <v>8653432</v>
      </c>
    </row>
    <row r="7019" spans="1:4" x14ac:dyDescent="0.25">
      <c r="A7019" t="str">
        <f>T("   870421")</f>
        <v xml:space="preserve">   870421</v>
      </c>
      <c r="B7019" t="str">
        <f>T("   D'UN POIDS EN CHARGE MAXIMAL N'EXCEDANT PAS 5 TONNES")</f>
        <v xml:space="preserve">   D'UN POIDS EN CHARGE MAXIMAL N'EXCEDANT PAS 5 TONNES</v>
      </c>
      <c r="C7019" s="4">
        <v>2815</v>
      </c>
      <c r="D7019" s="4">
        <v>6619552</v>
      </c>
    </row>
    <row r="7020" spans="1:4" x14ac:dyDescent="0.25">
      <c r="A7020" t="str">
        <f>T("   870422")</f>
        <v xml:space="preserve">   870422</v>
      </c>
      <c r="B7020" t="str">
        <f>T("   D'UN POIDS EN CHARGE MAXIMAL EXCEDANT 5 TONNES MAIS N'EXCEDANT PAS 20 TONNES")</f>
        <v xml:space="preserve">   D'UN POIDS EN CHARGE MAXIMAL EXCEDANT 5 TONNES MAIS N'EXCEDANT PAS 20 TONNES</v>
      </c>
      <c r="C7020" s="4">
        <v>21815</v>
      </c>
      <c r="D7020" s="4">
        <v>15864660</v>
      </c>
    </row>
    <row r="7021" spans="1:4" x14ac:dyDescent="0.25">
      <c r="A7021" t="str">
        <f>T("   870829")</f>
        <v xml:space="preserve">   870829</v>
      </c>
      <c r="B7021" t="str">
        <f>T("   AUTRES")</f>
        <v xml:space="preserve">   AUTRES</v>
      </c>
      <c r="C7021" s="4">
        <v>68</v>
      </c>
      <c r="D7021" s="4">
        <v>207622</v>
      </c>
    </row>
    <row r="7022" spans="1:4" x14ac:dyDescent="0.25">
      <c r="A7022" t="str">
        <f>T("   870899")</f>
        <v xml:space="preserve">   870899</v>
      </c>
      <c r="B7022" t="str">
        <f>T("   AUTRES")</f>
        <v xml:space="preserve">   AUTRES</v>
      </c>
      <c r="C7022" s="4">
        <v>2174</v>
      </c>
      <c r="D7022" s="4">
        <v>10349705</v>
      </c>
    </row>
    <row r="7023" spans="1:4" x14ac:dyDescent="0.25">
      <c r="A7023" t="str">
        <f>T("   871110")</f>
        <v xml:space="preserve">   871110</v>
      </c>
      <c r="B7023" t="str">
        <f>T("   A MOTEUR A PISTON ALTERNATIF, D'UNE CYLINDREE N'EXCEDANT PAS 50 CM³")</f>
        <v xml:space="preserve">   A MOTEUR A PISTON ALTERNATIF, D'UNE CYLINDREE N'EXCEDANT PAS 50 CM³</v>
      </c>
      <c r="C7023" s="4">
        <v>14390</v>
      </c>
      <c r="D7023" s="4">
        <v>30103215</v>
      </c>
    </row>
    <row r="7024" spans="1:4" x14ac:dyDescent="0.25">
      <c r="A7024" t="str">
        <f>T("   871120")</f>
        <v xml:space="preserve">   871120</v>
      </c>
      <c r="B7024" t="str">
        <f>T("   A MOTEUR A PISTON ALTERNATIF, D'UNE CYLINDREE EXCEDANT 50 CM³ MAIS N'EXCEDANT PAS 250")</f>
        <v xml:space="preserve">   A MOTEUR A PISTON ALTERNATIF, D'UNE CYLINDREE EXCEDANT 50 CM³ MAIS N'EXCEDANT PAS 250</v>
      </c>
      <c r="C7024" s="4">
        <v>396570</v>
      </c>
      <c r="D7024" s="4">
        <v>715379845</v>
      </c>
    </row>
    <row r="7025" spans="1:4" x14ac:dyDescent="0.25">
      <c r="A7025" t="str">
        <f>T("   871411")</f>
        <v xml:space="preserve">   871411</v>
      </c>
      <c r="B7025" t="str">
        <f>T("   SELLES")</f>
        <v xml:space="preserve">   SELLES</v>
      </c>
      <c r="C7025" s="4">
        <v>14</v>
      </c>
      <c r="D7025" s="4">
        <v>94041</v>
      </c>
    </row>
    <row r="7026" spans="1:4" x14ac:dyDescent="0.25">
      <c r="A7026" t="str">
        <f>T("   871419")</f>
        <v xml:space="preserve">   871419</v>
      </c>
      <c r="B7026" t="str">
        <f>T("   AUTRES PARTIES ET ACCESSOIRES DE MOTOCYCLES")</f>
        <v xml:space="preserve">   AUTRES PARTIES ET ACCESSOIRES DE MOTOCYCLES</v>
      </c>
      <c r="C7026" s="4">
        <v>92</v>
      </c>
      <c r="D7026" s="4">
        <v>101000</v>
      </c>
    </row>
    <row r="7027" spans="1:4" x14ac:dyDescent="0.25">
      <c r="A7027" t="str">
        <f>T("   871492")</f>
        <v xml:space="preserve">   871492</v>
      </c>
      <c r="B7027" t="str">
        <f>T("   Jantes et rayons")</f>
        <v xml:space="preserve">   Jantes et rayons</v>
      </c>
      <c r="C7027" s="4">
        <v>183</v>
      </c>
      <c r="D7027" s="4">
        <v>148323</v>
      </c>
    </row>
    <row r="7028" spans="1:4" x14ac:dyDescent="0.25">
      <c r="A7028" t="str">
        <f>T("   871499")</f>
        <v xml:space="preserve">   871499</v>
      </c>
      <c r="B7028" t="str">
        <f>T("   AUTRES")</f>
        <v xml:space="preserve">   AUTRES</v>
      </c>
      <c r="C7028" s="4">
        <v>21352</v>
      </c>
      <c r="D7028" s="4">
        <v>9417120</v>
      </c>
    </row>
    <row r="7029" spans="1:4" x14ac:dyDescent="0.25">
      <c r="A7029" t="str">
        <f>T("   900719")</f>
        <v xml:space="preserve">   900719</v>
      </c>
      <c r="B7029" t="str">
        <f>T("   AUTRES CAMERAS MEME AVEC PRISE ET REPRODUCTION DU SON")</f>
        <v xml:space="preserve">   AUTRES CAMERAS MEME AVEC PRISE ET REPRODUCTION DU SON</v>
      </c>
      <c r="C7029" s="4">
        <v>25</v>
      </c>
      <c r="D7029" s="4">
        <v>76878</v>
      </c>
    </row>
    <row r="7030" spans="1:4" x14ac:dyDescent="0.25">
      <c r="A7030" t="str">
        <f>T("   901812")</f>
        <v xml:space="preserve">   901812</v>
      </c>
      <c r="B7030" t="str">
        <f>T("   APPAREILS DE DIAGNOSTIC PAR BALAYAGE ULTRASONIQUE (SCANNERS)")</f>
        <v xml:space="preserve">   APPAREILS DE DIAGNOSTIC PAR BALAYAGE ULTRASONIQUE (SCANNERS)</v>
      </c>
      <c r="C7030" s="4">
        <v>20.2</v>
      </c>
      <c r="D7030" s="4">
        <v>297391</v>
      </c>
    </row>
    <row r="7031" spans="1:4" x14ac:dyDescent="0.25">
      <c r="A7031" t="str">
        <f>T("   901819")</f>
        <v xml:space="preserve">   901819</v>
      </c>
      <c r="B7031" t="str">
        <f>T("   AUTRES")</f>
        <v xml:space="preserve">   AUTRES</v>
      </c>
      <c r="C7031" s="4">
        <v>139</v>
      </c>
      <c r="D7031" s="4">
        <v>4147372</v>
      </c>
    </row>
    <row r="7032" spans="1:4" x14ac:dyDescent="0.25">
      <c r="A7032" t="str">
        <f>T("   901831")</f>
        <v xml:space="preserve">   901831</v>
      </c>
      <c r="B7032" t="str">
        <f>T("   SERINGUES, AVEC OU SANS AIGUILLES")</f>
        <v xml:space="preserve">   SERINGUES, AVEC OU SANS AIGUILLES</v>
      </c>
      <c r="C7032" s="4">
        <v>109</v>
      </c>
      <c r="D7032" s="4">
        <v>214145</v>
      </c>
    </row>
    <row r="7033" spans="1:4" x14ac:dyDescent="0.25">
      <c r="A7033" t="str">
        <f>T("   901832")</f>
        <v xml:space="preserve">   901832</v>
      </c>
      <c r="B7033" t="str">
        <f>T("   AIGUILLES TUBULAIRES EN METAL ET AIGUILLES A SUTURES")</f>
        <v xml:space="preserve">   AIGUILLES TUBULAIRES EN METAL ET AIGUILLES A SUTURES</v>
      </c>
      <c r="C7033" s="4">
        <v>46</v>
      </c>
      <c r="D7033" s="4">
        <v>2790876</v>
      </c>
    </row>
    <row r="7034" spans="1:4" x14ac:dyDescent="0.25">
      <c r="A7034" t="str">
        <f>T("   901839")</f>
        <v xml:space="preserve">   901839</v>
      </c>
      <c r="B7034" t="str">
        <f>T("   AUTRES")</f>
        <v xml:space="preserve">   AUTRES</v>
      </c>
      <c r="C7034" s="4">
        <v>3848</v>
      </c>
      <c r="D7034" s="4">
        <v>5451962</v>
      </c>
    </row>
    <row r="7035" spans="1:4" x14ac:dyDescent="0.25">
      <c r="A7035" t="str">
        <f>T("   901890")</f>
        <v xml:space="preserve">   901890</v>
      </c>
      <c r="B7035" t="str">
        <f>T("   AUTRES INSTRUMENTS ET APPAREILS")</f>
        <v xml:space="preserve">   AUTRES INSTRUMENTS ET APPAREILS</v>
      </c>
      <c r="C7035" s="4">
        <v>9498.7999999999993</v>
      </c>
      <c r="D7035" s="4">
        <v>22894698</v>
      </c>
    </row>
    <row r="7036" spans="1:4" x14ac:dyDescent="0.25">
      <c r="A7036" t="str">
        <f>T("   902139")</f>
        <v xml:space="preserve">   902139</v>
      </c>
      <c r="B7036" t="str">
        <f>T("   AUTRES")</f>
        <v xml:space="preserve">   AUTRES</v>
      </c>
      <c r="C7036" s="4">
        <v>58</v>
      </c>
      <c r="D7036" s="4">
        <v>3278147</v>
      </c>
    </row>
    <row r="7037" spans="1:4" x14ac:dyDescent="0.25">
      <c r="A7037" t="str">
        <f>T("   902580")</f>
        <v xml:space="preserve">   902580</v>
      </c>
      <c r="B7037" t="str">
        <f>T("   AUTRES INSTRUMENTS")</f>
        <v xml:space="preserve">   AUTRES INSTRUMENTS</v>
      </c>
      <c r="C7037" s="4">
        <v>9</v>
      </c>
      <c r="D7037" s="4">
        <v>941023</v>
      </c>
    </row>
    <row r="7038" spans="1:4" x14ac:dyDescent="0.25">
      <c r="A7038" t="str">
        <f>T("   902680")</f>
        <v xml:space="preserve">   902680</v>
      </c>
      <c r="B7038" t="str">
        <f>T("   AUTRES INSTRUMENTS ET APPAREILS")</f>
        <v xml:space="preserve">   AUTRES INSTRUMENTS ET APPAREILS</v>
      </c>
      <c r="C7038" s="4">
        <v>10</v>
      </c>
      <c r="D7038" s="4">
        <v>50492</v>
      </c>
    </row>
    <row r="7039" spans="1:4" x14ac:dyDescent="0.25">
      <c r="A7039" t="str">
        <f>T("   902780")</f>
        <v xml:space="preserve">   902780</v>
      </c>
      <c r="B7039" t="str">
        <f>T("   AUTRES INSTRUMENTS ET APPAREILS")</f>
        <v xml:space="preserve">   AUTRES INSTRUMENTS ET APPAREILS</v>
      </c>
      <c r="C7039" s="4">
        <v>3.27</v>
      </c>
      <c r="D7039" s="4">
        <v>87476</v>
      </c>
    </row>
    <row r="7040" spans="1:4" x14ac:dyDescent="0.25">
      <c r="A7040" t="str">
        <f>T("   940320")</f>
        <v xml:space="preserve">   940320</v>
      </c>
      <c r="B7040" t="str">
        <f>T("   AUTRES MEUBLES EN METAL")</f>
        <v xml:space="preserve">   AUTRES MEUBLES EN METAL</v>
      </c>
      <c r="C7040" s="4">
        <v>36648</v>
      </c>
      <c r="D7040" s="4">
        <v>29894572</v>
      </c>
    </row>
    <row r="7041" spans="1:4" x14ac:dyDescent="0.25">
      <c r="A7041" t="str">
        <f>T("   940350")</f>
        <v xml:space="preserve">   940350</v>
      </c>
      <c r="B7041" t="str">
        <f>T("   MEUBLES EN BOIS DES TYPES UTILISES DANS LES CHAMBRES A COUCHER")</f>
        <v xml:space="preserve">   MEUBLES EN BOIS DES TYPES UTILISES DANS LES CHAMBRES A COUCHER</v>
      </c>
      <c r="C7041" s="4">
        <v>11901</v>
      </c>
      <c r="D7041" s="4">
        <v>10100000</v>
      </c>
    </row>
    <row r="7042" spans="1:4" x14ac:dyDescent="0.25">
      <c r="A7042" t="str">
        <f>T("   940370")</f>
        <v xml:space="preserve">   940370</v>
      </c>
      <c r="B7042" t="str">
        <f>T("   MEUBLES EN MATIERES PLASTIQUES")</f>
        <v xml:space="preserve">   MEUBLES EN MATIERES PLASTIQUES</v>
      </c>
      <c r="C7042" s="4">
        <v>11980</v>
      </c>
      <c r="D7042" s="4">
        <v>6050000</v>
      </c>
    </row>
    <row r="7043" spans="1:4" x14ac:dyDescent="0.25">
      <c r="A7043" t="str">
        <f>T("   940600")</f>
        <v xml:space="preserve">   940600</v>
      </c>
      <c r="B7043" t="str">
        <f>T("   CONSTRUCTIONS PREFABRIQUEES.")</f>
        <v xml:space="preserve">   CONSTRUCTIONS PREFABRIQUEES.</v>
      </c>
      <c r="C7043" s="4">
        <v>100024</v>
      </c>
      <c r="D7043" s="4">
        <v>146687356</v>
      </c>
    </row>
    <row r="7044" spans="1:4" x14ac:dyDescent="0.25">
      <c r="A7044" t="str">
        <f>T("   950669")</f>
        <v xml:space="preserve">   950669</v>
      </c>
      <c r="B7044" t="str">
        <f>T("   AUTRES")</f>
        <v xml:space="preserve">   AUTRES</v>
      </c>
      <c r="C7044" s="4">
        <v>97</v>
      </c>
      <c r="D7044" s="4">
        <v>1381265</v>
      </c>
    </row>
    <row r="7045" spans="1:4" x14ac:dyDescent="0.25">
      <c r="A7045" t="str">
        <f>T("   960390")</f>
        <v xml:space="preserve">   960390</v>
      </c>
      <c r="B7045" t="str">
        <f>T("   AUTRES")</f>
        <v xml:space="preserve">   AUTRES</v>
      </c>
      <c r="C7045" s="4">
        <v>857</v>
      </c>
      <c r="D7045" s="4">
        <v>828345</v>
      </c>
    </row>
    <row r="7046" spans="1:4" x14ac:dyDescent="0.25">
      <c r="A7046" t="str">
        <f>T("   960810")</f>
        <v xml:space="preserve">   960810</v>
      </c>
      <c r="B7046" t="str">
        <f>T("   STYLOS ET CRAYONS A BILLE")</f>
        <v xml:space="preserve">   STYLOS ET CRAYONS A BILLE</v>
      </c>
      <c r="C7046" s="4">
        <v>27052</v>
      </c>
      <c r="D7046" s="4">
        <v>23253430</v>
      </c>
    </row>
    <row r="7047" spans="1:4" x14ac:dyDescent="0.25">
      <c r="A7047" t="str">
        <f>T("   960839")</f>
        <v xml:space="preserve">   960839</v>
      </c>
      <c r="B7047" t="str">
        <f>T("   AUTRES STYLOS A PLUME ET AUTRES STYLOS")</f>
        <v xml:space="preserve">   AUTRES STYLOS A PLUME ET AUTRES STYLOS</v>
      </c>
      <c r="C7047" s="4">
        <v>520</v>
      </c>
      <c r="D7047" s="4">
        <v>425848</v>
      </c>
    </row>
    <row r="7048" spans="1:4" x14ac:dyDescent="0.25">
      <c r="A7048" t="str">
        <f>T("   970600")</f>
        <v xml:space="preserve">   970600</v>
      </c>
      <c r="B7048" t="str">
        <f>T("   OBJETS D'ANTIQUITE AYANT PLUS DE 100 ANS D'AGE.")</f>
        <v xml:space="preserve">   OBJETS D'ANTIQUITE AYANT PLUS DE 100 ANS D'AGE.</v>
      </c>
      <c r="C7048" s="4">
        <v>8</v>
      </c>
      <c r="D7048" s="4">
        <v>162812</v>
      </c>
    </row>
    <row r="7049" spans="1:4" s="5" customFormat="1" x14ac:dyDescent="0.25">
      <c r="A7049" s="5" t="str">
        <f>T("   ZZ_Total_Produit_SH6")</f>
        <v xml:space="preserve">   ZZ_Total_Produit_SH6</v>
      </c>
      <c r="B7049" s="5" t="str">
        <f>T("   ZZ_Total_Produit_SH6")</f>
        <v xml:space="preserve">   ZZ_Total_Produit_SH6</v>
      </c>
      <c r="C7049" s="1">
        <v>617582703.74000001</v>
      </c>
      <c r="D7049" s="1">
        <v>236456987794.599</v>
      </c>
    </row>
    <row r="7050" spans="1:4" s="5" customFormat="1" x14ac:dyDescent="0.25">
      <c r="B7050" s="5" t="str">
        <f>T("Iran, République Islqmique d'")</f>
        <v>Iran, République Islqmique d'</v>
      </c>
      <c r="C7050" s="1"/>
      <c r="D7050" s="1"/>
    </row>
    <row r="7051" spans="1:4" x14ac:dyDescent="0.25">
      <c r="A7051" t="str">
        <f>T("   030379")</f>
        <v xml:space="preserve">   030379</v>
      </c>
      <c r="B7051" t="str">
        <f>T("   AUTRES POISSONS ENTIERS CONGELES.(FOIES,OEUFS,LAITANCES EXCLUS)")</f>
        <v xml:space="preserve">   AUTRES POISSONS ENTIERS CONGELES.(FOIES,OEUFS,LAITANCES EXCLUS)</v>
      </c>
      <c r="C7051" s="4">
        <v>25000</v>
      </c>
      <c r="D7051" s="4">
        <v>10000000</v>
      </c>
    </row>
    <row r="7052" spans="1:4" x14ac:dyDescent="0.25">
      <c r="A7052" t="str">
        <f>T("   190220")</f>
        <v xml:space="preserve">   190220</v>
      </c>
      <c r="B7052" t="str">
        <f>T("   PATES ALIMENTAIRES FARCIES (MEME CUITES OU AUTREMENT PREPAREES)")</f>
        <v xml:space="preserve">   PATES ALIMENTAIRES FARCIES (MEME CUITES OU AUTREMENT PREPAREES)</v>
      </c>
      <c r="C7052" s="4">
        <v>166649</v>
      </c>
      <c r="D7052" s="4">
        <v>31131206</v>
      </c>
    </row>
    <row r="7053" spans="1:4" x14ac:dyDescent="0.25">
      <c r="A7053" t="str">
        <f>T("   392410")</f>
        <v xml:space="preserve">   392410</v>
      </c>
      <c r="B7053" t="str">
        <f>T("   VAISSELLE ET AUTRES ARTICLES POUR LE SERVICE DE LA TABLE OU DE LA CUISINE")</f>
        <v xml:space="preserve">   VAISSELLE ET AUTRES ARTICLES POUR LE SERVICE DE LA TABLE OU DE LA CUISINE</v>
      </c>
      <c r="C7053" s="4">
        <v>4991</v>
      </c>
      <c r="D7053" s="4">
        <v>2809293</v>
      </c>
    </row>
    <row r="7054" spans="1:4" x14ac:dyDescent="0.25">
      <c r="A7054" t="str">
        <f>T("   570500")</f>
        <v xml:space="preserve">   570500</v>
      </c>
      <c r="B7054" t="str">
        <f>T("   AUTRES TAPIS ET REVETEMENTS DE SOL EN MATIERES TEXTILES, MEME CONFECTIONNES.")</f>
        <v xml:space="preserve">   AUTRES TAPIS ET REVETEMENTS DE SOL EN MATIERES TEXTILES, MEME CONFECTIONNES.</v>
      </c>
      <c r="C7054" s="4">
        <v>1158</v>
      </c>
      <c r="D7054" s="4">
        <v>1310760</v>
      </c>
    </row>
    <row r="7055" spans="1:4" x14ac:dyDescent="0.25">
      <c r="A7055" t="str">
        <f>T("   610990")</f>
        <v xml:space="preserve">   610990</v>
      </c>
      <c r="B7055" t="str">
        <f>T("   D'AUTRES MATIERES TEXTILES")</f>
        <v xml:space="preserve">   D'AUTRES MATIERES TEXTILES</v>
      </c>
      <c r="C7055" s="4">
        <v>69</v>
      </c>
      <c r="D7055" s="4">
        <v>264548</v>
      </c>
    </row>
    <row r="7056" spans="1:4" x14ac:dyDescent="0.25">
      <c r="A7056" t="str">
        <f>T("   630900")</f>
        <v xml:space="preserve">   630900</v>
      </c>
      <c r="B7056" t="str">
        <f>T("   ARTICLES DE FRIPERIE.")</f>
        <v xml:space="preserve">   ARTICLES DE FRIPERIE.</v>
      </c>
      <c r="C7056" s="4">
        <v>36400</v>
      </c>
      <c r="D7056" s="4">
        <v>19647694</v>
      </c>
    </row>
    <row r="7057" spans="1:4" x14ac:dyDescent="0.25">
      <c r="A7057" t="str">
        <f>T("   847150")</f>
        <v xml:space="preserve">   847150</v>
      </c>
      <c r="B7057" t="str">
        <f>T("   UNITES DE TRAITEMENT AUTRES QUE CELLES DES N°S 8471.41 OU 8471.49, POUVANT COMPORTER,")</f>
        <v xml:space="preserve">   UNITES DE TRAITEMENT AUTRES QUE CELLES DES N°S 8471.41 OU 8471.49, POUVANT COMPORTER,</v>
      </c>
      <c r="C7057" s="4">
        <v>125</v>
      </c>
      <c r="D7057" s="4">
        <v>9679346</v>
      </c>
    </row>
    <row r="7058" spans="1:4" x14ac:dyDescent="0.25">
      <c r="A7058" t="str">
        <f>T("   847180")</f>
        <v xml:space="preserve">   847180</v>
      </c>
      <c r="B7058" t="str">
        <f>T("   AUTRES UNITES DE MACHINES AUTOMATIQUES DE TRAITEMENT DE L'INFORMATION")</f>
        <v xml:space="preserve">   AUTRES UNITES DE MACHINES AUTOMATIQUES DE TRAITEMENT DE L'INFORMATION</v>
      </c>
      <c r="C7058" s="4">
        <v>190</v>
      </c>
      <c r="D7058" s="4">
        <v>72795144</v>
      </c>
    </row>
    <row r="7059" spans="1:4" x14ac:dyDescent="0.25">
      <c r="A7059" t="str">
        <f>T("   847190")</f>
        <v xml:space="preserve">   847190</v>
      </c>
      <c r="B7059" t="str">
        <f>T("   AUTRES")</f>
        <v xml:space="preserve">   AUTRES</v>
      </c>
      <c r="C7059" s="4">
        <v>122</v>
      </c>
      <c r="D7059" s="4">
        <v>12397777</v>
      </c>
    </row>
    <row r="7060" spans="1:4" x14ac:dyDescent="0.25">
      <c r="A7060" t="str">
        <f>T("   850440")</f>
        <v xml:space="preserve">   850440</v>
      </c>
      <c r="B7060" t="str">
        <f>T("   CONVERTISSEURS STATIQUES")</f>
        <v xml:space="preserve">   CONVERTISSEURS STATIQUES</v>
      </c>
      <c r="C7060" s="4">
        <v>25.6</v>
      </c>
      <c r="D7060" s="4">
        <v>1116283</v>
      </c>
    </row>
    <row r="7061" spans="1:4" x14ac:dyDescent="0.25">
      <c r="A7061" t="str">
        <f>T("   850490")</f>
        <v xml:space="preserve">   850490</v>
      </c>
      <c r="B7061" t="str">
        <f>T("   PARTIES")</f>
        <v xml:space="preserve">   PARTIES</v>
      </c>
      <c r="C7061" s="4">
        <v>103</v>
      </c>
      <c r="D7061" s="4">
        <v>5449060</v>
      </c>
    </row>
    <row r="7062" spans="1:4" x14ac:dyDescent="0.25">
      <c r="A7062" t="str">
        <f>T("   851761")</f>
        <v xml:space="preserve">   851761</v>
      </c>
      <c r="B7062" t="str">
        <f>T("   STATIONS DE BASE")</f>
        <v xml:space="preserve">   STATIONS DE BASE</v>
      </c>
      <c r="C7062" s="4">
        <v>58</v>
      </c>
      <c r="D7062" s="4">
        <v>575987</v>
      </c>
    </row>
    <row r="7063" spans="1:4" x14ac:dyDescent="0.25">
      <c r="A7063" t="str">
        <f>T("   851762")</f>
        <v xml:space="preserve">   851762</v>
      </c>
      <c r="B7063" t="str">
        <f>T("   APPAREILS POUR LA RECEPTION, LA CONVERSION ET L'EMISSION, LA TRANSMISSION OU LA REGE")</f>
        <v xml:space="preserve">   APPAREILS POUR LA RECEPTION, LA CONVERSION ET L'EMISSION, LA TRANSMISSION OU LA REGE</v>
      </c>
      <c r="C7063" s="4">
        <v>148</v>
      </c>
      <c r="D7063" s="4">
        <v>34752643</v>
      </c>
    </row>
    <row r="7064" spans="1:4" x14ac:dyDescent="0.25">
      <c r="A7064" t="str">
        <f>T("   851769")</f>
        <v xml:space="preserve">   851769</v>
      </c>
      <c r="B7064" t="str">
        <f>T("   AUTRES")</f>
        <v xml:space="preserve">   AUTRES</v>
      </c>
      <c r="C7064" s="4">
        <v>78.2</v>
      </c>
      <c r="D7064" s="4">
        <v>732385</v>
      </c>
    </row>
    <row r="7065" spans="1:4" x14ac:dyDescent="0.25">
      <c r="A7065" t="str">
        <f>T("   851830")</f>
        <v xml:space="preserve">   851830</v>
      </c>
      <c r="B7065" t="str">
        <f>T("   CASQUES D'ECOUTE ET ECOUTEURS, MEME COMBINES AVEC UN MICROPHONE, ET ENSEMBLES OU ASSO")</f>
        <v xml:space="preserve">   CASQUES D'ECOUTE ET ECOUTEURS, MEME COMBINES AVEC UN MICROPHONE, ET ENSEMBLES OU ASSO</v>
      </c>
      <c r="C7065" s="4">
        <v>0.4</v>
      </c>
      <c r="D7065" s="4">
        <v>10411</v>
      </c>
    </row>
    <row r="7066" spans="1:4" x14ac:dyDescent="0.25">
      <c r="A7066" t="str">
        <f>T("   854420")</f>
        <v xml:space="preserve">   854420</v>
      </c>
      <c r="B7066" t="str">
        <f>T("   Cables coaxiaux et autres conducteurs electriques coaxiaux")</f>
        <v xml:space="preserve">   Cables coaxiaux et autres conducteurs electriques coaxiaux</v>
      </c>
      <c r="C7066" s="4">
        <v>152</v>
      </c>
      <c r="D7066" s="4">
        <v>1541984</v>
      </c>
    </row>
    <row r="7067" spans="1:4" x14ac:dyDescent="0.25">
      <c r="A7067" t="str">
        <f>T("   940389")</f>
        <v xml:space="preserve">   940389</v>
      </c>
      <c r="B7067" t="str">
        <f>T("   AUTRES")</f>
        <v xml:space="preserve">   AUTRES</v>
      </c>
      <c r="C7067" s="4">
        <v>6127</v>
      </c>
      <c r="D7067" s="4">
        <v>3457591</v>
      </c>
    </row>
    <row r="7068" spans="1:4" x14ac:dyDescent="0.25">
      <c r="A7068" t="str">
        <f>T("   970300")</f>
        <v xml:space="preserve">   970300</v>
      </c>
      <c r="B7068" t="str">
        <f>T("   PRODUCTIONS ORIGINALES DE L'ART STATUAIRE OU DE LA SCULPTURE, EN TOUTES MATIERES.")</f>
        <v xml:space="preserve">   PRODUCTIONS ORIGINALES DE L'ART STATUAIRE OU DE LA SCULPTURE, EN TOUTES MATIERES.</v>
      </c>
      <c r="C7068" s="4">
        <v>1924</v>
      </c>
      <c r="D7068" s="4">
        <v>1092300</v>
      </c>
    </row>
    <row r="7069" spans="1:4" s="5" customFormat="1" x14ac:dyDescent="0.25">
      <c r="A7069" s="5" t="str">
        <f>T("   ZZ_Total_Produit_SH6")</f>
        <v xml:space="preserve">   ZZ_Total_Produit_SH6</v>
      </c>
      <c r="B7069" s="5" t="str">
        <f>T("   ZZ_Total_Produit_SH6")</f>
        <v xml:space="preserve">   ZZ_Total_Produit_SH6</v>
      </c>
      <c r="C7069" s="1">
        <v>243320.2</v>
      </c>
      <c r="D7069" s="1">
        <v>208764412</v>
      </c>
    </row>
    <row r="7070" spans="1:4" s="5" customFormat="1" x14ac:dyDescent="0.25">
      <c r="B7070" s="5" t="str">
        <f>T("Islande")</f>
        <v>Islande</v>
      </c>
      <c r="C7070" s="1"/>
      <c r="D7070" s="1"/>
    </row>
    <row r="7071" spans="1:4" x14ac:dyDescent="0.25">
      <c r="A7071" t="str">
        <f>T("   030219")</f>
        <v xml:space="preserve">   030219</v>
      </c>
      <c r="B7071" t="str">
        <f>T("   AUTRES")</f>
        <v xml:space="preserve">   AUTRES</v>
      </c>
      <c r="C7071" s="4">
        <v>734273</v>
      </c>
      <c r="D7071" s="4">
        <v>293709200</v>
      </c>
    </row>
    <row r="7072" spans="1:4" x14ac:dyDescent="0.25">
      <c r="A7072" t="str">
        <f>T("   100640")</f>
        <v xml:space="preserve">   100640</v>
      </c>
      <c r="B7072" t="str">
        <f>T("   RIZ EN BRISURES")</f>
        <v xml:space="preserve">   RIZ EN BRISURES</v>
      </c>
      <c r="C7072" s="4">
        <v>1500850</v>
      </c>
      <c r="D7072" s="4">
        <v>550617426.54400003</v>
      </c>
    </row>
    <row r="7073" spans="1:4" x14ac:dyDescent="0.25">
      <c r="A7073" t="str">
        <f>T("   110100")</f>
        <v xml:space="preserve">   110100</v>
      </c>
      <c r="B7073" t="str">
        <f>T("   FARINES DE FROMENT (BLE) OU DE METEIL.")</f>
        <v xml:space="preserve">   FARINES DE FROMENT (BLE) OU DE METEIL.</v>
      </c>
      <c r="C7073" s="4">
        <v>72576</v>
      </c>
      <c r="D7073" s="4">
        <v>19362140.039999999</v>
      </c>
    </row>
    <row r="7074" spans="1:4" x14ac:dyDescent="0.25">
      <c r="A7074" t="str">
        <f>T("   151190")</f>
        <v xml:space="preserve">   151190</v>
      </c>
      <c r="B7074" t="str">
        <f>T("   AUTRES")</f>
        <v xml:space="preserve">   AUTRES</v>
      </c>
      <c r="C7074" s="4">
        <v>110000</v>
      </c>
      <c r="D7074" s="4">
        <v>45820423.633000001</v>
      </c>
    </row>
    <row r="7075" spans="1:4" x14ac:dyDescent="0.25">
      <c r="A7075" t="str">
        <f>T("   190230")</f>
        <v xml:space="preserve">   190230</v>
      </c>
      <c r="B7075" t="str">
        <f>T("   AUTRES PATES ALIMENTAIRES")</f>
        <v xml:space="preserve">   AUTRES PATES ALIMENTAIRES</v>
      </c>
      <c r="C7075" s="4">
        <v>26524</v>
      </c>
      <c r="D7075" s="4">
        <v>5822957</v>
      </c>
    </row>
    <row r="7076" spans="1:4" x14ac:dyDescent="0.25">
      <c r="A7076" t="str">
        <f>T("   210690")</f>
        <v xml:space="preserve">   210690</v>
      </c>
      <c r="B7076" t="str">
        <f>T("   AUTRES")</f>
        <v xml:space="preserve">   AUTRES</v>
      </c>
      <c r="C7076" s="4">
        <v>8367</v>
      </c>
      <c r="D7076" s="4">
        <v>4482060</v>
      </c>
    </row>
    <row r="7077" spans="1:4" x14ac:dyDescent="0.25">
      <c r="A7077" t="str">
        <f>T("   300620")</f>
        <v xml:space="preserve">   300620</v>
      </c>
      <c r="B7077" t="str">
        <f>T("   REACTIFS DESTINES A LA DETERMINATION DES GROUPES OU DES FACTEURS SANGUINS")</f>
        <v xml:space="preserve">   REACTIFS DESTINES A LA DETERMINATION DES GROUPES OU DES FACTEURS SANGUINS</v>
      </c>
      <c r="C7077" s="4">
        <v>3.5</v>
      </c>
      <c r="D7077" s="4">
        <v>435556</v>
      </c>
    </row>
    <row r="7078" spans="1:4" x14ac:dyDescent="0.25">
      <c r="A7078" t="str">
        <f>T("   330790")</f>
        <v xml:space="preserve">   330790</v>
      </c>
      <c r="B7078" t="str">
        <f>T("   AUTRES")</f>
        <v xml:space="preserve">   AUTRES</v>
      </c>
      <c r="C7078" s="4">
        <v>500</v>
      </c>
      <c r="D7078" s="4">
        <v>1252884</v>
      </c>
    </row>
    <row r="7079" spans="1:4" x14ac:dyDescent="0.25">
      <c r="A7079" t="str">
        <f>T("   392329")</f>
        <v xml:space="preserve">   392329</v>
      </c>
      <c r="B7079" t="str">
        <f>T("   EN AUTRES MATIERES PLASTIQUES")</f>
        <v xml:space="preserve">   EN AUTRES MATIERES PLASTIQUES</v>
      </c>
      <c r="C7079" s="4">
        <v>5271</v>
      </c>
      <c r="D7079" s="4">
        <v>5521939</v>
      </c>
    </row>
    <row r="7080" spans="1:4" x14ac:dyDescent="0.25">
      <c r="A7080" t="str">
        <f>T("   392610")</f>
        <v xml:space="preserve">   392610</v>
      </c>
      <c r="B7080" t="str">
        <f>T("   ARTICLES DE BUREAU ET ARTICLES SCOLAIRES")</f>
        <v xml:space="preserve">   ARTICLES DE BUREAU ET ARTICLES SCOLAIRES</v>
      </c>
      <c r="C7080" s="4">
        <v>2965</v>
      </c>
      <c r="D7080" s="4">
        <v>2174187</v>
      </c>
    </row>
    <row r="7081" spans="1:4" x14ac:dyDescent="0.25">
      <c r="A7081" t="str">
        <f>T("   480890")</f>
        <v xml:space="preserve">   480890</v>
      </c>
      <c r="B7081" t="str">
        <f>T("    AUTRES")</f>
        <v xml:space="preserve">    AUTRES</v>
      </c>
      <c r="C7081" s="4">
        <v>736</v>
      </c>
      <c r="D7081" s="4">
        <v>417999</v>
      </c>
    </row>
    <row r="7082" spans="1:4" x14ac:dyDescent="0.25">
      <c r="A7082" t="str">
        <f>T("   482090")</f>
        <v xml:space="preserve">   482090</v>
      </c>
      <c r="B7082" t="str">
        <f>T("   AUTRES")</f>
        <v xml:space="preserve">   AUTRES</v>
      </c>
      <c r="C7082" s="4">
        <v>3426</v>
      </c>
      <c r="D7082" s="4">
        <v>1938339</v>
      </c>
    </row>
    <row r="7083" spans="1:4" x14ac:dyDescent="0.25">
      <c r="A7083" t="str">
        <f>T("   610990")</f>
        <v xml:space="preserve">   610990</v>
      </c>
      <c r="B7083" t="str">
        <f>T("   D'AUTRES MATIERES TEXTILES")</f>
        <v xml:space="preserve">   D'AUTRES MATIERES TEXTILES</v>
      </c>
      <c r="C7083" s="4">
        <v>8000</v>
      </c>
      <c r="D7083" s="4">
        <v>5024654</v>
      </c>
    </row>
    <row r="7084" spans="1:4" x14ac:dyDescent="0.25">
      <c r="A7084" t="str">
        <f>T("   821300")</f>
        <v xml:space="preserve">   821300</v>
      </c>
      <c r="B7084" t="str">
        <f>T("   CISEAUX A DOUBLES BRANCHES ET LEURS LAMES.")</f>
        <v xml:space="preserve">   CISEAUX A DOUBLES BRANCHES ET LEURS LAMES.</v>
      </c>
      <c r="C7084" s="4">
        <v>500</v>
      </c>
      <c r="D7084" s="4">
        <v>943353</v>
      </c>
    </row>
    <row r="7085" spans="1:4" x14ac:dyDescent="0.25">
      <c r="A7085" t="str">
        <f>T("   842230")</f>
        <v xml:space="preserve">   842230</v>
      </c>
      <c r="B7085" t="str">
        <f>T("   MACHINES ET APPAREILS A REMPLIR, FERMER, BOUCHER OU ETIQUETER LES BOUTEILLES, BOITES,")</f>
        <v xml:space="preserve">   MACHINES ET APPAREILS A REMPLIR, FERMER, BOUCHER OU ETIQUETER LES BOUTEILLES, BOITES,</v>
      </c>
      <c r="C7085" s="4">
        <v>920</v>
      </c>
      <c r="D7085" s="4">
        <v>537154</v>
      </c>
    </row>
    <row r="7086" spans="1:4" x14ac:dyDescent="0.25">
      <c r="A7086" t="str">
        <f>T("   847180")</f>
        <v xml:space="preserve">   847180</v>
      </c>
      <c r="B7086" t="str">
        <f>T("   AUTRES UNITES DE MACHINES AUTOMATIQUES DE TRAITEMENT DE L'INFORMATION")</f>
        <v xml:space="preserve">   AUTRES UNITES DE MACHINES AUTOMATIQUES DE TRAITEMENT DE L'INFORMATION</v>
      </c>
      <c r="C7086" s="4">
        <v>98.5</v>
      </c>
      <c r="D7086" s="4">
        <v>485000</v>
      </c>
    </row>
    <row r="7087" spans="1:4" x14ac:dyDescent="0.25">
      <c r="A7087" t="str">
        <f>T("   847290")</f>
        <v xml:space="preserve">   847290</v>
      </c>
      <c r="B7087" t="str">
        <f>T("   AUTRES")</f>
        <v xml:space="preserve">   AUTRES</v>
      </c>
      <c r="C7087" s="4">
        <v>662</v>
      </c>
      <c r="D7087" s="4">
        <v>746151</v>
      </c>
    </row>
    <row r="7088" spans="1:4" x14ac:dyDescent="0.25">
      <c r="A7088" t="str">
        <f>T("   851769")</f>
        <v xml:space="preserve">   851769</v>
      </c>
      <c r="B7088" t="str">
        <f>T("   AUTRES")</f>
        <v xml:space="preserve">   AUTRES</v>
      </c>
      <c r="C7088" s="4">
        <v>3.8</v>
      </c>
      <c r="D7088" s="4">
        <v>1171440</v>
      </c>
    </row>
    <row r="7089" spans="1:4" x14ac:dyDescent="0.25">
      <c r="A7089" t="str">
        <f>T("   852910")</f>
        <v xml:space="preserve">   852910</v>
      </c>
      <c r="B7089" t="str">
        <f>T("   ANTENNES ET REFLECTEURS D’ANTENNES DE TOUS TYPES; PARTIES RECONNAISSABLES COMME ETANT")</f>
        <v xml:space="preserve">   ANTENNES ET REFLECTEURS D’ANTENNES DE TOUS TYPES; PARTIES RECONNAISSABLES COMME ETANT</v>
      </c>
      <c r="C7089" s="4">
        <v>466</v>
      </c>
      <c r="D7089" s="4">
        <v>970897</v>
      </c>
    </row>
    <row r="7090" spans="1:4" x14ac:dyDescent="0.25">
      <c r="A7090" t="str">
        <f>T("   890790")</f>
        <v xml:space="preserve">   890790</v>
      </c>
      <c r="B7090" t="str">
        <f>T("   AUTRES")</f>
        <v xml:space="preserve">   AUTRES</v>
      </c>
      <c r="C7090" s="4">
        <v>50</v>
      </c>
      <c r="D7090" s="4">
        <v>6736709</v>
      </c>
    </row>
    <row r="7091" spans="1:4" x14ac:dyDescent="0.25">
      <c r="A7091" t="str">
        <f>T("   901720")</f>
        <v xml:space="preserve">   901720</v>
      </c>
      <c r="B7091" t="str">
        <f>T("   AUTRES INSTRUMENTS DE DESSIN, DE TRACAGE OU DE CALCUL")</f>
        <v xml:space="preserve">   AUTRES INSTRUMENTS DE DESSIN, DE TRACAGE OU DE CALCUL</v>
      </c>
      <c r="C7091" s="4">
        <v>4428</v>
      </c>
      <c r="D7091" s="4">
        <v>3686373</v>
      </c>
    </row>
    <row r="7092" spans="1:4" x14ac:dyDescent="0.25">
      <c r="A7092" t="str">
        <f>T("   961000")</f>
        <v xml:space="preserve">   961000</v>
      </c>
      <c r="B7092" t="str">
        <f>T("   ARDOISES ET TABLEAUX POUR L'ECRITURE OU LE DESSIN, MEME ENCADRES.")</f>
        <v xml:space="preserve">   ARDOISES ET TABLEAUX POUR L'ECRITURE OU LE DESSIN, MEME ENCADRES.</v>
      </c>
      <c r="C7092" s="4">
        <v>534</v>
      </c>
      <c r="D7092" s="4">
        <v>223177</v>
      </c>
    </row>
    <row r="7093" spans="1:4" s="5" customFormat="1" x14ac:dyDescent="0.25">
      <c r="A7093" s="5" t="str">
        <f>T("   ZZ_Total_Produit_SH6")</f>
        <v xml:space="preserve">   ZZ_Total_Produit_SH6</v>
      </c>
      <c r="B7093" s="5" t="str">
        <f>T("   ZZ_Total_Produit_SH6")</f>
        <v xml:space="preserve">   ZZ_Total_Produit_SH6</v>
      </c>
      <c r="C7093" s="1">
        <v>2481153.7999999998</v>
      </c>
      <c r="D7093" s="1">
        <v>952080019.21700001</v>
      </c>
    </row>
    <row r="7094" spans="1:4" s="5" customFormat="1" x14ac:dyDescent="0.25">
      <c r="B7094" s="5" t="str">
        <f>T("Italie")</f>
        <v>Italie</v>
      </c>
      <c r="C7094" s="1"/>
      <c r="D7094" s="1"/>
    </row>
    <row r="7095" spans="1:4" x14ac:dyDescent="0.25">
      <c r="A7095" t="str">
        <f>T("   020450")</f>
        <v xml:space="preserve">   020450</v>
      </c>
      <c r="B7095" t="str">
        <f>T("   VIANDES DES ANIMAUX DE L'ESPECE CAPRINE")</f>
        <v xml:space="preserve">   VIANDES DES ANIMAUX DE L'ESPECE CAPRINE</v>
      </c>
      <c r="C7095" s="4">
        <v>25000</v>
      </c>
      <c r="D7095" s="4">
        <v>15550000</v>
      </c>
    </row>
    <row r="7096" spans="1:4" x14ac:dyDescent="0.25">
      <c r="A7096" t="str">
        <f>T("   020711")</f>
        <v xml:space="preserve">   020711</v>
      </c>
      <c r="B7096" t="str">
        <f>T("   NON DECOUPES EN MORCEAUX, FRAIS OU REFRIGERES")</f>
        <v xml:space="preserve">   NON DECOUPES EN MORCEAUX, FRAIS OU REFRIGERES</v>
      </c>
      <c r="C7096" s="4">
        <v>25000</v>
      </c>
      <c r="D7096" s="4">
        <v>15550188</v>
      </c>
    </row>
    <row r="7097" spans="1:4" x14ac:dyDescent="0.25">
      <c r="A7097" t="str">
        <f>T("   020712")</f>
        <v xml:space="preserve">   020712</v>
      </c>
      <c r="B7097" t="str">
        <f>T("   NON DECOUPES EN MORCEAUX, CONGELES")</f>
        <v xml:space="preserve">   NON DECOUPES EN MORCEAUX, CONGELES</v>
      </c>
      <c r="C7097" s="4">
        <v>4209326</v>
      </c>
      <c r="D7097" s="4">
        <v>2588068339</v>
      </c>
    </row>
    <row r="7098" spans="1:4" x14ac:dyDescent="0.25">
      <c r="A7098" t="str">
        <f>T("   020713")</f>
        <v xml:space="preserve">   020713</v>
      </c>
      <c r="B7098" t="str">
        <f>T("   MORCEAUX ET ABATS, FRAIS OU REFRIGERES")</f>
        <v xml:space="preserve">   MORCEAUX ET ABATS, FRAIS OU REFRIGERES</v>
      </c>
      <c r="C7098" s="4">
        <v>25000</v>
      </c>
      <c r="D7098" s="4">
        <v>15550187</v>
      </c>
    </row>
    <row r="7099" spans="1:4" x14ac:dyDescent="0.25">
      <c r="A7099" t="str">
        <f>T("   020714")</f>
        <v xml:space="preserve">   020714</v>
      </c>
      <c r="B7099" t="str">
        <f>T("   MORCEAUX ET ABATS, CONGELES")</f>
        <v xml:space="preserve">   MORCEAUX ET ABATS, CONGELES</v>
      </c>
      <c r="C7099" s="4">
        <v>2318495</v>
      </c>
      <c r="D7099" s="4">
        <v>1395383833</v>
      </c>
    </row>
    <row r="7100" spans="1:4" x14ac:dyDescent="0.25">
      <c r="A7100" t="str">
        <f>T("   020726")</f>
        <v xml:space="preserve">   020726</v>
      </c>
      <c r="B7100" t="str">
        <f>T("   MORCEAUX ET ABATS, FRAIS OU REFRIGERES")</f>
        <v xml:space="preserve">   MORCEAUX ET ABATS, FRAIS OU REFRIGERES</v>
      </c>
      <c r="C7100" s="4">
        <v>26940</v>
      </c>
      <c r="D7100" s="4">
        <v>15550188</v>
      </c>
    </row>
    <row r="7101" spans="1:4" x14ac:dyDescent="0.25">
      <c r="A7101" t="str">
        <f>T("   020727")</f>
        <v xml:space="preserve">   020727</v>
      </c>
      <c r="B7101" t="str">
        <f>T("   MORCEAUX ET ABATS, CONGELES")</f>
        <v xml:space="preserve">   MORCEAUX ET ABATS, CONGELES</v>
      </c>
      <c r="C7101" s="4">
        <v>2759915</v>
      </c>
      <c r="D7101" s="4">
        <v>1684263392</v>
      </c>
    </row>
    <row r="7102" spans="1:4" x14ac:dyDescent="0.25">
      <c r="A7102" t="str">
        <f>T("   030379")</f>
        <v xml:space="preserve">   030379</v>
      </c>
      <c r="B7102" t="str">
        <f>T("   AUTRES POISSONS ENTIERS CONGELES.(FOIES,OEUFS,LAITANCES EXCLUS)")</f>
        <v xml:space="preserve">   AUTRES POISSONS ENTIERS CONGELES.(FOIES,OEUFS,LAITANCES EXCLUS)</v>
      </c>
      <c r="C7102" s="4">
        <v>27000</v>
      </c>
      <c r="D7102" s="4">
        <v>10800000</v>
      </c>
    </row>
    <row r="7103" spans="1:4" x14ac:dyDescent="0.25">
      <c r="A7103" t="str">
        <f>T("   040210")</f>
        <v xml:space="preserve">   040210</v>
      </c>
      <c r="B7103" t="str">
        <f>T("   EN POUDRE, EN GRANULES OU SOUS D’AUTRES FORMES SOLIDES, D’UNE TENEUR EN POIDS DE MATI")</f>
        <v xml:space="preserve">   EN POUDRE, EN GRANULES OU SOUS D’AUTRES FORMES SOLIDES, D’UNE TENEUR EN POIDS DE MATI</v>
      </c>
      <c r="C7103" s="4">
        <v>700</v>
      </c>
      <c r="D7103" s="4">
        <v>9902248</v>
      </c>
    </row>
    <row r="7104" spans="1:4" x14ac:dyDescent="0.25">
      <c r="A7104" t="str">
        <f>T("   040221")</f>
        <v xml:space="preserve">   040221</v>
      </c>
      <c r="B7104" t="str">
        <f>T("   SANS ADDITION DE SUCRE OU D'AUTRES EDULCORANTS")</f>
        <v xml:space="preserve">   SANS ADDITION DE SUCRE OU D'AUTRES EDULCORANTS</v>
      </c>
      <c r="C7104" s="4">
        <v>608</v>
      </c>
      <c r="D7104" s="4">
        <v>362746</v>
      </c>
    </row>
    <row r="7105" spans="1:4" x14ac:dyDescent="0.25">
      <c r="A7105" t="str">
        <f>T("   040291")</f>
        <v xml:space="preserve">   040291</v>
      </c>
      <c r="B7105" t="str">
        <f>T("   SANS ADDITION DE SUCRE OU D'AUTRES EDULCORANTS")</f>
        <v xml:space="preserve">   SANS ADDITION DE SUCRE OU D'AUTRES EDULCORANTS</v>
      </c>
      <c r="C7105" s="4">
        <v>2084</v>
      </c>
      <c r="D7105" s="4">
        <v>795024</v>
      </c>
    </row>
    <row r="7106" spans="1:4" x14ac:dyDescent="0.25">
      <c r="A7106" t="str">
        <f>T("   040390")</f>
        <v xml:space="preserve">   040390</v>
      </c>
      <c r="B7106" t="str">
        <f>T("   AUTRES")</f>
        <v xml:space="preserve">   AUTRES</v>
      </c>
      <c r="C7106" s="4">
        <v>11206</v>
      </c>
      <c r="D7106" s="4">
        <v>10743313</v>
      </c>
    </row>
    <row r="7107" spans="1:4" x14ac:dyDescent="0.25">
      <c r="A7107" t="str">
        <f>T("   050400")</f>
        <v xml:space="preserve">   050400</v>
      </c>
      <c r="B7107" t="str">
        <f>T("   BOYAUX, VESSIES ET ESTOMACS D'ANIMAUX, ENTIERS OU EN MORCEAUX, AUTRES QUE CEUX DE POISS")</f>
        <v xml:space="preserve">   BOYAUX, VESSIES ET ESTOMACS D'ANIMAUX, ENTIERS OU EN MORCEAUX, AUTRES QUE CEUX DE POISS</v>
      </c>
      <c r="C7107" s="4">
        <v>132784</v>
      </c>
      <c r="D7107" s="4">
        <v>155337711</v>
      </c>
    </row>
    <row r="7108" spans="1:4" x14ac:dyDescent="0.25">
      <c r="A7108" t="str">
        <f>T("   080610")</f>
        <v xml:space="preserve">   080610</v>
      </c>
      <c r="B7108" t="str">
        <f>T("   FRAIS")</f>
        <v xml:space="preserve">   FRAIS</v>
      </c>
      <c r="C7108" s="4">
        <v>55853</v>
      </c>
      <c r="D7108" s="4">
        <v>11353928</v>
      </c>
    </row>
    <row r="7109" spans="1:4" x14ac:dyDescent="0.25">
      <c r="A7109" t="str">
        <f>T("   080810")</f>
        <v xml:space="preserve">   080810</v>
      </c>
      <c r="B7109" t="str">
        <f>T("   POMMES")</f>
        <v xml:space="preserve">   POMMES</v>
      </c>
      <c r="C7109" s="4">
        <v>40422</v>
      </c>
      <c r="D7109" s="4">
        <v>4905269</v>
      </c>
    </row>
    <row r="7110" spans="1:4" x14ac:dyDescent="0.25">
      <c r="A7110" t="str">
        <f>T("   080820")</f>
        <v xml:space="preserve">   080820</v>
      </c>
      <c r="B7110" t="str">
        <f>T("   Poires et coings,frais")</f>
        <v xml:space="preserve">   Poires et coings,frais</v>
      </c>
      <c r="C7110" s="4">
        <v>1452</v>
      </c>
      <c r="D7110" s="4">
        <v>918344</v>
      </c>
    </row>
    <row r="7111" spans="1:4" x14ac:dyDescent="0.25">
      <c r="A7111" t="str">
        <f>T("   090111")</f>
        <v xml:space="preserve">   090111</v>
      </c>
      <c r="B7111" t="str">
        <f>T("   NON DECAFEINE")</f>
        <v xml:space="preserve">   NON DECAFEINE</v>
      </c>
      <c r="C7111" s="4">
        <v>159</v>
      </c>
      <c r="D7111" s="4">
        <v>362693</v>
      </c>
    </row>
    <row r="7112" spans="1:4" x14ac:dyDescent="0.25">
      <c r="A7112" t="str">
        <f>T("   090121")</f>
        <v xml:space="preserve">   090121</v>
      </c>
      <c r="B7112" t="str">
        <f>T("   NON DECAFEINE")</f>
        <v xml:space="preserve">   NON DECAFEINE</v>
      </c>
      <c r="C7112" s="4">
        <v>174</v>
      </c>
      <c r="D7112" s="4">
        <v>200000</v>
      </c>
    </row>
    <row r="7113" spans="1:4" x14ac:dyDescent="0.25">
      <c r="A7113" t="str">
        <f>T("   090190")</f>
        <v xml:space="preserve">   090190</v>
      </c>
      <c r="B7113" t="str">
        <f>T("   AUTRES")</f>
        <v xml:space="preserve">   AUTRES</v>
      </c>
      <c r="C7113" s="4">
        <v>331</v>
      </c>
      <c r="D7113" s="4">
        <v>198756</v>
      </c>
    </row>
    <row r="7114" spans="1:4" x14ac:dyDescent="0.25">
      <c r="A7114" t="str">
        <f>T("   090240")</f>
        <v xml:space="preserve">   090240</v>
      </c>
      <c r="B7114" t="str">
        <f>T("   THE NOIR (FERMENTE) ET THE PARTIELLEMENT FERMENTE, PRESENTES AUTREMENT")</f>
        <v xml:space="preserve">   THE NOIR (FERMENTE) ET THE PARTIELLEMENT FERMENTE, PRESENTES AUTREMENT</v>
      </c>
      <c r="C7114" s="4">
        <v>11000</v>
      </c>
      <c r="D7114" s="4">
        <v>2656827</v>
      </c>
    </row>
    <row r="7115" spans="1:4" x14ac:dyDescent="0.25">
      <c r="A7115" t="str">
        <f>T("   110100")</f>
        <v xml:space="preserve">   110100</v>
      </c>
      <c r="B7115" t="str">
        <f>T("   FARINES DE FROMENT (BLE) OU DE METEIL.")</f>
        <v xml:space="preserve">   FARINES DE FROMENT (BLE) OU DE METEIL.</v>
      </c>
      <c r="C7115" s="4">
        <v>210750</v>
      </c>
      <c r="D7115" s="4">
        <v>56224799.766999997</v>
      </c>
    </row>
    <row r="7116" spans="1:4" x14ac:dyDescent="0.25">
      <c r="A7116" t="str">
        <f>T("   110290")</f>
        <v xml:space="preserve">   110290</v>
      </c>
      <c r="B7116" t="str">
        <f>T("   AUTRES")</f>
        <v xml:space="preserve">   AUTRES</v>
      </c>
      <c r="C7116" s="4">
        <v>588600</v>
      </c>
      <c r="D7116" s="4">
        <v>642830</v>
      </c>
    </row>
    <row r="7117" spans="1:4" x14ac:dyDescent="0.25">
      <c r="A7117" t="str">
        <f>T("   120720")</f>
        <v xml:space="preserve">   120720</v>
      </c>
      <c r="B7117" t="str">
        <f>T("   GRAINES DE COTON,MEME CONCASSEES")</f>
        <v xml:space="preserve">   GRAINES DE COTON,MEME CONCASSEES</v>
      </c>
      <c r="C7117" s="4">
        <v>496</v>
      </c>
      <c r="D7117" s="4">
        <v>1000496</v>
      </c>
    </row>
    <row r="7118" spans="1:4" x14ac:dyDescent="0.25">
      <c r="A7118" t="str">
        <f>T("   150990")</f>
        <v xml:space="preserve">   150990</v>
      </c>
      <c r="B7118" t="str">
        <f>T("   AUTRES")</f>
        <v xml:space="preserve">   AUTRES</v>
      </c>
      <c r="C7118" s="4">
        <v>1260</v>
      </c>
      <c r="D7118" s="4">
        <v>314861</v>
      </c>
    </row>
    <row r="7119" spans="1:4" x14ac:dyDescent="0.25">
      <c r="A7119" t="str">
        <f>T("   151000")</f>
        <v xml:space="preserve">   151000</v>
      </c>
      <c r="B7119" t="str">
        <f>T("   AUTRES HUILES ET LEURS FRACTIONS, OBTENUES EXCLUSIVEMENT A PARTIR D'OLIVES, MEME RAFFIN")</f>
        <v xml:space="preserve">   AUTRES HUILES ET LEURS FRACTIONS, OBTENUES EXCLUSIVEMENT A PARTIR D'OLIVES, MEME RAFFIN</v>
      </c>
      <c r="C7119" s="4">
        <v>10351</v>
      </c>
      <c r="D7119" s="4">
        <v>2587762</v>
      </c>
    </row>
    <row r="7120" spans="1:4" x14ac:dyDescent="0.25">
      <c r="A7120" t="str">
        <f>T("   160100")</f>
        <v xml:space="preserve">   160100</v>
      </c>
      <c r="B7120" t="str">
        <f>T("   SAUCISSES, SAUCISSONS ET PRODUITS SIMILAIRES, DE VIANDE, D'ABATS OU DE SANG; PREPARATIO")</f>
        <v xml:space="preserve">   SAUCISSES, SAUCISSONS ET PRODUITS SIMILAIRES, DE VIANDE, D'ABATS OU DE SANG; PREPARATIO</v>
      </c>
      <c r="C7120" s="4">
        <v>975</v>
      </c>
      <c r="D7120" s="4">
        <v>731250</v>
      </c>
    </row>
    <row r="7121" spans="1:4" x14ac:dyDescent="0.25">
      <c r="A7121" t="str">
        <f>T("   160250")</f>
        <v xml:space="preserve">   160250</v>
      </c>
      <c r="B7121" t="str">
        <f>T("   DE L'ESPECE BOVINE")</f>
        <v xml:space="preserve">   DE L'ESPECE BOVINE</v>
      </c>
      <c r="C7121" s="4">
        <v>18730</v>
      </c>
      <c r="D7121" s="4">
        <v>6624540</v>
      </c>
    </row>
    <row r="7122" spans="1:4" x14ac:dyDescent="0.25">
      <c r="A7122" t="str">
        <f>T("   180610")</f>
        <v xml:space="preserve">   180610</v>
      </c>
      <c r="B7122" t="str">
        <f>T("   POUDRE DE CACAO, AVEC ADDITION DE SUCRE OU D'AUTRES EDULCORANTS")</f>
        <v xml:space="preserve">   POUDRE DE CACAO, AVEC ADDITION DE SUCRE OU D'AUTRES EDULCORANTS</v>
      </c>
      <c r="C7122" s="4">
        <v>2605</v>
      </c>
      <c r="D7122" s="4">
        <v>1674843</v>
      </c>
    </row>
    <row r="7123" spans="1:4" x14ac:dyDescent="0.25">
      <c r="A7123" t="str">
        <f>T("   190190")</f>
        <v xml:space="preserve">   190190</v>
      </c>
      <c r="B7123" t="str">
        <f>T("   AUTRES")</f>
        <v xml:space="preserve">   AUTRES</v>
      </c>
      <c r="C7123" s="4">
        <v>620</v>
      </c>
      <c r="D7123" s="4">
        <v>236802</v>
      </c>
    </row>
    <row r="7124" spans="1:4" x14ac:dyDescent="0.25">
      <c r="A7124" t="str">
        <f>T("   190219")</f>
        <v xml:space="preserve">   190219</v>
      </c>
      <c r="B7124" t="str">
        <f>T("   AUTRES")</f>
        <v xml:space="preserve">   AUTRES</v>
      </c>
      <c r="C7124" s="4">
        <v>491102</v>
      </c>
      <c r="D7124" s="4">
        <v>112672258</v>
      </c>
    </row>
    <row r="7125" spans="1:4" x14ac:dyDescent="0.25">
      <c r="A7125" t="str">
        <f>T("   190230")</f>
        <v xml:space="preserve">   190230</v>
      </c>
      <c r="B7125" t="str">
        <f>T("   AUTRES PATES ALIMENTAIRES")</f>
        <v xml:space="preserve">   AUTRES PATES ALIMENTAIRES</v>
      </c>
      <c r="C7125" s="4">
        <v>617726</v>
      </c>
      <c r="D7125" s="4">
        <v>165153640</v>
      </c>
    </row>
    <row r="7126" spans="1:4" x14ac:dyDescent="0.25">
      <c r="A7126" t="str">
        <f>T("   190490")</f>
        <v xml:space="preserve">   190490</v>
      </c>
      <c r="B7126" t="str">
        <f>T("   AUTRES")</f>
        <v xml:space="preserve">   AUTRES</v>
      </c>
      <c r="C7126" s="4">
        <v>503201</v>
      </c>
      <c r="D7126" s="4">
        <v>1487200</v>
      </c>
    </row>
    <row r="7127" spans="1:4" x14ac:dyDescent="0.25">
      <c r="A7127" t="str">
        <f>T("   190531")</f>
        <v xml:space="preserve">   190531</v>
      </c>
      <c r="B7127" t="str">
        <f>T("   BISCUITS ADDITIONNES D’EDULCORANTS")</f>
        <v xml:space="preserve">   BISCUITS ADDITIONNES D’EDULCORANTS</v>
      </c>
      <c r="C7127" s="4">
        <v>5460</v>
      </c>
      <c r="D7127" s="4">
        <v>3499547</v>
      </c>
    </row>
    <row r="7128" spans="1:4" x14ac:dyDescent="0.25">
      <c r="A7128" t="str">
        <f>T("   190590")</f>
        <v xml:space="preserve">   190590</v>
      </c>
      <c r="B7128" t="str">
        <f>T("   AUTRES")</f>
        <v xml:space="preserve">   AUTRES</v>
      </c>
      <c r="C7128" s="4">
        <v>3340</v>
      </c>
      <c r="D7128" s="4">
        <v>6483509</v>
      </c>
    </row>
    <row r="7129" spans="1:4" x14ac:dyDescent="0.25">
      <c r="A7129" t="str">
        <f>T("   200290")</f>
        <v xml:space="preserve">   200290</v>
      </c>
      <c r="B7129" t="str">
        <f>T("   AUTRES")</f>
        <v xml:space="preserve">   AUTRES</v>
      </c>
      <c r="C7129" s="4">
        <v>102600</v>
      </c>
      <c r="D7129" s="4">
        <v>28066870</v>
      </c>
    </row>
    <row r="7130" spans="1:4" x14ac:dyDescent="0.25">
      <c r="A7130" t="str">
        <f>T("   200310")</f>
        <v xml:space="preserve">   200310</v>
      </c>
      <c r="B7130" t="str">
        <f>T("   CHAMPIGNONS DU GENRE AGARICUS")</f>
        <v xml:space="preserve">   CHAMPIGNONS DU GENRE AGARICUS</v>
      </c>
      <c r="C7130" s="4">
        <v>552</v>
      </c>
      <c r="D7130" s="4">
        <v>210563</v>
      </c>
    </row>
    <row r="7131" spans="1:4" x14ac:dyDescent="0.25">
      <c r="A7131" t="str">
        <f>T("   200390")</f>
        <v xml:space="preserve">   200390</v>
      </c>
      <c r="B7131" t="str">
        <f>T("   AUTRES")</f>
        <v xml:space="preserve">   AUTRES</v>
      </c>
      <c r="C7131" s="4">
        <v>840</v>
      </c>
      <c r="D7131" s="4">
        <v>283375</v>
      </c>
    </row>
    <row r="7132" spans="1:4" x14ac:dyDescent="0.25">
      <c r="A7132" t="str">
        <f>T("   200490")</f>
        <v xml:space="preserve">   200490</v>
      </c>
      <c r="B7132" t="str">
        <f>T("   AUTRES LEGUMES ET MELANGES DE LEGUMES")</f>
        <v xml:space="preserve">   AUTRES LEGUMES ET MELANGES DE LEGUMES</v>
      </c>
      <c r="C7132" s="4">
        <v>735</v>
      </c>
      <c r="D7132" s="4">
        <v>327455</v>
      </c>
    </row>
    <row r="7133" spans="1:4" x14ac:dyDescent="0.25">
      <c r="A7133" t="str">
        <f>T("   200540")</f>
        <v xml:space="preserve">   200540</v>
      </c>
      <c r="B7133" t="str">
        <f>T("   POIS (PISUM SATIVUM)")</f>
        <v xml:space="preserve">   POIS (PISUM SATIVUM)</v>
      </c>
      <c r="C7133" s="4">
        <v>64800</v>
      </c>
      <c r="D7133" s="4">
        <v>9725263</v>
      </c>
    </row>
    <row r="7134" spans="1:4" x14ac:dyDescent="0.25">
      <c r="A7134" t="str">
        <f>T("   200599")</f>
        <v xml:space="preserve">   200599</v>
      </c>
      <c r="B7134" t="str">
        <f>T("   AUTRES")</f>
        <v xml:space="preserve">   AUTRES</v>
      </c>
      <c r="C7134" s="4">
        <v>8034</v>
      </c>
      <c r="D7134" s="4">
        <v>3653082</v>
      </c>
    </row>
    <row r="7135" spans="1:4" x14ac:dyDescent="0.25">
      <c r="A7135" t="str">
        <f>T("   200850")</f>
        <v xml:space="preserve">   200850</v>
      </c>
      <c r="B7135" t="str">
        <f>T("   ABRICOTS")</f>
        <v xml:space="preserve">   ABRICOTS</v>
      </c>
      <c r="C7135" s="4">
        <v>4880</v>
      </c>
      <c r="D7135" s="4">
        <v>809455</v>
      </c>
    </row>
    <row r="7136" spans="1:4" x14ac:dyDescent="0.25">
      <c r="A7136" t="str">
        <f>T("   200990")</f>
        <v xml:space="preserve">   200990</v>
      </c>
      <c r="B7136" t="str">
        <f>T("   MELANGES DE JUS")</f>
        <v xml:space="preserve">   MELANGES DE JUS</v>
      </c>
      <c r="C7136" s="4">
        <v>1000</v>
      </c>
      <c r="D7136" s="4">
        <v>857996</v>
      </c>
    </row>
    <row r="7137" spans="1:4" x14ac:dyDescent="0.25">
      <c r="A7137" t="str">
        <f>T("   210111")</f>
        <v xml:space="preserve">   210111</v>
      </c>
      <c r="B7137" t="str">
        <f>T("   EXTRAITS, ESSENCES ET CONCENTRES")</f>
        <v xml:space="preserve">   EXTRAITS, ESSENCES ET CONCENTRES</v>
      </c>
      <c r="C7137" s="4">
        <v>1960</v>
      </c>
      <c r="D7137" s="4">
        <v>1717775</v>
      </c>
    </row>
    <row r="7138" spans="1:4" x14ac:dyDescent="0.25">
      <c r="A7138" t="str">
        <f>T("   210410")</f>
        <v xml:space="preserve">   210410</v>
      </c>
      <c r="B7138" t="str">
        <f>T("   PREPARATIONS POUR SOUPES, POTAGES OU BOUILLONS; SOUPES, POTAGES OU BOUILLONS PREPARES")</f>
        <v xml:space="preserve">   PREPARATIONS POUR SOUPES, POTAGES OU BOUILLONS; SOUPES, POTAGES OU BOUILLONS PREPARES</v>
      </c>
      <c r="C7138" s="4">
        <v>8573</v>
      </c>
      <c r="D7138" s="4">
        <v>2940977</v>
      </c>
    </row>
    <row r="7139" spans="1:4" x14ac:dyDescent="0.25">
      <c r="A7139" t="str">
        <f>T("   210420")</f>
        <v xml:space="preserve">   210420</v>
      </c>
      <c r="B7139" t="str">
        <f>T("   PREPARATIONS ALIMENTAIRES COMPOSITES HOMOGENEISEES")</f>
        <v xml:space="preserve">   PREPARATIONS ALIMENTAIRES COMPOSITES HOMOGENEISEES</v>
      </c>
      <c r="C7139" s="4">
        <v>3450</v>
      </c>
      <c r="D7139" s="4">
        <v>1469036</v>
      </c>
    </row>
    <row r="7140" spans="1:4" x14ac:dyDescent="0.25">
      <c r="A7140" t="str">
        <f>T("   210500")</f>
        <v xml:space="preserve">   210500</v>
      </c>
      <c r="B7140" t="str">
        <f>T("   GLACES DE CONSOMMATION, MEME CONTENANT DU CACAO.")</f>
        <v xml:space="preserve">   GLACES DE CONSOMMATION, MEME CONTENANT DU CACAO.</v>
      </c>
      <c r="C7140" s="4">
        <v>4126</v>
      </c>
      <c r="D7140" s="4">
        <v>1574304</v>
      </c>
    </row>
    <row r="7141" spans="1:4" x14ac:dyDescent="0.25">
      <c r="A7141" t="str">
        <f>T("   210610")</f>
        <v xml:space="preserve">   210610</v>
      </c>
      <c r="B7141" t="str">
        <f>T("   CONCENTRATS DE PROTEINES ET SUBSTANCES PROTEIQUES TEXTUREES")</f>
        <v xml:space="preserve">   CONCENTRATS DE PROTEINES ET SUBSTANCES PROTEIQUES TEXTUREES</v>
      </c>
      <c r="C7141" s="4">
        <v>30</v>
      </c>
      <c r="D7141" s="4">
        <v>71782</v>
      </c>
    </row>
    <row r="7142" spans="1:4" x14ac:dyDescent="0.25">
      <c r="A7142" t="str">
        <f>T("   210690")</f>
        <v xml:space="preserve">   210690</v>
      </c>
      <c r="B7142" t="str">
        <f>T("   AUTRES")</f>
        <v xml:space="preserve">   AUTRES</v>
      </c>
      <c r="C7142" s="4">
        <v>11077</v>
      </c>
      <c r="D7142" s="4">
        <v>5909563</v>
      </c>
    </row>
    <row r="7143" spans="1:4" x14ac:dyDescent="0.25">
      <c r="A7143" t="str">
        <f>T("   220110")</f>
        <v xml:space="preserve">   220110</v>
      </c>
      <c r="B7143" t="str">
        <f>T("   EAUX MINERALES ET EAUX GAZEIFIEES")</f>
        <v xml:space="preserve">   EAUX MINERALES ET EAUX GAZEIFIEES</v>
      </c>
      <c r="C7143" s="4">
        <v>108</v>
      </c>
      <c r="D7143" s="4">
        <v>140000</v>
      </c>
    </row>
    <row r="7144" spans="1:4" x14ac:dyDescent="0.25">
      <c r="A7144" t="str">
        <f>T("   220190")</f>
        <v xml:space="preserve">   220190</v>
      </c>
      <c r="B7144" t="str">
        <f>T("   AUTRES")</f>
        <v xml:space="preserve">   AUTRES</v>
      </c>
      <c r="C7144" s="4">
        <v>725</v>
      </c>
      <c r="D7144" s="4">
        <v>418325</v>
      </c>
    </row>
    <row r="7145" spans="1:4" x14ac:dyDescent="0.25">
      <c r="A7145" t="str">
        <f>T("   220290")</f>
        <v xml:space="preserve">   220290</v>
      </c>
      <c r="B7145" t="str">
        <f>T("   AUTRES")</f>
        <v xml:space="preserve">   AUTRES</v>
      </c>
      <c r="C7145" s="4">
        <v>950</v>
      </c>
      <c r="D7145" s="4">
        <v>1895349</v>
      </c>
    </row>
    <row r="7146" spans="1:4" x14ac:dyDescent="0.25">
      <c r="A7146" t="str">
        <f>T("   220421")</f>
        <v xml:space="preserve">   220421</v>
      </c>
      <c r="B7146" t="str">
        <f>T("   EN RECIPIENTS D'UNE CONTENANCE N'EXCEDANT PAS 2 L")</f>
        <v xml:space="preserve">   EN RECIPIENTS D'UNE CONTENANCE N'EXCEDANT PAS 2 L</v>
      </c>
      <c r="C7146" s="4">
        <v>19420</v>
      </c>
      <c r="D7146" s="4">
        <v>6493348</v>
      </c>
    </row>
    <row r="7147" spans="1:4" x14ac:dyDescent="0.25">
      <c r="A7147" t="str">
        <f>T("   220429")</f>
        <v xml:space="preserve">   220429</v>
      </c>
      <c r="B7147" t="str">
        <f>T("   AUTRES")</f>
        <v xml:space="preserve">   AUTRES</v>
      </c>
      <c r="C7147" s="4">
        <v>18870</v>
      </c>
      <c r="D7147" s="4">
        <v>5417028</v>
      </c>
    </row>
    <row r="7148" spans="1:4" x14ac:dyDescent="0.25">
      <c r="A7148" t="str">
        <f>T("   220870")</f>
        <v xml:space="preserve">   220870</v>
      </c>
      <c r="B7148" t="str">
        <f>T("   LIQUEURS")</f>
        <v xml:space="preserve">   LIQUEURS</v>
      </c>
      <c r="C7148" s="4">
        <v>250</v>
      </c>
      <c r="D7148" s="4">
        <v>312893</v>
      </c>
    </row>
    <row r="7149" spans="1:4" x14ac:dyDescent="0.25">
      <c r="A7149" t="str">
        <f>T("   250490")</f>
        <v xml:space="preserve">   250490</v>
      </c>
      <c r="B7149" t="str">
        <f>T("   AUTRE")</f>
        <v xml:space="preserve">   AUTRE</v>
      </c>
      <c r="C7149" s="4">
        <v>40</v>
      </c>
      <c r="D7149" s="4">
        <v>50000</v>
      </c>
    </row>
    <row r="7150" spans="1:4" x14ac:dyDescent="0.25">
      <c r="A7150" t="str">
        <f>T("   250590")</f>
        <v xml:space="preserve">   250590</v>
      </c>
      <c r="B7150" t="str">
        <f>T("   AUTRES SABLES")</f>
        <v xml:space="preserve">   AUTRES SABLES</v>
      </c>
      <c r="C7150" s="4">
        <v>44954</v>
      </c>
      <c r="D7150" s="4">
        <v>20332046</v>
      </c>
    </row>
    <row r="7151" spans="1:4" x14ac:dyDescent="0.25">
      <c r="A7151" t="str">
        <f>T("   251710")</f>
        <v xml:space="preserve">   251710</v>
      </c>
      <c r="B7151" t="str">
        <f>T("   CAILLOUX, GRAVIERS, PIERRES CONCASSEES, DES TYPES GENERALEMENT UTILISES POUR LE BETON")</f>
        <v xml:space="preserve">   CAILLOUX, GRAVIERS, PIERRES CONCASSEES, DES TYPES GENERALEMENT UTILISES POUR LE BETON</v>
      </c>
      <c r="C7151" s="4">
        <v>24000</v>
      </c>
      <c r="D7151" s="4">
        <v>3489418</v>
      </c>
    </row>
    <row r="7152" spans="1:4" x14ac:dyDescent="0.25">
      <c r="A7152" t="str">
        <f>T("   252020")</f>
        <v xml:space="preserve">   252020</v>
      </c>
      <c r="B7152" t="str">
        <f>T("   PLATRES")</f>
        <v xml:space="preserve">   PLATRES</v>
      </c>
      <c r="C7152" s="4">
        <v>25637</v>
      </c>
      <c r="D7152" s="4">
        <v>7569778</v>
      </c>
    </row>
    <row r="7153" spans="1:4" x14ac:dyDescent="0.25">
      <c r="A7153" t="str">
        <f>T("   253090")</f>
        <v xml:space="preserve">   253090</v>
      </c>
      <c r="B7153" t="str">
        <f>T("   AUTRES")</f>
        <v xml:space="preserve">   AUTRES</v>
      </c>
      <c r="C7153" s="4">
        <v>1500</v>
      </c>
      <c r="D7153" s="4">
        <v>500000</v>
      </c>
    </row>
    <row r="7154" spans="1:4" x14ac:dyDescent="0.25">
      <c r="A7154" t="str">
        <f>T("   271019")</f>
        <v xml:space="preserve">   271019</v>
      </c>
      <c r="B7154" t="str">
        <f>T("   AUTRES")</f>
        <v xml:space="preserve">   AUTRES</v>
      </c>
      <c r="C7154" s="4">
        <v>53</v>
      </c>
      <c r="D7154" s="4">
        <v>344379</v>
      </c>
    </row>
    <row r="7155" spans="1:4" x14ac:dyDescent="0.25">
      <c r="A7155" t="str">
        <f>T("   271220")</f>
        <v xml:space="preserve">   271220</v>
      </c>
      <c r="B7155" t="str">
        <f>T("   PARAFFINE CONTENANT EN POIDS MOINS DE 0,75 % D'HUILE")</f>
        <v xml:space="preserve">   PARAFFINE CONTENANT EN POIDS MOINS DE 0,75 % D'HUILE</v>
      </c>
      <c r="C7155" s="4">
        <v>900</v>
      </c>
      <c r="D7155" s="4">
        <v>1171243</v>
      </c>
    </row>
    <row r="7156" spans="1:4" x14ac:dyDescent="0.25">
      <c r="A7156" t="str">
        <f>T("   282110")</f>
        <v xml:space="preserve">   282110</v>
      </c>
      <c r="B7156" t="str">
        <f>T("   Oxydes et hydroxydes de fer")</f>
        <v xml:space="preserve">   Oxydes et hydroxydes de fer</v>
      </c>
      <c r="C7156" s="4">
        <v>1500</v>
      </c>
      <c r="D7156" s="4">
        <v>1914649</v>
      </c>
    </row>
    <row r="7157" spans="1:4" x14ac:dyDescent="0.25">
      <c r="A7157" t="str">
        <f>T("   282300")</f>
        <v xml:space="preserve">   282300</v>
      </c>
      <c r="B7157" t="str">
        <f>T("   OXYDES DE TITANE.")</f>
        <v xml:space="preserve">   OXYDES DE TITANE.</v>
      </c>
      <c r="C7157" s="4">
        <v>13250</v>
      </c>
      <c r="D7157" s="4">
        <v>24122086</v>
      </c>
    </row>
    <row r="7158" spans="1:4" x14ac:dyDescent="0.25">
      <c r="A7158" t="str">
        <f>T("   283539")</f>
        <v xml:space="preserve">   283539</v>
      </c>
      <c r="B7158" t="str">
        <f>T("   AUTRES")</f>
        <v xml:space="preserve">   AUTRES</v>
      </c>
      <c r="C7158" s="4">
        <v>800</v>
      </c>
      <c r="D7158" s="4">
        <v>1145936</v>
      </c>
    </row>
    <row r="7159" spans="1:4" x14ac:dyDescent="0.25">
      <c r="A7159" t="str">
        <f>T("   283650")</f>
        <v xml:space="preserve">   283650</v>
      </c>
      <c r="B7159" t="str">
        <f>T("   Carbonate de calcium")</f>
        <v xml:space="preserve">   Carbonate de calcium</v>
      </c>
      <c r="C7159" s="4">
        <v>472460</v>
      </c>
      <c r="D7159" s="4">
        <v>47951577</v>
      </c>
    </row>
    <row r="7160" spans="1:4" x14ac:dyDescent="0.25">
      <c r="A7160" t="str">
        <f>T("   290241")</f>
        <v xml:space="preserve">   290241</v>
      </c>
      <c r="B7160" t="str">
        <f>T("   OXYLENE")</f>
        <v xml:space="preserve">   OXYLENE</v>
      </c>
      <c r="C7160" s="4">
        <v>100863</v>
      </c>
      <c r="D7160" s="4">
        <v>62262412</v>
      </c>
    </row>
    <row r="7161" spans="1:4" x14ac:dyDescent="0.25">
      <c r="A7161" t="str">
        <f>T("   291829")</f>
        <v xml:space="preserve">   291829</v>
      </c>
      <c r="B7161" t="str">
        <f>T("   AUTRES")</f>
        <v xml:space="preserve">   AUTRES</v>
      </c>
      <c r="C7161" s="4">
        <v>2200</v>
      </c>
      <c r="D7161" s="4">
        <v>2610642</v>
      </c>
    </row>
    <row r="7162" spans="1:4" x14ac:dyDescent="0.25">
      <c r="A7162" t="str">
        <f>T("   300450")</f>
        <v xml:space="preserve">   300450</v>
      </c>
      <c r="B7162" t="str">
        <f>T("   AUTRES MEDICAMENTS CONTENANT DES VITAMINES OU D'AUTRES PRODUITS DU N° 29.36")</f>
        <v xml:space="preserve">   AUTRES MEDICAMENTS CONTENANT DES VITAMINES OU D'AUTRES PRODUITS DU N° 29.36</v>
      </c>
      <c r="C7162" s="4">
        <v>12</v>
      </c>
      <c r="D7162" s="4">
        <v>29519</v>
      </c>
    </row>
    <row r="7163" spans="1:4" x14ac:dyDescent="0.25">
      <c r="A7163" t="str">
        <f>T("   300490")</f>
        <v xml:space="preserve">   300490</v>
      </c>
      <c r="B7163" t="str">
        <f>T("   AUTRES")</f>
        <v xml:space="preserve">   AUTRES</v>
      </c>
      <c r="C7163" s="4">
        <v>1177</v>
      </c>
      <c r="D7163" s="4">
        <v>15463256</v>
      </c>
    </row>
    <row r="7164" spans="1:4" x14ac:dyDescent="0.25">
      <c r="A7164" t="str">
        <f>T("   300590")</f>
        <v xml:space="preserve">   300590</v>
      </c>
      <c r="B7164" t="str">
        <f>T("   AUTRES")</f>
        <v xml:space="preserve">   AUTRES</v>
      </c>
      <c r="C7164" s="4">
        <v>425</v>
      </c>
      <c r="D7164" s="4">
        <v>294788</v>
      </c>
    </row>
    <row r="7165" spans="1:4" x14ac:dyDescent="0.25">
      <c r="A7165" t="str">
        <f>T("   300650")</f>
        <v xml:space="preserve">   300650</v>
      </c>
      <c r="B7165" t="str">
        <f>T("   TROUSSES ET BOITES DE PHARMACIE GARNIES, POUR SOINS DE PREMIERE URGENCE")</f>
        <v xml:space="preserve">   TROUSSES ET BOITES DE PHARMACIE GARNIES, POUR SOINS DE PREMIERE URGENCE</v>
      </c>
      <c r="C7165" s="4">
        <v>1000</v>
      </c>
      <c r="D7165" s="4">
        <v>272879</v>
      </c>
    </row>
    <row r="7166" spans="1:4" x14ac:dyDescent="0.25">
      <c r="A7166" t="str">
        <f>T("   320419")</f>
        <v xml:space="preserve">   320419</v>
      </c>
      <c r="B7166" t="str">
        <f>T("   AUTRES, Y COMPRIS LES MELANGES DE MATIERES COLORANTES D'AU MOINS DEUX DES N°S 3204.1")</f>
        <v xml:space="preserve">   AUTRES, Y COMPRIS LES MELANGES DE MATIERES COLORANTES D'AU MOINS DEUX DES N°S 3204.1</v>
      </c>
      <c r="C7166" s="4">
        <v>34770</v>
      </c>
      <c r="D7166" s="4">
        <v>36893113</v>
      </c>
    </row>
    <row r="7167" spans="1:4" x14ac:dyDescent="0.25">
      <c r="A7167" t="str">
        <f>T("   320420")</f>
        <v xml:space="preserve">   320420</v>
      </c>
      <c r="B7167" t="str">
        <f>T("   PRODUITS ORGANIQUES SYNTHETIQUES DES TYPES UTILISES COMME AGENTS D'AVIVAGE FLUORESCEN")</f>
        <v xml:space="preserve">   PRODUITS ORGANIQUES SYNTHETIQUES DES TYPES UTILISES COMME AGENTS D'AVIVAGE FLUORESCEN</v>
      </c>
      <c r="C7167" s="4">
        <v>800</v>
      </c>
      <c r="D7167" s="4">
        <v>6275569</v>
      </c>
    </row>
    <row r="7168" spans="1:4" x14ac:dyDescent="0.25">
      <c r="A7168" t="str">
        <f>T("   320490")</f>
        <v xml:space="preserve">   320490</v>
      </c>
      <c r="B7168" t="str">
        <f>T("   AUTRES")</f>
        <v xml:space="preserve">   AUTRES</v>
      </c>
      <c r="C7168" s="4">
        <v>12050</v>
      </c>
      <c r="D7168" s="4">
        <v>28958418</v>
      </c>
    </row>
    <row r="7169" spans="1:4" x14ac:dyDescent="0.25">
      <c r="A7169" t="str">
        <f>T("   320611")</f>
        <v xml:space="preserve">   320611</v>
      </c>
      <c r="B7169" t="str">
        <f>T("   CONTENANT EN POIDS 80 % OU PLUS DE DIOXYDE DE TITANE, CALCULE SUR MATIERE SECHE")</f>
        <v xml:space="preserve">   CONTENANT EN POIDS 80 % OU PLUS DE DIOXYDE DE TITANE, CALCULE SUR MATIERE SECHE</v>
      </c>
      <c r="C7169" s="4">
        <v>20700</v>
      </c>
      <c r="D7169" s="4">
        <v>22340030</v>
      </c>
    </row>
    <row r="7170" spans="1:4" x14ac:dyDescent="0.25">
      <c r="A7170" t="str">
        <f>T("   320620")</f>
        <v xml:space="preserve">   320620</v>
      </c>
      <c r="B7170" t="str">
        <f>T("   PIGMENTS ET PREPARATIONS A BASE DE COMPOSES DU CHROME")</f>
        <v xml:space="preserve">   PIGMENTS ET PREPARATIONS A BASE DE COMPOSES DU CHROME</v>
      </c>
      <c r="C7170" s="4">
        <v>550</v>
      </c>
      <c r="D7170" s="4">
        <v>2655418</v>
      </c>
    </row>
    <row r="7171" spans="1:4" x14ac:dyDescent="0.25">
      <c r="A7171" t="str">
        <f>T("   320990")</f>
        <v xml:space="preserve">   320990</v>
      </c>
      <c r="B7171" t="str">
        <f>T("   AUTRES")</f>
        <v xml:space="preserve">   AUTRES</v>
      </c>
      <c r="C7171" s="4">
        <v>404</v>
      </c>
      <c r="D7171" s="4">
        <v>186381</v>
      </c>
    </row>
    <row r="7172" spans="1:4" x14ac:dyDescent="0.25">
      <c r="A7172" t="str">
        <f>T("   321519")</f>
        <v xml:space="preserve">   321519</v>
      </c>
      <c r="B7172" t="str">
        <f>T("   AUTRES")</f>
        <v xml:space="preserve">   AUTRES</v>
      </c>
      <c r="C7172" s="4">
        <v>30</v>
      </c>
      <c r="D7172" s="4">
        <v>265663</v>
      </c>
    </row>
    <row r="7173" spans="1:4" x14ac:dyDescent="0.25">
      <c r="A7173" t="str">
        <f>T("   321590")</f>
        <v xml:space="preserve">   321590</v>
      </c>
      <c r="B7173" t="str">
        <f>T("   AUTRES")</f>
        <v xml:space="preserve">   AUTRES</v>
      </c>
      <c r="C7173" s="4">
        <v>330</v>
      </c>
      <c r="D7173" s="4">
        <v>563752</v>
      </c>
    </row>
    <row r="7174" spans="1:4" x14ac:dyDescent="0.25">
      <c r="A7174" t="str">
        <f>T("   330290")</f>
        <v xml:space="preserve">   330290</v>
      </c>
      <c r="B7174" t="str">
        <f>T("   AUTRES")</f>
        <v xml:space="preserve">   AUTRES</v>
      </c>
      <c r="C7174" s="4">
        <v>440</v>
      </c>
      <c r="D7174" s="4">
        <v>2991834</v>
      </c>
    </row>
    <row r="7175" spans="1:4" x14ac:dyDescent="0.25">
      <c r="A7175" t="str">
        <f>T("   330499")</f>
        <v xml:space="preserve">   330499</v>
      </c>
      <c r="B7175" t="str">
        <f>T("   AUTRES")</f>
        <v xml:space="preserve">   AUTRES</v>
      </c>
      <c r="C7175" s="4">
        <v>41267</v>
      </c>
      <c r="D7175" s="4">
        <v>12572155</v>
      </c>
    </row>
    <row r="7176" spans="1:4" x14ac:dyDescent="0.25">
      <c r="A7176" t="str">
        <f>T("   330610")</f>
        <v xml:space="preserve">   330610</v>
      </c>
      <c r="B7176" t="str">
        <f>T("   Dentifrices")</f>
        <v xml:space="preserve">   Dentifrices</v>
      </c>
      <c r="C7176" s="4">
        <v>329</v>
      </c>
      <c r="D7176" s="4">
        <v>2197808</v>
      </c>
    </row>
    <row r="7177" spans="1:4" x14ac:dyDescent="0.25">
      <c r="A7177" t="str">
        <f>T("   330749")</f>
        <v xml:space="preserve">   330749</v>
      </c>
      <c r="B7177" t="str">
        <f>T("   AUTRES")</f>
        <v xml:space="preserve">   AUTRES</v>
      </c>
      <c r="C7177" s="4">
        <v>20420</v>
      </c>
      <c r="D7177" s="4">
        <v>1787491</v>
      </c>
    </row>
    <row r="7178" spans="1:4" x14ac:dyDescent="0.25">
      <c r="A7178" t="str">
        <f>T("   340111")</f>
        <v xml:space="preserve">   340111</v>
      </c>
      <c r="B7178" t="str">
        <f>T("   DE TOILETTE (Y COMPRIS CEUX A USAGES MEDICAUX)")</f>
        <v xml:space="preserve">   DE TOILETTE (Y COMPRIS CEUX A USAGES MEDICAUX)</v>
      </c>
      <c r="C7178" s="4">
        <v>29</v>
      </c>
      <c r="D7178" s="4">
        <v>259701</v>
      </c>
    </row>
    <row r="7179" spans="1:4" x14ac:dyDescent="0.25">
      <c r="A7179" t="str">
        <f>T("   340220")</f>
        <v xml:space="preserve">   340220</v>
      </c>
      <c r="B7179" t="str">
        <f>T("   PREPARATIONS CONDITIONNEES POUR LA VENTE AU DETAIL")</f>
        <v xml:space="preserve">   PREPARATIONS CONDITIONNEES POUR LA VENTE AU DETAIL</v>
      </c>
      <c r="C7179" s="4">
        <v>350</v>
      </c>
      <c r="D7179" s="4">
        <v>710405</v>
      </c>
    </row>
    <row r="7180" spans="1:4" x14ac:dyDescent="0.25">
      <c r="A7180" t="str">
        <f>T("   340399")</f>
        <v xml:space="preserve">   340399</v>
      </c>
      <c r="B7180" t="str">
        <f>T("   AUTRES")</f>
        <v xml:space="preserve">   AUTRES</v>
      </c>
      <c r="C7180" s="4">
        <v>32525</v>
      </c>
      <c r="D7180" s="4">
        <v>25697132</v>
      </c>
    </row>
    <row r="7181" spans="1:4" x14ac:dyDescent="0.25">
      <c r="A7181" t="str">
        <f>T("   340600")</f>
        <v xml:space="preserve">   340600</v>
      </c>
      <c r="B7181" t="str">
        <f>T("   BOUGIES, CHANDELLES, CIERGES ET ARTICLES SIMILAIRES.")</f>
        <v xml:space="preserve">   BOUGIES, CHANDELLES, CIERGES ET ARTICLES SIMILAIRES.</v>
      </c>
      <c r="C7181" s="4">
        <v>15951</v>
      </c>
      <c r="D7181" s="4">
        <v>8625061</v>
      </c>
    </row>
    <row r="7182" spans="1:4" x14ac:dyDescent="0.25">
      <c r="A7182" t="str">
        <f>T("   350610")</f>
        <v xml:space="preserve">   350610</v>
      </c>
      <c r="B7182" t="str">
        <f>T("   PRODUITS DE TOUTE ESPECE A USAGE DE COLLES OU D'ADHESIFS, CONDITIONNES POUR LA VENTE")</f>
        <v xml:space="preserve">   PRODUITS DE TOUTE ESPECE A USAGE DE COLLES OU D'ADHESIFS, CONDITIONNES POUR LA VENTE</v>
      </c>
      <c r="C7182" s="4">
        <v>42219</v>
      </c>
      <c r="D7182" s="4">
        <v>19575158</v>
      </c>
    </row>
    <row r="7183" spans="1:4" x14ac:dyDescent="0.25">
      <c r="A7183" t="str">
        <f>T("   350699")</f>
        <v xml:space="preserve">   350699</v>
      </c>
      <c r="B7183" t="str">
        <f>T("   AUTRES")</f>
        <v xml:space="preserve">   AUTRES</v>
      </c>
      <c r="C7183" s="4">
        <v>21922</v>
      </c>
      <c r="D7183" s="4">
        <v>10177875</v>
      </c>
    </row>
    <row r="7184" spans="1:4" x14ac:dyDescent="0.25">
      <c r="A7184" t="str">
        <f>T("   380850")</f>
        <v xml:space="preserve">   380850</v>
      </c>
      <c r="B7184" t="str">
        <f>T("   MARCHANDISES MENTIONNEES DANS LA NOTE 1 DE SOUSPOSITIONS DU PRESENT CHAPITRE")</f>
        <v xml:space="preserve">   MARCHANDISES MENTIONNEES DANS LA NOTE 1 DE SOUSPOSITIONS DU PRESENT CHAPITRE</v>
      </c>
      <c r="C7184" s="4">
        <v>17160</v>
      </c>
      <c r="D7184" s="4">
        <v>9416096</v>
      </c>
    </row>
    <row r="7185" spans="1:4" x14ac:dyDescent="0.25">
      <c r="A7185" t="str">
        <f>T("   380899")</f>
        <v xml:space="preserve">   380899</v>
      </c>
      <c r="B7185" t="str">
        <f>T("   AUTRES")</f>
        <v xml:space="preserve">   AUTRES</v>
      </c>
      <c r="C7185" s="4">
        <v>12</v>
      </c>
      <c r="D7185" s="4">
        <v>85400</v>
      </c>
    </row>
    <row r="7186" spans="1:4" x14ac:dyDescent="0.25">
      <c r="A7186" t="str">
        <f>T("   381400")</f>
        <v xml:space="preserve">   381400</v>
      </c>
      <c r="B7186" t="str">
        <f>T("   SOLVANTS ET DILUANTS ORGANIQUES COMPOSITES, NON DENOMMES NI COMPRIS AILLEURS; PREPARATI")</f>
        <v xml:space="preserve">   SOLVANTS ET DILUANTS ORGANIQUES COMPOSITES, NON DENOMMES NI COMPRIS AILLEURS; PREPARATI</v>
      </c>
      <c r="C7186" s="4">
        <v>131249</v>
      </c>
      <c r="D7186" s="4">
        <v>37158910</v>
      </c>
    </row>
    <row r="7187" spans="1:4" x14ac:dyDescent="0.25">
      <c r="A7187" t="str">
        <f>T("   382200")</f>
        <v xml:space="preserve">   382200</v>
      </c>
      <c r="B7187" t="str">
        <f>T("   REACTIFS DE DIAGNOSTIC OU DE LABORATOIRE SUR TOUT SUPPORT ET REACTIFS DE DIAGNOSTIC OU")</f>
        <v xml:space="preserve">   REACTIFS DE DIAGNOSTIC OU DE LABORATOIRE SUR TOUT SUPPORT ET REACTIFS DE DIAGNOSTIC OU</v>
      </c>
      <c r="C7187" s="4">
        <v>88</v>
      </c>
      <c r="D7187" s="4">
        <v>3400339</v>
      </c>
    </row>
    <row r="7188" spans="1:4" x14ac:dyDescent="0.25">
      <c r="A7188" t="str">
        <f>T("   382440")</f>
        <v xml:space="preserve">   382440</v>
      </c>
      <c r="B7188" t="str">
        <f>T("   ADDITIFS PREPARES POUR CIMENTS, MORTIERS OU BETONS")</f>
        <v xml:space="preserve">   ADDITIFS PREPARES POUR CIMENTS, MORTIERS OU BETONS</v>
      </c>
      <c r="C7188" s="4">
        <v>398170</v>
      </c>
      <c r="D7188" s="4">
        <v>258142535</v>
      </c>
    </row>
    <row r="7189" spans="1:4" x14ac:dyDescent="0.25">
      <c r="A7189" t="str">
        <f>T("   382490")</f>
        <v xml:space="preserve">   382490</v>
      </c>
      <c r="B7189" t="str">
        <f>T("   AUTRES")</f>
        <v xml:space="preserve">   AUTRES</v>
      </c>
      <c r="C7189" s="4">
        <v>500</v>
      </c>
      <c r="D7189" s="4">
        <v>701444</v>
      </c>
    </row>
    <row r="7190" spans="1:4" x14ac:dyDescent="0.25">
      <c r="A7190" t="str">
        <f>T("   390190")</f>
        <v xml:space="preserve">   390190</v>
      </c>
      <c r="B7190" t="str">
        <f>T("   AUTRES")</f>
        <v xml:space="preserve">   AUTRES</v>
      </c>
      <c r="C7190" s="4">
        <v>219940</v>
      </c>
      <c r="D7190" s="4">
        <v>77542370</v>
      </c>
    </row>
    <row r="7191" spans="1:4" x14ac:dyDescent="0.25">
      <c r="A7191" t="str">
        <f>T("   390512")</f>
        <v xml:space="preserve">   390512</v>
      </c>
      <c r="B7191" t="str">
        <f>T("   EN DISPERSION AQUEUSE")</f>
        <v xml:space="preserve">   EN DISPERSION AQUEUSE</v>
      </c>
      <c r="C7191" s="4">
        <v>55970</v>
      </c>
      <c r="D7191" s="4">
        <v>41925590</v>
      </c>
    </row>
    <row r="7192" spans="1:4" x14ac:dyDescent="0.25">
      <c r="A7192" t="str">
        <f>T("   390521")</f>
        <v xml:space="preserve">   390521</v>
      </c>
      <c r="B7192" t="str">
        <f>T("   EN DISPERSION AQUEUSE")</f>
        <v xml:space="preserve">   EN DISPERSION AQUEUSE</v>
      </c>
      <c r="C7192" s="4">
        <v>23192</v>
      </c>
      <c r="D7192" s="4">
        <v>20527979</v>
      </c>
    </row>
    <row r="7193" spans="1:4" x14ac:dyDescent="0.25">
      <c r="A7193" t="str">
        <f>T("   390690")</f>
        <v xml:space="preserve">   390690</v>
      </c>
      <c r="B7193" t="str">
        <f>T("   AUTRES")</f>
        <v xml:space="preserve">   AUTRES</v>
      </c>
      <c r="C7193" s="4">
        <v>35100</v>
      </c>
      <c r="D7193" s="4">
        <v>29761041</v>
      </c>
    </row>
    <row r="7194" spans="1:4" x14ac:dyDescent="0.25">
      <c r="A7194" t="str">
        <f>T("   390750")</f>
        <v xml:space="preserve">   390750</v>
      </c>
      <c r="B7194" t="str">
        <f>T("   RESINES ALKYDES")</f>
        <v xml:space="preserve">   RESINES ALKYDES</v>
      </c>
      <c r="C7194" s="4">
        <v>96079</v>
      </c>
      <c r="D7194" s="4">
        <v>83492774</v>
      </c>
    </row>
    <row r="7195" spans="1:4" x14ac:dyDescent="0.25">
      <c r="A7195" t="str">
        <f>T("   390799")</f>
        <v xml:space="preserve">   390799</v>
      </c>
      <c r="B7195" t="str">
        <f>T("   AUTRES")</f>
        <v xml:space="preserve">   AUTRES</v>
      </c>
      <c r="C7195" s="4">
        <v>35505</v>
      </c>
      <c r="D7195" s="4">
        <v>30346677</v>
      </c>
    </row>
    <row r="7196" spans="1:4" x14ac:dyDescent="0.25">
      <c r="A7196" t="str">
        <f>T("   391231")</f>
        <v xml:space="preserve">   391231</v>
      </c>
      <c r="B7196" t="str">
        <f>T("   CARBOXYMETHYLCELLULOSE ET SES SELS")</f>
        <v xml:space="preserve">   CARBOXYMETHYLCELLULOSE ET SES SELS</v>
      </c>
      <c r="C7196" s="4">
        <v>3600</v>
      </c>
      <c r="D7196" s="4">
        <v>14383405</v>
      </c>
    </row>
    <row r="7197" spans="1:4" x14ac:dyDescent="0.25">
      <c r="A7197" t="str">
        <f>T("   391239")</f>
        <v xml:space="preserve">   391239</v>
      </c>
      <c r="B7197" t="str">
        <f>T("   AUTRES")</f>
        <v xml:space="preserve">   AUTRES</v>
      </c>
      <c r="C7197" s="4">
        <v>1700</v>
      </c>
      <c r="D7197" s="4">
        <v>5866067</v>
      </c>
    </row>
    <row r="7198" spans="1:4" x14ac:dyDescent="0.25">
      <c r="A7198" t="str">
        <f>T("   391290")</f>
        <v xml:space="preserve">   391290</v>
      </c>
      <c r="B7198" t="str">
        <f>T("   AUTRES")</f>
        <v xml:space="preserve">   AUTRES</v>
      </c>
      <c r="C7198" s="4">
        <v>780</v>
      </c>
      <c r="D7198" s="4">
        <v>2854673</v>
      </c>
    </row>
    <row r="7199" spans="1:4" x14ac:dyDescent="0.25">
      <c r="A7199" t="str">
        <f>T("   391723")</f>
        <v xml:space="preserve">   391723</v>
      </c>
      <c r="B7199" t="str">
        <f>T("   EN POLYMERES DU CHLORURE DE VINYLE")</f>
        <v xml:space="preserve">   EN POLYMERES DU CHLORURE DE VINYLE</v>
      </c>
      <c r="C7199" s="4">
        <v>217487</v>
      </c>
      <c r="D7199" s="4">
        <v>567699270</v>
      </c>
    </row>
    <row r="7200" spans="1:4" x14ac:dyDescent="0.25">
      <c r="A7200" t="str">
        <f>T("   391739")</f>
        <v xml:space="preserve">   391739</v>
      </c>
      <c r="B7200" t="str">
        <f>T("   AUTRES")</f>
        <v xml:space="preserve">   AUTRES</v>
      </c>
      <c r="C7200" s="4">
        <v>70</v>
      </c>
      <c r="D7200" s="4">
        <v>229586</v>
      </c>
    </row>
    <row r="7201" spans="1:4" x14ac:dyDescent="0.25">
      <c r="A7201" t="str">
        <f>T("   392049")</f>
        <v xml:space="preserve">   392049</v>
      </c>
      <c r="B7201" t="str">
        <f>T("   AUTRES")</f>
        <v xml:space="preserve">   AUTRES</v>
      </c>
      <c r="C7201" s="4">
        <v>4394</v>
      </c>
      <c r="D7201" s="4">
        <v>9294298</v>
      </c>
    </row>
    <row r="7202" spans="1:4" x14ac:dyDescent="0.25">
      <c r="A7202" t="str">
        <f>T("   392290")</f>
        <v xml:space="preserve">   392290</v>
      </c>
      <c r="B7202" t="str">
        <f>T("   AUTRES")</f>
        <v xml:space="preserve">   AUTRES</v>
      </c>
      <c r="C7202" s="4">
        <v>1100</v>
      </c>
      <c r="D7202" s="4">
        <v>2045618</v>
      </c>
    </row>
    <row r="7203" spans="1:4" x14ac:dyDescent="0.25">
      <c r="A7203" t="str">
        <f>T("   392310")</f>
        <v xml:space="preserve">   392310</v>
      </c>
      <c r="B7203" t="str">
        <f>T("   BOITES, CAISSES, CASIERS ET ARTICLES SIMILAIRES")</f>
        <v xml:space="preserve">   BOITES, CAISSES, CASIERS ET ARTICLES SIMILAIRES</v>
      </c>
      <c r="C7203" s="4">
        <v>43880</v>
      </c>
      <c r="D7203" s="4">
        <v>43552368</v>
      </c>
    </row>
    <row r="7204" spans="1:4" x14ac:dyDescent="0.25">
      <c r="A7204" t="str">
        <f>T("   392329")</f>
        <v xml:space="preserve">   392329</v>
      </c>
      <c r="B7204" t="str">
        <f>T("   EN AUTRES MATIERES PLASTIQUES")</f>
        <v xml:space="preserve">   EN AUTRES MATIERES PLASTIQUES</v>
      </c>
      <c r="C7204" s="4">
        <v>8824</v>
      </c>
      <c r="D7204" s="4">
        <v>19316775</v>
      </c>
    </row>
    <row r="7205" spans="1:4" x14ac:dyDescent="0.25">
      <c r="A7205" t="str">
        <f>T("   392330")</f>
        <v xml:space="preserve">   392330</v>
      </c>
      <c r="B7205" t="str">
        <f>T("   BONBONNES, BOUTEILLES, FLACONS ET ARTICLES SIMILAIRES")</f>
        <v xml:space="preserve">   BONBONNES, BOUTEILLES, FLACONS ET ARTICLES SIMILAIRES</v>
      </c>
      <c r="C7205" s="4">
        <v>32682</v>
      </c>
      <c r="D7205" s="4">
        <v>71783014</v>
      </c>
    </row>
    <row r="7206" spans="1:4" x14ac:dyDescent="0.25">
      <c r="A7206" t="str">
        <f>T("   392350")</f>
        <v xml:space="preserve">   392350</v>
      </c>
      <c r="B7206" t="str">
        <f>T("   BOUCHONS, COUVERCLES, CAPSULES ET AUTRES DISPOSITIFS DE FERMETURE")</f>
        <v xml:space="preserve">   BOUCHONS, COUVERCLES, CAPSULES ET AUTRES DISPOSITIFS DE FERMETURE</v>
      </c>
      <c r="C7206" s="4">
        <v>85.8</v>
      </c>
      <c r="D7206" s="4">
        <v>153286</v>
      </c>
    </row>
    <row r="7207" spans="1:4" x14ac:dyDescent="0.25">
      <c r="A7207" t="str">
        <f>T("   392390")</f>
        <v xml:space="preserve">   392390</v>
      </c>
      <c r="B7207" t="str">
        <f>T("   AUTRES")</f>
        <v xml:space="preserve">   AUTRES</v>
      </c>
      <c r="C7207" s="4">
        <v>1125</v>
      </c>
      <c r="D7207" s="4">
        <v>671704</v>
      </c>
    </row>
    <row r="7208" spans="1:4" x14ac:dyDescent="0.25">
      <c r="A7208" t="str">
        <f>T("   392410")</f>
        <v xml:space="preserve">   392410</v>
      </c>
      <c r="B7208" t="str">
        <f>T("   VAISSELLE ET AUTRES ARTICLES POUR LE SERVICE DE LA TABLE OU DE LA CUISINE")</f>
        <v xml:space="preserve">   VAISSELLE ET AUTRES ARTICLES POUR LE SERVICE DE LA TABLE OU DE LA CUISINE</v>
      </c>
      <c r="C7208" s="4">
        <v>11710</v>
      </c>
      <c r="D7208" s="4">
        <v>6483383</v>
      </c>
    </row>
    <row r="7209" spans="1:4" x14ac:dyDescent="0.25">
      <c r="A7209" t="str">
        <f>T("   392490")</f>
        <v xml:space="preserve">   392490</v>
      </c>
      <c r="B7209" t="str">
        <f>T("   AUTRES")</f>
        <v xml:space="preserve">   AUTRES</v>
      </c>
      <c r="C7209" s="4">
        <v>12220</v>
      </c>
      <c r="D7209" s="4">
        <v>20410183</v>
      </c>
    </row>
    <row r="7210" spans="1:4" x14ac:dyDescent="0.25">
      <c r="A7210" t="str">
        <f>T("   392610")</f>
        <v xml:space="preserve">   392610</v>
      </c>
      <c r="B7210" t="str">
        <f>T("   ARTICLES DE BUREAU ET ARTICLES SCOLAIRES")</f>
        <v xml:space="preserve">   ARTICLES DE BUREAU ET ARTICLES SCOLAIRES</v>
      </c>
      <c r="C7210" s="4">
        <v>176</v>
      </c>
      <c r="D7210" s="4">
        <v>122009</v>
      </c>
    </row>
    <row r="7211" spans="1:4" x14ac:dyDescent="0.25">
      <c r="A7211" t="str">
        <f>T("   392620")</f>
        <v xml:space="preserve">   392620</v>
      </c>
      <c r="B7211" t="str">
        <f>T("   VETEMENTS ET ACCESSOIRES DU VETEMENT (Y COMPRIS LES GANTS, MITAINES ET MOUFLES)")</f>
        <v xml:space="preserve">   VETEMENTS ET ACCESSOIRES DU VETEMENT (Y COMPRIS LES GANTS, MITAINES ET MOUFLES)</v>
      </c>
      <c r="C7211" s="4">
        <v>350</v>
      </c>
      <c r="D7211" s="4">
        <v>557566</v>
      </c>
    </row>
    <row r="7212" spans="1:4" x14ac:dyDescent="0.25">
      <c r="A7212" t="str">
        <f>T("   392690")</f>
        <v xml:space="preserve">   392690</v>
      </c>
      <c r="B7212" t="str">
        <f>T("   AUTRES")</f>
        <v xml:space="preserve">   AUTRES</v>
      </c>
      <c r="C7212" s="4">
        <v>35233</v>
      </c>
      <c r="D7212" s="4">
        <v>19153628</v>
      </c>
    </row>
    <row r="7213" spans="1:4" x14ac:dyDescent="0.25">
      <c r="A7213" t="str">
        <f>T("   400911")</f>
        <v xml:space="preserve">   400911</v>
      </c>
      <c r="B7213" t="str">
        <f>T("   SANS ACCESSOIRES")</f>
        <v xml:space="preserve">   SANS ACCESSOIRES</v>
      </c>
      <c r="C7213" s="4">
        <v>6642</v>
      </c>
      <c r="D7213" s="4">
        <v>20366567</v>
      </c>
    </row>
    <row r="7214" spans="1:4" x14ac:dyDescent="0.25">
      <c r="A7214" t="str">
        <f>T("   400942")</f>
        <v xml:space="preserve">   400942</v>
      </c>
      <c r="B7214" t="str">
        <f>T("   AVEC ACCESSOIRES")</f>
        <v xml:space="preserve">   AVEC ACCESSOIRES</v>
      </c>
      <c r="C7214" s="4">
        <v>1344</v>
      </c>
      <c r="D7214" s="4">
        <v>2519818</v>
      </c>
    </row>
    <row r="7215" spans="1:4" x14ac:dyDescent="0.25">
      <c r="A7215" t="str">
        <f>T("   401019")</f>
        <v xml:space="preserve">   401019</v>
      </c>
      <c r="B7215" t="str">
        <f>T("   AUTRES")</f>
        <v xml:space="preserve">   AUTRES</v>
      </c>
      <c r="C7215" s="4">
        <v>3</v>
      </c>
      <c r="D7215" s="4">
        <v>72156</v>
      </c>
    </row>
    <row r="7216" spans="1:4" x14ac:dyDescent="0.25">
      <c r="A7216" t="str">
        <f>T("   401039")</f>
        <v xml:space="preserve">   401039</v>
      </c>
      <c r="B7216" t="str">
        <f>T("   AUTRES")</f>
        <v xml:space="preserve">   AUTRES</v>
      </c>
      <c r="C7216" s="4">
        <v>2.5</v>
      </c>
      <c r="D7216" s="4">
        <v>826431</v>
      </c>
    </row>
    <row r="7217" spans="1:4" x14ac:dyDescent="0.25">
      <c r="A7217" t="str">
        <f>T("   401120")</f>
        <v xml:space="preserve">   401120</v>
      </c>
      <c r="B7217" t="str">
        <f>T("   DES TYPES UTILISES POUR AUTOBUS OU CAMIONS")</f>
        <v xml:space="preserve">   DES TYPES UTILISES POUR AUTOBUS OU CAMIONS</v>
      </c>
      <c r="C7217" s="4">
        <v>1214</v>
      </c>
      <c r="D7217" s="4">
        <v>665000</v>
      </c>
    </row>
    <row r="7218" spans="1:4" x14ac:dyDescent="0.25">
      <c r="A7218" t="str">
        <f>T("   401212")</f>
        <v xml:space="preserve">   401212</v>
      </c>
      <c r="B7218" t="str">
        <f>T("   DES TYPES UTILISES POUR AUTOBUS OU CAMIONS")</f>
        <v xml:space="preserve">   DES TYPES UTILISES POUR AUTOBUS OU CAMIONS</v>
      </c>
      <c r="C7218" s="4">
        <v>7700</v>
      </c>
      <c r="D7218" s="4">
        <v>6434627</v>
      </c>
    </row>
    <row r="7219" spans="1:4" x14ac:dyDescent="0.25">
      <c r="A7219" t="str">
        <f>T("   401219")</f>
        <v xml:space="preserve">   401219</v>
      </c>
      <c r="B7219" t="str">
        <f>T("   AUTRES")</f>
        <v xml:space="preserve">   AUTRES</v>
      </c>
      <c r="C7219" s="4">
        <v>1235</v>
      </c>
      <c r="D7219" s="4">
        <v>135000</v>
      </c>
    </row>
    <row r="7220" spans="1:4" x14ac:dyDescent="0.25">
      <c r="A7220" t="str">
        <f>T("   401220")</f>
        <v xml:space="preserve">   401220</v>
      </c>
      <c r="B7220" t="str">
        <f>T("   PNEUMATIQUES USAGES")</f>
        <v xml:space="preserve">   PNEUMATIQUES USAGES</v>
      </c>
      <c r="C7220" s="4">
        <v>41824</v>
      </c>
      <c r="D7220" s="4">
        <v>14579293</v>
      </c>
    </row>
    <row r="7221" spans="1:4" x14ac:dyDescent="0.25">
      <c r="A7221" t="str">
        <f>T("   401310")</f>
        <v xml:space="preserve">   401310</v>
      </c>
      <c r="B7221" t="str">
        <f>T("   DES TYPES UTILISES POUR LES VOITURES DE TOURISME (Y COMPRIS LES VOITURES DU TYPE «BRE")</f>
        <v xml:space="preserve">   DES TYPES UTILISES POUR LES VOITURES DE TOURISME (Y COMPRIS LES VOITURES DU TYPE «BRE</v>
      </c>
      <c r="C7221" s="4">
        <v>626</v>
      </c>
      <c r="D7221" s="4">
        <v>215155</v>
      </c>
    </row>
    <row r="7222" spans="1:4" x14ac:dyDescent="0.25">
      <c r="A7222" t="str">
        <f>T("   401511")</f>
        <v xml:space="preserve">   401511</v>
      </c>
      <c r="B7222" t="str">
        <f>T("   POUR CHIRURGIE")</f>
        <v xml:space="preserve">   POUR CHIRURGIE</v>
      </c>
      <c r="C7222" s="4">
        <v>1650</v>
      </c>
      <c r="D7222" s="4">
        <v>865035</v>
      </c>
    </row>
    <row r="7223" spans="1:4" x14ac:dyDescent="0.25">
      <c r="A7223" t="str">
        <f>T("   420229")</f>
        <v xml:space="preserve">   420229</v>
      </c>
      <c r="B7223" t="str">
        <f>T("   AUTRES")</f>
        <v xml:space="preserve">   AUTRES</v>
      </c>
      <c r="C7223" s="4">
        <v>338</v>
      </c>
      <c r="D7223" s="4">
        <v>403774</v>
      </c>
    </row>
    <row r="7224" spans="1:4" x14ac:dyDescent="0.25">
      <c r="A7224" t="str">
        <f>T("   441090")</f>
        <v xml:space="preserve">   441090</v>
      </c>
      <c r="B7224" t="str">
        <f>T("   AUTRES")</f>
        <v xml:space="preserve">   AUTRES</v>
      </c>
      <c r="C7224" s="4">
        <v>59740</v>
      </c>
      <c r="D7224" s="4">
        <v>54269290</v>
      </c>
    </row>
    <row r="7225" spans="1:4" x14ac:dyDescent="0.25">
      <c r="A7225" t="str">
        <f>T("   441700")</f>
        <v xml:space="preserve">   441700</v>
      </c>
      <c r="B7225" t="str">
        <f>T("   OUTILS, MONTURES ET MANCHES D'OUTILS, MONTURES DE BROSSES, MANCHES DE BALAIS OU DE BROS")</f>
        <v xml:space="preserve">   OUTILS, MONTURES ET MANCHES D'OUTILS, MONTURES DE BROSSES, MANCHES DE BALAIS OU DE BROS</v>
      </c>
      <c r="C7225" s="4">
        <v>6000</v>
      </c>
      <c r="D7225" s="4">
        <v>4465119</v>
      </c>
    </row>
    <row r="7226" spans="1:4" x14ac:dyDescent="0.25">
      <c r="A7226" t="str">
        <f>T("   441810")</f>
        <v xml:space="preserve">   441810</v>
      </c>
      <c r="B7226" t="str">
        <f>T("   FENETRES, PORTESFENETRES ET LEURS CADRES ET CHAMBRANLES")</f>
        <v xml:space="preserve">   FENETRES, PORTESFENETRES ET LEURS CADRES ET CHAMBRANLES</v>
      </c>
      <c r="C7226" s="4">
        <v>95</v>
      </c>
      <c r="D7226" s="4">
        <v>655380</v>
      </c>
    </row>
    <row r="7227" spans="1:4" x14ac:dyDescent="0.25">
      <c r="A7227" t="str">
        <f>T("   442190")</f>
        <v xml:space="preserve">   442190</v>
      </c>
      <c r="B7227" t="str">
        <f>T("   AUTRES")</f>
        <v xml:space="preserve">   AUTRES</v>
      </c>
      <c r="C7227" s="4">
        <v>2477</v>
      </c>
      <c r="D7227" s="4">
        <v>1139413</v>
      </c>
    </row>
    <row r="7228" spans="1:4" x14ac:dyDescent="0.25">
      <c r="A7228" t="str">
        <f>T("   480257")</f>
        <v xml:space="preserve">   480257</v>
      </c>
      <c r="B7228" t="str">
        <f>T("   AUTRES, D'UN POIDS AU M² DE 40 G OU PLUS MAIS N'EXCEDANT PAS 150 G")</f>
        <v xml:space="preserve">   AUTRES, D'UN POIDS AU M² DE 40 G OU PLUS MAIS N'EXCEDANT PAS 150 G</v>
      </c>
      <c r="C7228" s="4">
        <v>5616</v>
      </c>
      <c r="D7228" s="4">
        <v>3101950</v>
      </c>
    </row>
    <row r="7229" spans="1:4" x14ac:dyDescent="0.25">
      <c r="A7229" t="str">
        <f>T("   480258")</f>
        <v xml:space="preserve">   480258</v>
      </c>
      <c r="B7229" t="str">
        <f>T("   D'UN POIDS AU M² EXCEDANT 150 G")</f>
        <v xml:space="preserve">   D'UN POIDS AU M² EXCEDANT 150 G</v>
      </c>
      <c r="C7229" s="4">
        <v>10781</v>
      </c>
      <c r="D7229" s="4">
        <v>5033221</v>
      </c>
    </row>
    <row r="7230" spans="1:4" x14ac:dyDescent="0.25">
      <c r="A7230" t="str">
        <f>T("   480591")</f>
        <v xml:space="preserve">   480591</v>
      </c>
      <c r="B7230" t="str">
        <f>T("   D'UN POIDS AU M² N'EXCEDANT PAS 150 G")</f>
        <v xml:space="preserve">   D'UN POIDS AU M² N'EXCEDANT PAS 150 G</v>
      </c>
      <c r="C7230" s="4">
        <v>5207</v>
      </c>
      <c r="D7230" s="4">
        <v>3449069</v>
      </c>
    </row>
    <row r="7231" spans="1:4" x14ac:dyDescent="0.25">
      <c r="A7231" t="str">
        <f>T("   480593")</f>
        <v xml:space="preserve">   480593</v>
      </c>
      <c r="B7231" t="str">
        <f>T("   D'UN POIDS AU M² EGAL OU SUPERIEUR A 225 G")</f>
        <v xml:space="preserve">   D'UN POIDS AU M² EGAL OU SUPERIEUR A 225 G</v>
      </c>
      <c r="C7231" s="4">
        <v>12477</v>
      </c>
      <c r="D7231" s="4">
        <v>7247945</v>
      </c>
    </row>
    <row r="7232" spans="1:4" x14ac:dyDescent="0.25">
      <c r="A7232" t="str">
        <f>T("   481029")</f>
        <v xml:space="preserve">   481029</v>
      </c>
      <c r="B7232" t="str">
        <f>T("   AUTRES")</f>
        <v xml:space="preserve">   AUTRES</v>
      </c>
      <c r="C7232" s="4">
        <v>264</v>
      </c>
      <c r="D7232" s="4">
        <v>259104</v>
      </c>
    </row>
    <row r="7233" spans="1:4" x14ac:dyDescent="0.25">
      <c r="A7233" t="str">
        <f>T("   481810")</f>
        <v xml:space="preserve">   481810</v>
      </c>
      <c r="B7233" t="str">
        <f>T("   Papier hygienique")</f>
        <v xml:space="preserve">   Papier hygienique</v>
      </c>
      <c r="C7233" s="4">
        <v>206367</v>
      </c>
      <c r="D7233" s="4">
        <v>101156036</v>
      </c>
    </row>
    <row r="7234" spans="1:4" x14ac:dyDescent="0.25">
      <c r="A7234" t="str">
        <f>T("   481820")</f>
        <v xml:space="preserve">   481820</v>
      </c>
      <c r="B7234" t="str">
        <f>T("   MOUCHOIRS, SERVIETTES A DEMAQUILLER ET ESSUIEMAINS")</f>
        <v xml:space="preserve">   MOUCHOIRS, SERVIETTES A DEMAQUILLER ET ESSUIEMAINS</v>
      </c>
      <c r="C7234" s="4">
        <v>12109</v>
      </c>
      <c r="D7234" s="4">
        <v>8738548</v>
      </c>
    </row>
    <row r="7235" spans="1:4" x14ac:dyDescent="0.25">
      <c r="A7235" t="str">
        <f>T("   481840")</f>
        <v xml:space="preserve">   481840</v>
      </c>
      <c r="B7235" t="str">
        <f>T("   SERVIETTES,TAMPONS HYGIENIQUES,COUCHES POUR BEBES ET SIMILAIRES EN PAPIER")</f>
        <v xml:space="preserve">   SERVIETTES,TAMPONS HYGIENIQUES,COUCHES POUR BEBES ET SIMILAIRES EN PAPIER</v>
      </c>
      <c r="C7235" s="4">
        <v>945</v>
      </c>
      <c r="D7235" s="4">
        <v>114793</v>
      </c>
    </row>
    <row r="7236" spans="1:4" x14ac:dyDescent="0.25">
      <c r="A7236" t="str">
        <f>T("   481890")</f>
        <v xml:space="preserve">   481890</v>
      </c>
      <c r="B7236" t="str">
        <f>T("   AUTRES")</f>
        <v xml:space="preserve">   AUTRES</v>
      </c>
      <c r="C7236" s="4">
        <v>101</v>
      </c>
      <c r="D7236" s="4">
        <v>471793</v>
      </c>
    </row>
    <row r="7237" spans="1:4" x14ac:dyDescent="0.25">
      <c r="A7237" t="str">
        <f>T("   481910")</f>
        <v xml:space="preserve">   481910</v>
      </c>
      <c r="B7237" t="str">
        <f>T("   BOITES ET CAISSES EN PAPIER OU CARTON ONDULE")</f>
        <v xml:space="preserve">   BOITES ET CAISSES EN PAPIER OU CARTON ONDULE</v>
      </c>
      <c r="C7237" s="4">
        <v>70144</v>
      </c>
      <c r="D7237" s="4">
        <v>39774259</v>
      </c>
    </row>
    <row r="7238" spans="1:4" x14ac:dyDescent="0.25">
      <c r="A7238" t="str">
        <f>T("   481950")</f>
        <v xml:space="preserve">   481950</v>
      </c>
      <c r="B7238" t="str">
        <f>T("   AUTRES EMBALLAGES, Y COMPRIS LES POCHETTES POUR DISQUES")</f>
        <v xml:space="preserve">   AUTRES EMBALLAGES, Y COMPRIS LES POCHETTES POUR DISQUES</v>
      </c>
      <c r="C7238" s="4">
        <v>4053</v>
      </c>
      <c r="D7238" s="4">
        <v>2874181</v>
      </c>
    </row>
    <row r="7239" spans="1:4" x14ac:dyDescent="0.25">
      <c r="A7239" t="str">
        <f>T("   482010")</f>
        <v xml:space="preserve">   482010</v>
      </c>
      <c r="B7239" t="str">
        <f>T("   REGISTRES, LIVRES COMPTABLES, CARNETS (DE NOTES, DE COMMANDES, DE QUITTANCES), BLOCS")</f>
        <v xml:space="preserve">   REGISTRES, LIVRES COMPTABLES, CARNETS (DE NOTES, DE COMMANDES, DE QUITTANCES), BLOCS</v>
      </c>
      <c r="C7239" s="4">
        <v>30</v>
      </c>
      <c r="D7239" s="4">
        <v>39358</v>
      </c>
    </row>
    <row r="7240" spans="1:4" x14ac:dyDescent="0.25">
      <c r="A7240" t="str">
        <f>T("   482030")</f>
        <v xml:space="preserve">   482030</v>
      </c>
      <c r="B7240" t="str">
        <f>T("   CLASSEURS, RELIURES (AUTRES QUE LES COUVERTURES POUR LIVRES), CHEMISES ET COUVERTURES")</f>
        <v xml:space="preserve">   CLASSEURS, RELIURES (AUTRES QUE LES COUVERTURES POUR LIVRES), CHEMISES ET COUVERTURES</v>
      </c>
      <c r="C7240" s="4">
        <v>100</v>
      </c>
      <c r="D7240" s="4">
        <v>268944</v>
      </c>
    </row>
    <row r="7241" spans="1:4" x14ac:dyDescent="0.25">
      <c r="A7241" t="str">
        <f>T("   482090")</f>
        <v xml:space="preserve">   482090</v>
      </c>
      <c r="B7241" t="str">
        <f>T("   AUTRES")</f>
        <v xml:space="preserve">   AUTRES</v>
      </c>
      <c r="C7241" s="4">
        <v>10108</v>
      </c>
      <c r="D7241" s="4">
        <v>6704036</v>
      </c>
    </row>
    <row r="7242" spans="1:4" x14ac:dyDescent="0.25">
      <c r="A7242" t="str">
        <f>T("   490110")</f>
        <v xml:space="preserve">   490110</v>
      </c>
      <c r="B7242" t="str">
        <f>T("   EN FEUILLETS ISOLES, MEME PLIES")</f>
        <v xml:space="preserve">   EN FEUILLETS ISOLES, MEME PLIES</v>
      </c>
      <c r="C7242" s="4">
        <v>400</v>
      </c>
      <c r="D7242" s="4">
        <v>66152</v>
      </c>
    </row>
    <row r="7243" spans="1:4" x14ac:dyDescent="0.25">
      <c r="A7243" t="str">
        <f>T("   490199")</f>
        <v xml:space="preserve">   490199</v>
      </c>
      <c r="B7243" t="str">
        <f>T("   AUTRES")</f>
        <v xml:space="preserve">   AUTRES</v>
      </c>
      <c r="C7243" s="4">
        <v>27419</v>
      </c>
      <c r="D7243" s="4">
        <v>70637284</v>
      </c>
    </row>
    <row r="7244" spans="1:4" x14ac:dyDescent="0.25">
      <c r="A7244" t="str">
        <f>T("   491110")</f>
        <v xml:space="preserve">   491110</v>
      </c>
      <c r="B7244" t="str">
        <f>T("   IMPRIMES PUBLICITAIRES, CATALOGUES COMMERCIAUX ET SIMILAIRES")</f>
        <v xml:space="preserve">   IMPRIMES PUBLICITAIRES, CATALOGUES COMMERCIAUX ET SIMILAIRES</v>
      </c>
      <c r="C7244" s="4">
        <v>18</v>
      </c>
      <c r="D7244" s="4">
        <v>75527</v>
      </c>
    </row>
    <row r="7245" spans="1:4" x14ac:dyDescent="0.25">
      <c r="A7245" t="str">
        <f>T("   491191")</f>
        <v xml:space="preserve">   491191</v>
      </c>
      <c r="B7245" t="str">
        <f>T("   IMAGES, GRAVURES ET PHOTOGRAPHIES")</f>
        <v xml:space="preserve">   IMAGES, GRAVURES ET PHOTOGRAPHIES</v>
      </c>
      <c r="C7245" s="4">
        <v>7992</v>
      </c>
      <c r="D7245" s="4">
        <v>4291000</v>
      </c>
    </row>
    <row r="7246" spans="1:4" x14ac:dyDescent="0.25">
      <c r="A7246" t="str">
        <f>T("   491199")</f>
        <v xml:space="preserve">   491199</v>
      </c>
      <c r="B7246" t="str">
        <f>T("   AUTRES")</f>
        <v xml:space="preserve">   AUTRES</v>
      </c>
      <c r="C7246" s="4">
        <v>109</v>
      </c>
      <c r="D7246" s="4">
        <v>57469</v>
      </c>
    </row>
    <row r="7247" spans="1:4" x14ac:dyDescent="0.25">
      <c r="A7247" t="str">
        <f>T("   570190")</f>
        <v xml:space="preserve">   570190</v>
      </c>
      <c r="B7247" t="str">
        <f>T("   D'AUTRES MATIERES TEXTILES")</f>
        <v xml:space="preserve">   D'AUTRES MATIERES TEXTILES</v>
      </c>
      <c r="C7247" s="4">
        <v>10000</v>
      </c>
      <c r="D7247" s="4">
        <v>3265000</v>
      </c>
    </row>
    <row r="7248" spans="1:4" x14ac:dyDescent="0.25">
      <c r="A7248" t="str">
        <f>T("   570490")</f>
        <v xml:space="preserve">   570490</v>
      </c>
      <c r="B7248" t="str">
        <f>T("   AUTRES")</f>
        <v xml:space="preserve">   AUTRES</v>
      </c>
      <c r="C7248" s="4">
        <v>17200</v>
      </c>
      <c r="D7248" s="4">
        <v>5470000</v>
      </c>
    </row>
    <row r="7249" spans="1:4" x14ac:dyDescent="0.25">
      <c r="A7249" t="str">
        <f>T("   570500")</f>
        <v xml:space="preserve">   570500</v>
      </c>
      <c r="B7249" t="str">
        <f>T("   AUTRES TAPIS ET REVETEMENTS DE SOL EN MATIERES TEXTILES, MEME CONFECTIONNES.")</f>
        <v xml:space="preserve">   AUTRES TAPIS ET REVETEMENTS DE SOL EN MATIERES TEXTILES, MEME CONFECTIONNES.</v>
      </c>
      <c r="C7249" s="4">
        <v>20050</v>
      </c>
      <c r="D7249" s="4">
        <v>6540000</v>
      </c>
    </row>
    <row r="7250" spans="1:4" x14ac:dyDescent="0.25">
      <c r="A7250" t="str">
        <f>T("   590490")</f>
        <v xml:space="preserve">   590490</v>
      </c>
      <c r="B7250" t="str">
        <f>T("   AUTRES")</f>
        <v xml:space="preserve">   AUTRES</v>
      </c>
      <c r="C7250" s="4">
        <v>17</v>
      </c>
      <c r="D7250" s="4">
        <v>96203</v>
      </c>
    </row>
    <row r="7251" spans="1:4" x14ac:dyDescent="0.25">
      <c r="A7251" t="str">
        <f>T("   590900")</f>
        <v xml:space="preserve">   590900</v>
      </c>
      <c r="B7251" t="str">
        <f>T("   TUYAUX POUR POMPES ET TUYAUX SIMILAIRES, EN MATIERES TEXTILES, MEME AVEC ARMATURES OU A")</f>
        <v xml:space="preserve">   TUYAUX POUR POMPES ET TUYAUX SIMILAIRES, EN MATIERES TEXTILES, MEME AVEC ARMATURES OU A</v>
      </c>
      <c r="C7251" s="4">
        <v>85</v>
      </c>
      <c r="D7251" s="4">
        <v>1979268</v>
      </c>
    </row>
    <row r="7252" spans="1:4" x14ac:dyDescent="0.25">
      <c r="A7252" t="str">
        <f>T("   610329")</f>
        <v xml:space="preserve">   610329</v>
      </c>
      <c r="B7252" t="str">
        <f t="shared" ref="B7252:B7262" si="4">T("   D'AUTRES MATIERES TEXTILES")</f>
        <v xml:space="preserve">   D'AUTRES MATIERES TEXTILES</v>
      </c>
      <c r="C7252" s="4">
        <v>2000</v>
      </c>
      <c r="D7252" s="4">
        <v>1800000</v>
      </c>
    </row>
    <row r="7253" spans="1:4" x14ac:dyDescent="0.25">
      <c r="A7253" t="str">
        <f>T("   610469")</f>
        <v xml:space="preserve">   610469</v>
      </c>
      <c r="B7253" t="str">
        <f t="shared" si="4"/>
        <v xml:space="preserve">   D'AUTRES MATIERES TEXTILES</v>
      </c>
      <c r="C7253" s="4">
        <v>2200</v>
      </c>
      <c r="D7253" s="4">
        <v>650000</v>
      </c>
    </row>
    <row r="7254" spans="1:4" x14ac:dyDescent="0.25">
      <c r="A7254" t="str">
        <f>T("   610590")</f>
        <v xml:space="preserve">   610590</v>
      </c>
      <c r="B7254" t="str">
        <f t="shared" si="4"/>
        <v xml:space="preserve">   D'AUTRES MATIERES TEXTILES</v>
      </c>
      <c r="C7254" s="4">
        <v>1020</v>
      </c>
      <c r="D7254" s="4">
        <v>336373</v>
      </c>
    </row>
    <row r="7255" spans="1:4" x14ac:dyDescent="0.25">
      <c r="A7255" t="str">
        <f>T("   610690")</f>
        <v xml:space="preserve">   610690</v>
      </c>
      <c r="B7255" t="str">
        <f t="shared" si="4"/>
        <v xml:space="preserve">   D'AUTRES MATIERES TEXTILES</v>
      </c>
      <c r="C7255" s="4">
        <v>650</v>
      </c>
      <c r="D7255" s="4">
        <v>1023298</v>
      </c>
    </row>
    <row r="7256" spans="1:4" x14ac:dyDescent="0.25">
      <c r="A7256" t="str">
        <f>T("   610799")</f>
        <v xml:space="preserve">   610799</v>
      </c>
      <c r="B7256" t="str">
        <f t="shared" si="4"/>
        <v xml:space="preserve">   D'AUTRES MATIERES TEXTILES</v>
      </c>
      <c r="C7256" s="4">
        <v>500</v>
      </c>
      <c r="D7256" s="4">
        <v>200000</v>
      </c>
    </row>
    <row r="7257" spans="1:4" x14ac:dyDescent="0.25">
      <c r="A7257" t="str">
        <f>T("   611190")</f>
        <v xml:space="preserve">   611190</v>
      </c>
      <c r="B7257" t="str">
        <f t="shared" si="4"/>
        <v xml:space="preserve">   D'AUTRES MATIERES TEXTILES</v>
      </c>
      <c r="C7257" s="4">
        <v>200</v>
      </c>
      <c r="D7257" s="4">
        <v>77312</v>
      </c>
    </row>
    <row r="7258" spans="1:4" x14ac:dyDescent="0.25">
      <c r="A7258" t="str">
        <f>T("   611490")</f>
        <v xml:space="preserve">   611490</v>
      </c>
      <c r="B7258" t="str">
        <f t="shared" si="4"/>
        <v xml:space="preserve">   D'AUTRES MATIERES TEXTILES</v>
      </c>
      <c r="C7258" s="4">
        <v>1526</v>
      </c>
      <c r="D7258" s="4">
        <v>2331490</v>
      </c>
    </row>
    <row r="7259" spans="1:4" x14ac:dyDescent="0.25">
      <c r="A7259" t="str">
        <f>T("   620319")</f>
        <v xml:space="preserve">   620319</v>
      </c>
      <c r="B7259" t="str">
        <f t="shared" si="4"/>
        <v xml:space="preserve">   D'AUTRES MATIERES TEXTILES</v>
      </c>
      <c r="C7259" s="4">
        <v>300</v>
      </c>
      <c r="D7259" s="4">
        <v>99706</v>
      </c>
    </row>
    <row r="7260" spans="1:4" x14ac:dyDescent="0.25">
      <c r="A7260" t="str">
        <f>T("   620329")</f>
        <v xml:space="preserve">   620329</v>
      </c>
      <c r="B7260" t="str">
        <f t="shared" si="4"/>
        <v xml:space="preserve">   D'AUTRES MATIERES TEXTILES</v>
      </c>
      <c r="C7260" s="4">
        <v>4770</v>
      </c>
      <c r="D7260" s="4">
        <v>491540</v>
      </c>
    </row>
    <row r="7261" spans="1:4" x14ac:dyDescent="0.25">
      <c r="A7261" t="str">
        <f>T("   620469")</f>
        <v xml:space="preserve">   620469</v>
      </c>
      <c r="B7261" t="str">
        <f t="shared" si="4"/>
        <v xml:space="preserve">   D'AUTRES MATIERES TEXTILES</v>
      </c>
      <c r="C7261" s="4">
        <v>30</v>
      </c>
      <c r="D7261" s="4">
        <v>100000</v>
      </c>
    </row>
    <row r="7262" spans="1:4" x14ac:dyDescent="0.25">
      <c r="A7262" t="str">
        <f>T("   620590")</f>
        <v xml:space="preserve">   620590</v>
      </c>
      <c r="B7262" t="str">
        <f t="shared" si="4"/>
        <v xml:space="preserve">   D'AUTRES MATIERES TEXTILES</v>
      </c>
      <c r="C7262" s="4">
        <v>13024</v>
      </c>
      <c r="D7262" s="4">
        <v>7926254</v>
      </c>
    </row>
    <row r="7263" spans="1:4" x14ac:dyDescent="0.25">
      <c r="A7263" t="str">
        <f>T("   621010")</f>
        <v xml:space="preserve">   621010</v>
      </c>
      <c r="B7263" t="str">
        <f>T("   EN PRODUITS DES N°S 56.02 OU 56.03")</f>
        <v xml:space="preserve">   EN PRODUITS DES N°S 56.02 OU 56.03</v>
      </c>
      <c r="C7263" s="4">
        <v>214</v>
      </c>
      <c r="D7263" s="4">
        <v>595000</v>
      </c>
    </row>
    <row r="7264" spans="1:4" x14ac:dyDescent="0.25">
      <c r="A7264" t="str">
        <f>T("   621020")</f>
        <v xml:space="preserve">   621020</v>
      </c>
      <c r="B7264" t="str">
        <f>T("   AUTRES VETEMENTS, DES TYPES VISES DANS LES N°S 6201.11 A 6201.19")</f>
        <v xml:space="preserve">   AUTRES VETEMENTS, DES TYPES VISES DANS LES N°S 6201.11 A 6201.19</v>
      </c>
      <c r="C7264" s="4">
        <v>701</v>
      </c>
      <c r="D7264" s="4">
        <v>1348119</v>
      </c>
    </row>
    <row r="7265" spans="1:4" x14ac:dyDescent="0.25">
      <c r="A7265" t="str">
        <f>T("   621040")</f>
        <v xml:space="preserve">   621040</v>
      </c>
      <c r="B7265" t="str">
        <f>T("   AUTRES VETEMENTS POUR HOMMES OU GARCONNETS")</f>
        <v xml:space="preserve">   AUTRES VETEMENTS POUR HOMMES OU GARCONNETS</v>
      </c>
      <c r="C7265" s="4">
        <v>12312</v>
      </c>
      <c r="D7265" s="4">
        <v>4258235</v>
      </c>
    </row>
    <row r="7266" spans="1:4" x14ac:dyDescent="0.25">
      <c r="A7266" t="str">
        <f>T("   621220")</f>
        <v xml:space="preserve">   621220</v>
      </c>
      <c r="B7266" t="str">
        <f>T("   GAINES ET GAINESCULOTTES")</f>
        <v xml:space="preserve">   GAINES ET GAINESCULOTTES</v>
      </c>
      <c r="C7266" s="4">
        <v>23</v>
      </c>
      <c r="D7266" s="4">
        <v>156545</v>
      </c>
    </row>
    <row r="7267" spans="1:4" x14ac:dyDescent="0.25">
      <c r="A7267" t="str">
        <f>T("   630319")</f>
        <v xml:space="preserve">   630319</v>
      </c>
      <c r="B7267" t="str">
        <f>T("   D'AUTRES MATIERES TEXTILES")</f>
        <v xml:space="preserve">   D'AUTRES MATIERES TEXTILES</v>
      </c>
      <c r="C7267" s="4">
        <v>40</v>
      </c>
      <c r="D7267" s="4">
        <v>30000</v>
      </c>
    </row>
    <row r="7268" spans="1:4" x14ac:dyDescent="0.25">
      <c r="A7268" t="str">
        <f>T("   630640")</f>
        <v xml:space="preserve">   630640</v>
      </c>
      <c r="B7268" t="str">
        <f>T("   MATELAS PNEUMATIQUES")</f>
        <v xml:space="preserve">   MATELAS PNEUMATIQUES</v>
      </c>
      <c r="C7268" s="4">
        <v>4500</v>
      </c>
      <c r="D7268" s="4">
        <v>6554352</v>
      </c>
    </row>
    <row r="7269" spans="1:4" x14ac:dyDescent="0.25">
      <c r="A7269" t="str">
        <f>T("   630649")</f>
        <v xml:space="preserve">   630649</v>
      </c>
      <c r="B7269" t="str">
        <f>T("   MATELAS PNEUMATIQUES D'AUTRES MATIERES TEXTILES")</f>
        <v xml:space="preserve">   MATELAS PNEUMATIQUES D'AUTRES MATIERES TEXTILES</v>
      </c>
      <c r="C7269" s="4">
        <v>4997</v>
      </c>
      <c r="D7269" s="4">
        <v>1693103</v>
      </c>
    </row>
    <row r="7270" spans="1:4" x14ac:dyDescent="0.25">
      <c r="A7270" t="str">
        <f>T("   630699")</f>
        <v xml:space="preserve">   630699</v>
      </c>
      <c r="B7270" t="str">
        <f>T("   AUTRES ARTICLES DU 63.06 D'AUTRES MATIERES TEXTILES")</f>
        <v xml:space="preserve">   AUTRES ARTICLES DU 63.06 D'AUTRES MATIERES TEXTILES</v>
      </c>
      <c r="C7270" s="4">
        <v>3500</v>
      </c>
      <c r="D7270" s="4">
        <v>2898812</v>
      </c>
    </row>
    <row r="7271" spans="1:4" x14ac:dyDescent="0.25">
      <c r="A7271" t="str">
        <f>T("   630710")</f>
        <v xml:space="preserve">   630710</v>
      </c>
      <c r="B7271" t="str">
        <f>T("   SERPILLIERES OU WASSINGUES, LAVETTES, CHAMOISETTES ET ARTICLES D'ENTRETIEN SIMILAIRES")</f>
        <v xml:space="preserve">   SERPILLIERES OU WASSINGUES, LAVETTES, CHAMOISETTES ET ARTICLES D'ENTRETIEN SIMILAIRES</v>
      </c>
      <c r="C7271" s="4">
        <v>2709</v>
      </c>
      <c r="D7271" s="4">
        <v>6557633</v>
      </c>
    </row>
    <row r="7272" spans="1:4" x14ac:dyDescent="0.25">
      <c r="A7272" t="str">
        <f>T("   630790")</f>
        <v xml:space="preserve">   630790</v>
      </c>
      <c r="B7272" t="str">
        <f>T("   AUTRES")</f>
        <v xml:space="preserve">   AUTRES</v>
      </c>
      <c r="C7272" s="4">
        <v>77</v>
      </c>
      <c r="D7272" s="4">
        <v>581194</v>
      </c>
    </row>
    <row r="7273" spans="1:4" x14ac:dyDescent="0.25">
      <c r="A7273" t="str">
        <f>T("   630900")</f>
        <v xml:space="preserve">   630900</v>
      </c>
      <c r="B7273" t="str">
        <f>T("   ARTICLES DE FRIPERIE.")</f>
        <v xml:space="preserve">   ARTICLES DE FRIPERIE.</v>
      </c>
      <c r="C7273" s="4">
        <v>231668</v>
      </c>
      <c r="D7273" s="4">
        <v>111943497</v>
      </c>
    </row>
    <row r="7274" spans="1:4" x14ac:dyDescent="0.25">
      <c r="A7274" t="str">
        <f>T("   640110")</f>
        <v xml:space="preserve">   640110</v>
      </c>
      <c r="B7274" t="str">
        <f>T("   CHAUSSURES COMPORTANT, A L'AVANT, UNE COQUILLE DE PROTECTION EN METAL")</f>
        <v xml:space="preserve">   CHAUSSURES COMPORTANT, A L'AVANT, UNE COQUILLE DE PROTECTION EN METAL</v>
      </c>
      <c r="C7274" s="4">
        <v>24</v>
      </c>
      <c r="D7274" s="4">
        <v>72000</v>
      </c>
    </row>
    <row r="7275" spans="1:4" x14ac:dyDescent="0.25">
      <c r="A7275" t="str">
        <f>T("   640299")</f>
        <v xml:space="preserve">   640299</v>
      </c>
      <c r="B7275" t="str">
        <f>T("   AUTRES")</f>
        <v xml:space="preserve">   AUTRES</v>
      </c>
      <c r="C7275" s="4">
        <v>8007</v>
      </c>
      <c r="D7275" s="4">
        <v>5418230</v>
      </c>
    </row>
    <row r="7276" spans="1:4" x14ac:dyDescent="0.25">
      <c r="A7276" t="str">
        <f>T("   640320")</f>
        <v xml:space="preserve">   640320</v>
      </c>
      <c r="B7276" t="str">
        <f>T("   CHAUSSURES A SEMELLES EXTERIEURES EN CUIR NATUREL ET DESSUS CONSTITUES PAR DES LANIER")</f>
        <v xml:space="preserve">   CHAUSSURES A SEMELLES EXTERIEURES EN CUIR NATUREL ET DESSUS CONSTITUES PAR DES LANIER</v>
      </c>
      <c r="C7276" s="4">
        <v>103</v>
      </c>
      <c r="D7276" s="4">
        <v>342000</v>
      </c>
    </row>
    <row r="7277" spans="1:4" x14ac:dyDescent="0.25">
      <c r="A7277" t="str">
        <f>T("   640340")</f>
        <v xml:space="preserve">   640340</v>
      </c>
      <c r="B7277" t="str">
        <f>T("   AUTRES CHAUSSURES, COMPORTANT, A L'AVANT, UNE COQUILLE DE PROTECTION EN METAL")</f>
        <v xml:space="preserve">   AUTRES CHAUSSURES, COMPORTANT, A L'AVANT, UNE COQUILLE DE PROTECTION EN METAL</v>
      </c>
      <c r="C7277" s="4">
        <v>78</v>
      </c>
      <c r="D7277" s="4">
        <v>360778</v>
      </c>
    </row>
    <row r="7278" spans="1:4" x14ac:dyDescent="0.25">
      <c r="A7278" t="str">
        <f>T("   640510")</f>
        <v xml:space="preserve">   640510</v>
      </c>
      <c r="B7278" t="str">
        <f>T("   A DESSUS EN CUIR NATUREL OU RECONSTITUE")</f>
        <v xml:space="preserve">   A DESSUS EN CUIR NATUREL OU RECONSTITUE</v>
      </c>
      <c r="C7278" s="4">
        <v>294</v>
      </c>
      <c r="D7278" s="4">
        <v>977000</v>
      </c>
    </row>
    <row r="7279" spans="1:4" x14ac:dyDescent="0.25">
      <c r="A7279" t="str">
        <f>T("   640590")</f>
        <v xml:space="preserve">   640590</v>
      </c>
      <c r="B7279" t="str">
        <f>T("   AUTRES")</f>
        <v xml:space="preserve">   AUTRES</v>
      </c>
      <c r="C7279" s="4">
        <v>3691</v>
      </c>
      <c r="D7279" s="4">
        <v>8140440</v>
      </c>
    </row>
    <row r="7280" spans="1:4" x14ac:dyDescent="0.25">
      <c r="A7280" t="str">
        <f>T("   680210")</f>
        <v xml:space="preserve">   680210</v>
      </c>
      <c r="B7280" t="str">
        <f>T("   CARREAUX, CUBES, DES ET ARTICLES SIMILAIRES, MEME DE FORME AUTRE QUE CARREE OU RECTAN")</f>
        <v xml:space="preserve">   CARREAUX, CUBES, DES ET ARTICLES SIMILAIRES, MEME DE FORME AUTRE QUE CARREE OU RECTAN</v>
      </c>
      <c r="C7280" s="4">
        <v>63</v>
      </c>
      <c r="D7280" s="4">
        <v>31000</v>
      </c>
    </row>
    <row r="7281" spans="1:4" x14ac:dyDescent="0.25">
      <c r="A7281" t="str">
        <f>T("   680530")</f>
        <v xml:space="preserve">   680530</v>
      </c>
      <c r="B7281" t="str">
        <f>T("   APPLIQUES SUR D'AUTRES MATIERES")</f>
        <v xml:space="preserve">   APPLIQUES SUR D'AUTRES MATIERES</v>
      </c>
      <c r="C7281" s="4">
        <v>1700</v>
      </c>
      <c r="D7281" s="4">
        <v>4656004</v>
      </c>
    </row>
    <row r="7282" spans="1:4" x14ac:dyDescent="0.25">
      <c r="A7282" t="str">
        <f>T("   680710")</f>
        <v xml:space="preserve">   680710</v>
      </c>
      <c r="B7282" t="str">
        <f>T("   EN ROULEAUX")</f>
        <v xml:space="preserve">   EN ROULEAUX</v>
      </c>
      <c r="C7282" s="4">
        <v>1050</v>
      </c>
      <c r="D7282" s="4">
        <v>764193</v>
      </c>
    </row>
    <row r="7283" spans="1:4" x14ac:dyDescent="0.25">
      <c r="A7283" t="str">
        <f>T("   680790")</f>
        <v xml:space="preserve">   680790</v>
      </c>
      <c r="B7283" t="str">
        <f>T("   AUTRES")</f>
        <v xml:space="preserve">   AUTRES</v>
      </c>
      <c r="C7283" s="4">
        <v>45111</v>
      </c>
      <c r="D7283" s="4">
        <v>9593415</v>
      </c>
    </row>
    <row r="7284" spans="1:4" x14ac:dyDescent="0.25">
      <c r="A7284" t="str">
        <f>T("   681019")</f>
        <v xml:space="preserve">   681019</v>
      </c>
      <c r="B7284" t="str">
        <f>T("   AUTRES")</f>
        <v xml:space="preserve">   AUTRES</v>
      </c>
      <c r="C7284" s="4">
        <v>152900</v>
      </c>
      <c r="D7284" s="4">
        <v>13408478</v>
      </c>
    </row>
    <row r="7285" spans="1:4" x14ac:dyDescent="0.25">
      <c r="A7285" t="str">
        <f>T("   681181")</f>
        <v xml:space="preserve">   681181</v>
      </c>
      <c r="B7285" t="str">
        <f>T("   PLAQUES ONDULEES")</f>
        <v xml:space="preserve">   PLAQUES ONDULEES</v>
      </c>
      <c r="C7285" s="4">
        <v>677300</v>
      </c>
      <c r="D7285" s="4">
        <v>55324951</v>
      </c>
    </row>
    <row r="7286" spans="1:4" x14ac:dyDescent="0.25">
      <c r="A7286" t="str">
        <f>T("   681182")</f>
        <v xml:space="preserve">   681182</v>
      </c>
      <c r="B7286" t="str">
        <f>T("   AUTRES PLAQUES, PANNEAUX, CARREAUX, TUILES ET ARTICLES SIMILAIRES")</f>
        <v xml:space="preserve">   AUTRES PLAQUES, PANNEAUX, CARREAUX, TUILES ET ARTICLES SIMILAIRES</v>
      </c>
      <c r="C7286" s="4">
        <v>435000</v>
      </c>
      <c r="D7286" s="4">
        <v>32899017</v>
      </c>
    </row>
    <row r="7287" spans="1:4" x14ac:dyDescent="0.25">
      <c r="A7287" t="str">
        <f>T("   690510")</f>
        <v xml:space="preserve">   690510</v>
      </c>
      <c r="B7287" t="str">
        <f>T("   TUILES")</f>
        <v xml:space="preserve">   TUILES</v>
      </c>
      <c r="C7287" s="4">
        <v>152186</v>
      </c>
      <c r="D7287" s="4">
        <v>13219390</v>
      </c>
    </row>
    <row r="7288" spans="1:4" x14ac:dyDescent="0.25">
      <c r="A7288" t="str">
        <f>T("   690790")</f>
        <v xml:space="preserve">   690790</v>
      </c>
      <c r="B7288" t="str">
        <f>T("   AUTRES")</f>
        <v xml:space="preserve">   AUTRES</v>
      </c>
      <c r="C7288" s="4">
        <v>108870</v>
      </c>
      <c r="D7288" s="4">
        <v>44381677</v>
      </c>
    </row>
    <row r="7289" spans="1:4" x14ac:dyDescent="0.25">
      <c r="A7289" t="str">
        <f>T("   690810")</f>
        <v xml:space="preserve">   690810</v>
      </c>
      <c r="B7289" t="str">
        <f>T("   CARREAUX, CUBES, DES ET ARTICLES SIMILAIRES, MEME DE FORME AUTRE QUE CARREE OU RECTAN")</f>
        <v xml:space="preserve">   CARREAUX, CUBES, DES ET ARTICLES SIMILAIRES, MEME DE FORME AUTRE QUE CARREE OU RECTAN</v>
      </c>
      <c r="C7289" s="4">
        <v>55000</v>
      </c>
      <c r="D7289" s="4">
        <v>6545000</v>
      </c>
    </row>
    <row r="7290" spans="1:4" x14ac:dyDescent="0.25">
      <c r="A7290" t="str">
        <f>T("   690890")</f>
        <v xml:space="preserve">   690890</v>
      </c>
      <c r="B7290" t="str">
        <f>T("   AUTRES")</f>
        <v xml:space="preserve">   AUTRES</v>
      </c>
      <c r="C7290" s="4">
        <v>2508235</v>
      </c>
      <c r="D7290" s="4">
        <v>445671512</v>
      </c>
    </row>
    <row r="7291" spans="1:4" x14ac:dyDescent="0.25">
      <c r="A7291" t="str">
        <f>T("   691090")</f>
        <v xml:space="preserve">   691090</v>
      </c>
      <c r="B7291" t="str">
        <f>T("   AUTRES")</f>
        <v xml:space="preserve">   AUTRES</v>
      </c>
      <c r="C7291" s="4">
        <v>280</v>
      </c>
      <c r="D7291" s="4">
        <v>1176978</v>
      </c>
    </row>
    <row r="7292" spans="1:4" x14ac:dyDescent="0.25">
      <c r="A7292" t="str">
        <f>T("   691190")</f>
        <v xml:space="preserve">   691190</v>
      </c>
      <c r="B7292" t="str">
        <f>T("   AUTRES")</f>
        <v xml:space="preserve">   AUTRES</v>
      </c>
      <c r="C7292" s="4">
        <v>4000</v>
      </c>
      <c r="D7292" s="4">
        <v>1736000</v>
      </c>
    </row>
    <row r="7293" spans="1:4" x14ac:dyDescent="0.25">
      <c r="A7293" t="str">
        <f>T("   691200")</f>
        <v xml:space="preserve">   691200</v>
      </c>
      <c r="B7293" t="str">
        <f>T("   VAISSELLE, AUTRES ARTICLES DE MENAGE OU D'ECONOMIE DOMESTIQUE ET ARTICLES D'HYGIENE OU")</f>
        <v xml:space="preserve">   VAISSELLE, AUTRES ARTICLES DE MENAGE OU D'ECONOMIE DOMESTIQUE ET ARTICLES D'HYGIENE OU</v>
      </c>
      <c r="C7293" s="4">
        <v>48924</v>
      </c>
      <c r="D7293" s="4">
        <v>45591829</v>
      </c>
    </row>
    <row r="7294" spans="1:4" x14ac:dyDescent="0.25">
      <c r="A7294" t="str">
        <f>T("   700729")</f>
        <v xml:space="preserve">   700729</v>
      </c>
      <c r="B7294" t="str">
        <f>T("   AUTRES")</f>
        <v xml:space="preserve">   AUTRES</v>
      </c>
      <c r="C7294" s="4">
        <v>17000</v>
      </c>
      <c r="D7294" s="4">
        <v>8106354</v>
      </c>
    </row>
    <row r="7295" spans="1:4" x14ac:dyDescent="0.25">
      <c r="A7295" t="str">
        <f>T("   701090")</f>
        <v xml:space="preserve">   701090</v>
      </c>
      <c r="B7295" t="str">
        <f>T("   AUTRES")</f>
        <v xml:space="preserve">   AUTRES</v>
      </c>
      <c r="C7295" s="4">
        <v>16421</v>
      </c>
      <c r="D7295" s="4">
        <v>7014298</v>
      </c>
    </row>
    <row r="7296" spans="1:4" x14ac:dyDescent="0.25">
      <c r="A7296" t="str">
        <f>T("   701110")</f>
        <v xml:space="preserve">   701110</v>
      </c>
      <c r="B7296" t="str">
        <f>T("   POUR L'ECLAIRAGE ELECTRIQUE")</f>
        <v xml:space="preserve">   POUR L'ECLAIRAGE ELECTRIQUE</v>
      </c>
      <c r="C7296" s="4">
        <v>10</v>
      </c>
      <c r="D7296" s="4">
        <v>238113</v>
      </c>
    </row>
    <row r="7297" spans="1:4" x14ac:dyDescent="0.25">
      <c r="A7297" t="str">
        <f>T("   701790")</f>
        <v xml:space="preserve">   701790</v>
      </c>
      <c r="B7297" t="str">
        <f>T("   AUTRE")</f>
        <v xml:space="preserve">   AUTRE</v>
      </c>
      <c r="C7297" s="4">
        <v>314</v>
      </c>
      <c r="D7297" s="4">
        <v>259104</v>
      </c>
    </row>
    <row r="7298" spans="1:4" x14ac:dyDescent="0.25">
      <c r="A7298" t="str">
        <f>T("   711420")</f>
        <v xml:space="preserve">   711420</v>
      </c>
      <c r="B7298" t="str">
        <f>T("   EN PLAQUES OU DOUBLES DE METAUX PRECIEUX SUR METAUX COMMUNS")</f>
        <v xml:space="preserve">   EN PLAQUES OU DOUBLES DE METAUX PRECIEUX SUR METAUX COMMUNS</v>
      </c>
      <c r="C7298" s="4">
        <v>340</v>
      </c>
      <c r="D7298" s="4">
        <v>175666</v>
      </c>
    </row>
    <row r="7299" spans="1:4" x14ac:dyDescent="0.25">
      <c r="A7299" t="str">
        <f>T("   721049")</f>
        <v xml:space="preserve">   721049</v>
      </c>
      <c r="B7299" t="str">
        <f>T("   AUTRES")</f>
        <v xml:space="preserve">   AUTRES</v>
      </c>
      <c r="C7299" s="4">
        <v>3214</v>
      </c>
      <c r="D7299" s="4">
        <v>1499751</v>
      </c>
    </row>
    <row r="7300" spans="1:4" x14ac:dyDescent="0.25">
      <c r="A7300" t="str">
        <f>T("   730419")</f>
        <v xml:space="preserve">   730419</v>
      </c>
      <c r="B7300" t="str">
        <f>T("   AUTRES")</f>
        <v xml:space="preserve">   AUTRES</v>
      </c>
      <c r="C7300" s="4">
        <v>16075</v>
      </c>
      <c r="D7300" s="4">
        <v>107691577</v>
      </c>
    </row>
    <row r="7301" spans="1:4" x14ac:dyDescent="0.25">
      <c r="A7301" t="str">
        <f>T("   730640")</f>
        <v xml:space="preserve">   730640</v>
      </c>
      <c r="B7301" t="str">
        <f>T("   AUTRES, SOUDES, DE SECTION CIRCULAIRE, EN ACIERS INOXYDABLES")</f>
        <v xml:space="preserve">   AUTRES, SOUDES, DE SECTION CIRCULAIRE, EN ACIERS INOXYDABLES</v>
      </c>
      <c r="C7301" s="4">
        <v>400</v>
      </c>
      <c r="D7301" s="4">
        <v>171206</v>
      </c>
    </row>
    <row r="7302" spans="1:4" x14ac:dyDescent="0.25">
      <c r="A7302" t="str">
        <f>T("   730711")</f>
        <v xml:space="preserve">   730711</v>
      </c>
      <c r="B7302" t="str">
        <f>T("   EN FONTE NON MALLEABLE")</f>
        <v xml:space="preserve">   EN FONTE NON MALLEABLE</v>
      </c>
      <c r="C7302" s="4">
        <v>315</v>
      </c>
      <c r="D7302" s="4">
        <v>229586</v>
      </c>
    </row>
    <row r="7303" spans="1:4" x14ac:dyDescent="0.25">
      <c r="A7303" t="str">
        <f>T("   730799")</f>
        <v xml:space="preserve">   730799</v>
      </c>
      <c r="B7303" t="str">
        <f>T("   AUTRES")</f>
        <v xml:space="preserve">   AUTRES</v>
      </c>
      <c r="C7303" s="4">
        <v>2000</v>
      </c>
      <c r="D7303" s="4">
        <v>13463055</v>
      </c>
    </row>
    <row r="7304" spans="1:4" x14ac:dyDescent="0.25">
      <c r="A7304" t="str">
        <f>T("   730830")</f>
        <v xml:space="preserve">   730830</v>
      </c>
      <c r="B7304" t="str">
        <f>T("   PORTES, FENETRES ET LEURS CADRES ET CHAMBRANLES ET SEUILS")</f>
        <v xml:space="preserve">   PORTES, FENETRES ET LEURS CADRES ET CHAMBRANLES ET SEUILS</v>
      </c>
      <c r="C7304" s="4">
        <v>1522</v>
      </c>
      <c r="D7304" s="4">
        <v>1079710</v>
      </c>
    </row>
    <row r="7305" spans="1:4" x14ac:dyDescent="0.25">
      <c r="A7305" t="str">
        <f>T("   730840")</f>
        <v xml:space="preserve">   730840</v>
      </c>
      <c r="B7305" t="str">
        <f>T("   MATERIEL D'ECHAFAUDAGE, DE COFFRAGE, D'ETANCONNEMENT OU D'ETAYAGE")</f>
        <v xml:space="preserve">   MATERIEL D'ECHAFAUDAGE, DE COFFRAGE, D'ETANCONNEMENT OU D'ETAYAGE</v>
      </c>
      <c r="C7305" s="4">
        <v>92481</v>
      </c>
      <c r="D7305" s="4">
        <v>117039853</v>
      </c>
    </row>
    <row r="7306" spans="1:4" x14ac:dyDescent="0.25">
      <c r="A7306" t="str">
        <f>T("   730900")</f>
        <v xml:space="preserve">   730900</v>
      </c>
      <c r="B7306" t="str">
        <f>T("   RESERVOIRS, FOUDRES, CUVES ET RECIPIENTS SIMILAIRES POUR TOUTES MATIERES (A L'EXCEPTION")</f>
        <v xml:space="preserve">   RESERVOIRS, FOUDRES, CUVES ET RECIPIENTS SIMILAIRES POUR TOUTES MATIERES (A L'EXCEPTION</v>
      </c>
      <c r="C7306" s="4">
        <v>10</v>
      </c>
      <c r="D7306" s="4">
        <v>171862</v>
      </c>
    </row>
    <row r="7307" spans="1:4" x14ac:dyDescent="0.25">
      <c r="A7307" t="str">
        <f>T("   731010")</f>
        <v xml:space="preserve">   731010</v>
      </c>
      <c r="B7307" t="str">
        <f>T("   D'UNE CONTENANCE DE 50 L OU PLUS")</f>
        <v xml:space="preserve">   D'UNE CONTENANCE DE 50 L OU PLUS</v>
      </c>
      <c r="C7307" s="4">
        <v>59200</v>
      </c>
      <c r="D7307" s="4">
        <v>296709072</v>
      </c>
    </row>
    <row r="7308" spans="1:4" x14ac:dyDescent="0.25">
      <c r="A7308" t="str">
        <f>T("   731029")</f>
        <v xml:space="preserve">   731029</v>
      </c>
      <c r="B7308" t="str">
        <f>T("   AUTRES")</f>
        <v xml:space="preserve">   AUTRES</v>
      </c>
      <c r="C7308" s="4">
        <v>21862</v>
      </c>
      <c r="D7308" s="4">
        <v>48878074</v>
      </c>
    </row>
    <row r="7309" spans="1:4" x14ac:dyDescent="0.25">
      <c r="A7309" t="str">
        <f>T("   731210")</f>
        <v xml:space="preserve">   731210</v>
      </c>
      <c r="B7309" t="str">
        <f>T("   TORONS ET CABLES")</f>
        <v xml:space="preserve">   TORONS ET CABLES</v>
      </c>
      <c r="C7309" s="4">
        <v>33734</v>
      </c>
      <c r="D7309" s="4">
        <v>24578244</v>
      </c>
    </row>
    <row r="7310" spans="1:4" x14ac:dyDescent="0.25">
      <c r="A7310" t="str">
        <f>T("   731815")</f>
        <v xml:space="preserve">   731815</v>
      </c>
      <c r="B7310" t="str">
        <f>T("   AUTRES VIS ET BOULONS, MEME AVEC LEURS ECROUS OU RONDELLES")</f>
        <v xml:space="preserve">   AUTRES VIS ET BOULONS, MEME AVEC LEURS ECROUS OU RONDELLES</v>
      </c>
      <c r="C7310" s="4">
        <v>2</v>
      </c>
      <c r="D7310" s="4">
        <v>128765</v>
      </c>
    </row>
    <row r="7311" spans="1:4" x14ac:dyDescent="0.25">
      <c r="A7311" t="str">
        <f>T("   731829")</f>
        <v xml:space="preserve">   731829</v>
      </c>
      <c r="B7311" t="str">
        <f>T("   AUTRES")</f>
        <v xml:space="preserve">   AUTRES</v>
      </c>
      <c r="C7311" s="4">
        <v>26503</v>
      </c>
      <c r="D7311" s="4">
        <v>12491683</v>
      </c>
    </row>
    <row r="7312" spans="1:4" x14ac:dyDescent="0.25">
      <c r="A7312" t="str">
        <f>T("   732090")</f>
        <v xml:space="preserve">   732090</v>
      </c>
      <c r="B7312" t="str">
        <f>T("   AUTRES")</f>
        <v xml:space="preserve">   AUTRES</v>
      </c>
      <c r="C7312" s="4">
        <v>1.1000000000000001</v>
      </c>
      <c r="D7312" s="4">
        <v>232918</v>
      </c>
    </row>
    <row r="7313" spans="1:4" x14ac:dyDescent="0.25">
      <c r="A7313" t="str">
        <f>T("   732111")</f>
        <v xml:space="preserve">   732111</v>
      </c>
      <c r="B7313" t="str">
        <f>T("   A COMBUSTIBLES GAZEUX OU A GAZ ET AUTRES COMBUSTIBLES")</f>
        <v xml:space="preserve">   A COMBUSTIBLES GAZEUX OU A GAZ ET AUTRES COMBUSTIBLES</v>
      </c>
      <c r="C7313" s="4">
        <v>21600</v>
      </c>
      <c r="D7313" s="4">
        <v>40889017</v>
      </c>
    </row>
    <row r="7314" spans="1:4" x14ac:dyDescent="0.25">
      <c r="A7314" t="str">
        <f>T("   732181")</f>
        <v xml:space="preserve">   732181</v>
      </c>
      <c r="B7314" t="str">
        <f>T("   A COMBUSTIBLES GAZEUX OU A GAZ ET AUTRES COMBUSTIBLES")</f>
        <v xml:space="preserve">   A COMBUSTIBLES GAZEUX OU A GAZ ET AUTRES COMBUSTIBLES</v>
      </c>
      <c r="C7314" s="4">
        <v>5934</v>
      </c>
      <c r="D7314" s="4">
        <v>41726429</v>
      </c>
    </row>
    <row r="7315" spans="1:4" x14ac:dyDescent="0.25">
      <c r="A7315" t="str">
        <f>T("   732393")</f>
        <v xml:space="preserve">   732393</v>
      </c>
      <c r="B7315" t="str">
        <f>T("   EN ACIERS INOXYDABLES")</f>
        <v xml:space="preserve">   EN ACIERS INOXYDABLES</v>
      </c>
      <c r="C7315" s="4">
        <v>3500</v>
      </c>
      <c r="D7315" s="4">
        <v>1073995</v>
      </c>
    </row>
    <row r="7316" spans="1:4" x14ac:dyDescent="0.25">
      <c r="A7316" t="str">
        <f>T("   732394")</f>
        <v xml:space="preserve">   732394</v>
      </c>
      <c r="B7316" t="str">
        <f>T("   EN FER OU EN ACIER, EMAILLES")</f>
        <v xml:space="preserve">   EN FER OU EN ACIER, EMAILLES</v>
      </c>
      <c r="C7316" s="4">
        <v>18767</v>
      </c>
      <c r="D7316" s="4">
        <v>2327199</v>
      </c>
    </row>
    <row r="7317" spans="1:4" x14ac:dyDescent="0.25">
      <c r="A7317" t="str">
        <f>T("   732399")</f>
        <v xml:space="preserve">   732399</v>
      </c>
      <c r="B7317" t="str">
        <f>T("   AUTRES")</f>
        <v xml:space="preserve">   AUTRES</v>
      </c>
      <c r="C7317" s="4">
        <v>31872</v>
      </c>
      <c r="D7317" s="4">
        <v>9094349</v>
      </c>
    </row>
    <row r="7318" spans="1:4" x14ac:dyDescent="0.25">
      <c r="A7318" t="str">
        <f>T("   732490")</f>
        <v xml:space="preserve">   732490</v>
      </c>
      <c r="B7318" t="str">
        <f>T("   AUTRES, Y COMPRIS LES PARTIES")</f>
        <v xml:space="preserve">   AUTRES, Y COMPRIS LES PARTIES</v>
      </c>
      <c r="C7318" s="4">
        <v>855</v>
      </c>
      <c r="D7318" s="4">
        <v>2912462</v>
      </c>
    </row>
    <row r="7319" spans="1:4" x14ac:dyDescent="0.25">
      <c r="A7319" t="str">
        <f>T("   732690")</f>
        <v xml:space="preserve">   732690</v>
      </c>
      <c r="B7319" t="str">
        <f>T("   AUTRES")</f>
        <v xml:space="preserve">   AUTRES</v>
      </c>
      <c r="C7319" s="4">
        <v>493353</v>
      </c>
      <c r="D7319" s="4">
        <v>245250848</v>
      </c>
    </row>
    <row r="7320" spans="1:4" x14ac:dyDescent="0.25">
      <c r="A7320" t="str">
        <f>T("   760429")</f>
        <v xml:space="preserve">   760429</v>
      </c>
      <c r="B7320" t="str">
        <f>T("   AUTRES")</f>
        <v xml:space="preserve">   AUTRES</v>
      </c>
      <c r="C7320" s="4">
        <v>1112</v>
      </c>
      <c r="D7320" s="4">
        <v>488198</v>
      </c>
    </row>
    <row r="7321" spans="1:4" x14ac:dyDescent="0.25">
      <c r="A7321" t="str">
        <f>T("   761090")</f>
        <v xml:space="preserve">   761090</v>
      </c>
      <c r="B7321" t="str">
        <f>T("   AUTRES")</f>
        <v xml:space="preserve">   AUTRES</v>
      </c>
      <c r="C7321" s="4">
        <v>1834</v>
      </c>
      <c r="D7321" s="4">
        <v>6542100</v>
      </c>
    </row>
    <row r="7322" spans="1:4" x14ac:dyDescent="0.25">
      <c r="A7322" t="str">
        <f>T("   761699")</f>
        <v xml:space="preserve">   761699</v>
      </c>
      <c r="B7322" t="str">
        <f>T("   AUTRES")</f>
        <v xml:space="preserve">   AUTRES</v>
      </c>
      <c r="C7322" s="4">
        <v>22488</v>
      </c>
      <c r="D7322" s="4">
        <v>15986211</v>
      </c>
    </row>
    <row r="7323" spans="1:4" x14ac:dyDescent="0.25">
      <c r="A7323" t="str">
        <f>T("   820190")</f>
        <v xml:space="preserve">   820190</v>
      </c>
      <c r="B7323" t="str">
        <f>T("   AUTRES OUTILS AGRICOLES, HORTICOLES OU FORESTIERS, A MAIN")</f>
        <v xml:space="preserve">   AUTRES OUTILS AGRICOLES, HORTICOLES OU FORESTIERS, A MAIN</v>
      </c>
      <c r="C7323" s="4">
        <v>60</v>
      </c>
      <c r="D7323" s="4">
        <v>65596</v>
      </c>
    </row>
    <row r="7324" spans="1:4" x14ac:dyDescent="0.25">
      <c r="A7324" t="str">
        <f>T("   820220")</f>
        <v xml:space="preserve">   820220</v>
      </c>
      <c r="B7324" t="str">
        <f>T("   LAMES DE SCIES A RUBAN")</f>
        <v xml:space="preserve">   LAMES DE SCIES A RUBAN</v>
      </c>
      <c r="C7324" s="4">
        <v>6880</v>
      </c>
      <c r="D7324" s="4">
        <v>588929</v>
      </c>
    </row>
    <row r="7325" spans="1:4" x14ac:dyDescent="0.25">
      <c r="A7325" t="str">
        <f>T("   820530")</f>
        <v xml:space="preserve">   820530</v>
      </c>
      <c r="B7325" t="str">
        <f>T("   RABOTS, CISEAUX, GOUGES ET OUTILS TRANCHANTS SIMILAIRES POUR LE TRAVAIL DU BOIS")</f>
        <v xml:space="preserve">   RABOTS, CISEAUX, GOUGES ET OUTILS TRANCHANTS SIMILAIRES POUR LE TRAVAIL DU BOIS</v>
      </c>
      <c r="C7325" s="4">
        <v>3120</v>
      </c>
      <c r="D7325" s="4">
        <v>204870</v>
      </c>
    </row>
    <row r="7326" spans="1:4" x14ac:dyDescent="0.25">
      <c r="A7326" t="str">
        <f>T("   820559")</f>
        <v xml:space="preserve">   820559</v>
      </c>
      <c r="B7326" t="str">
        <f>T("   AUTRES")</f>
        <v xml:space="preserve">   AUTRES</v>
      </c>
      <c r="C7326" s="4">
        <v>770</v>
      </c>
      <c r="D7326" s="4">
        <v>218576</v>
      </c>
    </row>
    <row r="7327" spans="1:4" x14ac:dyDescent="0.25">
      <c r="A7327" t="str">
        <f>T("   820720")</f>
        <v xml:space="preserve">   820720</v>
      </c>
      <c r="B7327" t="str">
        <f>T("   FILIERES POUR L'ETIRAGE OU LE FILAGE (EXTRUSION) DES METAUX")</f>
        <v xml:space="preserve">   FILIERES POUR L'ETIRAGE OU LE FILAGE (EXTRUSION) DES METAUX</v>
      </c>
      <c r="C7327" s="4">
        <v>112</v>
      </c>
      <c r="D7327" s="4">
        <v>12855165</v>
      </c>
    </row>
    <row r="7328" spans="1:4" x14ac:dyDescent="0.25">
      <c r="A7328" t="str">
        <f>T("   820780")</f>
        <v xml:space="preserve">   820780</v>
      </c>
      <c r="B7328" t="str">
        <f>T("   OUTILS A TOURNER")</f>
        <v xml:space="preserve">   OUTILS A TOURNER</v>
      </c>
      <c r="C7328" s="4">
        <v>7</v>
      </c>
      <c r="D7328" s="4">
        <v>179503</v>
      </c>
    </row>
    <row r="7329" spans="1:4" x14ac:dyDescent="0.25">
      <c r="A7329" t="str">
        <f>T("   820790")</f>
        <v xml:space="preserve">   820790</v>
      </c>
      <c r="B7329" t="str">
        <f>T("   AUTRES OUTILS INTERCHANGEABLES")</f>
        <v xml:space="preserve">   AUTRES OUTILS INTERCHANGEABLES</v>
      </c>
      <c r="C7329" s="4">
        <v>82</v>
      </c>
      <c r="D7329" s="4">
        <v>4544281</v>
      </c>
    </row>
    <row r="7330" spans="1:4" x14ac:dyDescent="0.25">
      <c r="A7330" t="str">
        <f>T("   820840")</f>
        <v xml:space="preserve">   820840</v>
      </c>
      <c r="B7330" t="str">
        <f>T("   POUR MACHINES AGRICOLES, HORTICOLES OU FORESTIERES")</f>
        <v xml:space="preserve">   POUR MACHINES AGRICOLES, HORTICOLES OU FORESTIERES</v>
      </c>
      <c r="C7330" s="4">
        <v>6.63</v>
      </c>
      <c r="D7330" s="4">
        <v>24205</v>
      </c>
    </row>
    <row r="7331" spans="1:4" x14ac:dyDescent="0.25">
      <c r="A7331" t="str">
        <f>T("   820890")</f>
        <v xml:space="preserve">   820890</v>
      </c>
      <c r="B7331" t="str">
        <f>T("   AUTRES")</f>
        <v xml:space="preserve">   AUTRES</v>
      </c>
      <c r="C7331" s="4">
        <v>32</v>
      </c>
      <c r="D7331" s="4">
        <v>1327663</v>
      </c>
    </row>
    <row r="7332" spans="1:4" x14ac:dyDescent="0.25">
      <c r="A7332" t="str">
        <f>T("   821520")</f>
        <v xml:space="preserve">   821520</v>
      </c>
      <c r="B7332" t="str">
        <f>T("   AUTRES ASSORTIMENTS")</f>
        <v xml:space="preserve">   AUTRES ASSORTIMENTS</v>
      </c>
      <c r="C7332" s="4">
        <v>200</v>
      </c>
      <c r="D7332" s="4">
        <v>33454</v>
      </c>
    </row>
    <row r="7333" spans="1:4" x14ac:dyDescent="0.25">
      <c r="A7333" t="str">
        <f>T("   821599")</f>
        <v xml:space="preserve">   821599</v>
      </c>
      <c r="B7333" t="str">
        <f>T("   AUTRES")</f>
        <v xml:space="preserve">   AUTRES</v>
      </c>
      <c r="C7333" s="4">
        <v>61</v>
      </c>
      <c r="D7333" s="4">
        <v>189508</v>
      </c>
    </row>
    <row r="7334" spans="1:4" x14ac:dyDescent="0.25">
      <c r="A7334" t="str">
        <f>T("   830140")</f>
        <v xml:space="preserve">   830140</v>
      </c>
      <c r="B7334" t="str">
        <f>T("   AUTRES SERRURES; VERROUS")</f>
        <v xml:space="preserve">   AUTRES SERRURES; VERROUS</v>
      </c>
      <c r="C7334" s="4">
        <v>15</v>
      </c>
      <c r="D7334" s="4">
        <v>253530</v>
      </c>
    </row>
    <row r="7335" spans="1:4" x14ac:dyDescent="0.25">
      <c r="A7335" t="str">
        <f>T("   830160")</f>
        <v xml:space="preserve">   830160</v>
      </c>
      <c r="B7335" t="str">
        <f>T("   PARTIES")</f>
        <v xml:space="preserve">   PARTIES</v>
      </c>
      <c r="C7335" s="4">
        <v>188</v>
      </c>
      <c r="D7335" s="4">
        <v>204000</v>
      </c>
    </row>
    <row r="7336" spans="1:4" x14ac:dyDescent="0.25">
      <c r="A7336" t="str">
        <f>T("   830300")</f>
        <v xml:space="preserve">   830300</v>
      </c>
      <c r="B7336" t="str">
        <f>T("   COFFRESFORTS, PORTES BLINDEES ET COMPARTIMENTS POUR CHAMBRES FORTES, COFFRES ET CASSET")</f>
        <v xml:space="preserve">   COFFRESFORTS, PORTES BLINDEES ET COMPARTIMENTS POUR CHAMBRES FORTES, COFFRES ET CASSET</v>
      </c>
      <c r="C7336" s="4">
        <v>7230</v>
      </c>
      <c r="D7336" s="4">
        <v>5214882</v>
      </c>
    </row>
    <row r="7337" spans="1:4" x14ac:dyDescent="0.25">
      <c r="A7337" t="str">
        <f>T("   830910")</f>
        <v xml:space="preserve">   830910</v>
      </c>
      <c r="B7337" t="str">
        <f>T("   BOUCHONSCOURONNES")</f>
        <v xml:space="preserve">   BOUCHONSCOURONNES</v>
      </c>
      <c r="C7337" s="4">
        <v>28016</v>
      </c>
      <c r="D7337" s="4">
        <v>32830143</v>
      </c>
    </row>
    <row r="7338" spans="1:4" x14ac:dyDescent="0.25">
      <c r="A7338" t="str">
        <f>T("   830990")</f>
        <v xml:space="preserve">   830990</v>
      </c>
      <c r="B7338" t="str">
        <f>T("   AUTRES")</f>
        <v xml:space="preserve">   AUTRES</v>
      </c>
      <c r="C7338" s="4">
        <v>13707</v>
      </c>
      <c r="D7338" s="4">
        <v>12927469</v>
      </c>
    </row>
    <row r="7339" spans="1:4" x14ac:dyDescent="0.25">
      <c r="A7339" t="str">
        <f>T("   841229")</f>
        <v xml:space="preserve">   841229</v>
      </c>
      <c r="B7339" t="str">
        <f>T("   AUTRES")</f>
        <v xml:space="preserve">   AUTRES</v>
      </c>
      <c r="C7339" s="4">
        <v>1800</v>
      </c>
      <c r="D7339" s="4">
        <v>3878364</v>
      </c>
    </row>
    <row r="7340" spans="1:4" x14ac:dyDescent="0.25">
      <c r="A7340" t="str">
        <f>T("   841280")</f>
        <v xml:space="preserve">   841280</v>
      </c>
      <c r="B7340" t="str">
        <f>T("   AUTRES")</f>
        <v xml:space="preserve">   AUTRES</v>
      </c>
      <c r="C7340" s="4">
        <v>11544</v>
      </c>
      <c r="D7340" s="4">
        <v>45808311</v>
      </c>
    </row>
    <row r="7341" spans="1:4" x14ac:dyDescent="0.25">
      <c r="A7341" t="str">
        <f>T("   841350")</f>
        <v xml:space="preserve">   841350</v>
      </c>
      <c r="B7341" t="str">
        <f>T("   Autres pompes volumetriques alternatives")</f>
        <v xml:space="preserve">   Autres pompes volumetriques alternatives</v>
      </c>
      <c r="C7341" s="4">
        <v>20</v>
      </c>
      <c r="D7341" s="4">
        <v>295838</v>
      </c>
    </row>
    <row r="7342" spans="1:4" x14ac:dyDescent="0.25">
      <c r="A7342" t="str">
        <f>T("   841381")</f>
        <v xml:space="preserve">   841381</v>
      </c>
      <c r="B7342" t="str">
        <f>T("   POMPES")</f>
        <v xml:space="preserve">   POMPES</v>
      </c>
      <c r="C7342" s="4">
        <v>1862</v>
      </c>
      <c r="D7342" s="4">
        <v>14577509</v>
      </c>
    </row>
    <row r="7343" spans="1:4" x14ac:dyDescent="0.25">
      <c r="A7343" t="str">
        <f>T("   841382")</f>
        <v xml:space="preserve">   841382</v>
      </c>
      <c r="B7343" t="str">
        <f>T("   ELEVATEURS A LIQUIDES")</f>
        <v xml:space="preserve">   ELEVATEURS A LIQUIDES</v>
      </c>
      <c r="C7343" s="4">
        <v>5119</v>
      </c>
      <c r="D7343" s="4">
        <v>5376003</v>
      </c>
    </row>
    <row r="7344" spans="1:4" x14ac:dyDescent="0.25">
      <c r="A7344" t="str">
        <f>T("   841391")</f>
        <v xml:space="preserve">   841391</v>
      </c>
      <c r="B7344" t="str">
        <f>T("   DE POMPES")</f>
        <v xml:space="preserve">   DE POMPES</v>
      </c>
      <c r="C7344" s="4">
        <v>1057</v>
      </c>
      <c r="D7344" s="4">
        <v>41205833</v>
      </c>
    </row>
    <row r="7345" spans="1:4" x14ac:dyDescent="0.25">
      <c r="A7345" t="str">
        <f>T("   841440")</f>
        <v xml:space="preserve">   841440</v>
      </c>
      <c r="B7345" t="str">
        <f>T("   COMPRESSEURS D'AIR MONTES SUR CHASSIS A ROUES ET REMORQUABLES")</f>
        <v xml:space="preserve">   COMPRESSEURS D'AIR MONTES SUR CHASSIS A ROUES ET REMORQUABLES</v>
      </c>
      <c r="C7345" s="4">
        <v>1425</v>
      </c>
      <c r="D7345" s="4">
        <v>5176185</v>
      </c>
    </row>
    <row r="7346" spans="1:4" x14ac:dyDescent="0.25">
      <c r="A7346" t="str">
        <f>T("   841459")</f>
        <v xml:space="preserve">   841459</v>
      </c>
      <c r="B7346" t="str">
        <f>T("   AUTRES")</f>
        <v xml:space="preserve">   AUTRES</v>
      </c>
      <c r="C7346" s="4">
        <v>33.200000000000003</v>
      </c>
      <c r="D7346" s="4">
        <v>2346369</v>
      </c>
    </row>
    <row r="7347" spans="1:4" x14ac:dyDescent="0.25">
      <c r="A7347" t="str">
        <f>T("   841510")</f>
        <v xml:space="preserve">   841510</v>
      </c>
      <c r="B7347" t="str">
        <f>T("   DU TYPE MURAL OU POUR FENETRES, FORMANT UN SEUL CORPS OU DU TYPE «SPLITSYSTEM» (SYST")</f>
        <v xml:space="preserve">   DU TYPE MURAL OU POUR FENETRES, FORMANT UN SEUL CORPS OU DU TYPE «SPLITSYSTEM» (SYST</v>
      </c>
      <c r="C7347" s="4">
        <v>5907</v>
      </c>
      <c r="D7347" s="4">
        <v>3823343</v>
      </c>
    </row>
    <row r="7348" spans="1:4" x14ac:dyDescent="0.25">
      <c r="A7348" t="str">
        <f>T("   841582")</f>
        <v xml:space="preserve">   841582</v>
      </c>
      <c r="B7348" t="str">
        <f>T("   AUTRES, AVEC DISPOSITIF DE REFRIGERATION")</f>
        <v xml:space="preserve">   AUTRES, AVEC DISPOSITIF DE REFRIGERATION</v>
      </c>
      <c r="C7348" s="4">
        <v>531</v>
      </c>
      <c r="D7348" s="4">
        <v>647720</v>
      </c>
    </row>
    <row r="7349" spans="1:4" x14ac:dyDescent="0.25">
      <c r="A7349" t="str">
        <f>T("   841780")</f>
        <v xml:space="preserve">   841780</v>
      </c>
      <c r="B7349" t="str">
        <f>T("   AUTRES")</f>
        <v xml:space="preserve">   AUTRES</v>
      </c>
      <c r="C7349" s="4">
        <v>550</v>
      </c>
      <c r="D7349" s="4">
        <v>3981021</v>
      </c>
    </row>
    <row r="7350" spans="1:4" x14ac:dyDescent="0.25">
      <c r="A7350" t="str">
        <f>T("   841829")</f>
        <v xml:space="preserve">   841829</v>
      </c>
      <c r="B7350" t="str">
        <f>T("   AUTRES")</f>
        <v xml:space="preserve">   AUTRES</v>
      </c>
      <c r="C7350" s="4">
        <v>81759</v>
      </c>
      <c r="D7350" s="4">
        <v>42645358</v>
      </c>
    </row>
    <row r="7351" spans="1:4" x14ac:dyDescent="0.25">
      <c r="A7351" t="str">
        <f>T("   841830")</f>
        <v xml:space="preserve">   841830</v>
      </c>
      <c r="B7351" t="str">
        <f>T("   MEUBLES CONGELATEURSCONSERVATEURS DU TYPE COFFRE, D'UNE CAPACITE N'EXCEDANT PAS 800 ")</f>
        <v xml:space="preserve">   MEUBLES CONGELATEURSCONSERVATEURS DU TYPE COFFRE, D'UNE CAPACITE N'EXCEDANT PAS 800 </v>
      </c>
      <c r="C7351" s="4">
        <v>7399.2</v>
      </c>
      <c r="D7351" s="4">
        <v>13766892</v>
      </c>
    </row>
    <row r="7352" spans="1:4" x14ac:dyDescent="0.25">
      <c r="A7352" t="str">
        <f>T("   841840")</f>
        <v xml:space="preserve">   841840</v>
      </c>
      <c r="B7352" t="str">
        <f>T("   MEUBLES CONGELATEURSCONSERVATEURS DU TYPE ARMOIRE, D'UNE CAPACITE N'EXCEDANT PAS 900")</f>
        <v xml:space="preserve">   MEUBLES CONGELATEURSCONSERVATEURS DU TYPE ARMOIRE, D'UNE CAPACITE N'EXCEDANT PAS 900</v>
      </c>
      <c r="C7352" s="4">
        <v>3686</v>
      </c>
      <c r="D7352" s="4">
        <v>5722595</v>
      </c>
    </row>
    <row r="7353" spans="1:4" x14ac:dyDescent="0.25">
      <c r="A7353" t="str">
        <f>T("   841850")</f>
        <v xml:space="preserve">   841850</v>
      </c>
      <c r="B7353" t="str">
        <f>T("   AUTRES MEUBLES (COFFRES, ARMOIRES, VITRINES, COMPTOIRS ET SIMILAIRES), POUR LA CONSER")</f>
        <v xml:space="preserve">   AUTRES MEUBLES (COFFRES, ARMOIRES, VITRINES, COMPTOIRS ET SIMILAIRES), POUR LA CONSER</v>
      </c>
      <c r="C7353" s="4">
        <v>1543</v>
      </c>
      <c r="D7353" s="4">
        <v>16372106</v>
      </c>
    </row>
    <row r="7354" spans="1:4" x14ac:dyDescent="0.25">
      <c r="A7354" t="str">
        <f>T("   841861")</f>
        <v xml:space="preserve">   841861</v>
      </c>
      <c r="B7354" t="str">
        <f>T("   POMPES A CHALEUR AUTRES QUE LES MACHINES ET APPAREILS POUR LE CONDITIONNEMENT DE L'A")</f>
        <v xml:space="preserve">   POMPES A CHALEUR AUTRES QUE LES MACHINES ET APPAREILS POUR LE CONDITIONNEMENT DE L'A</v>
      </c>
      <c r="C7354" s="4">
        <v>5295</v>
      </c>
      <c r="D7354" s="4">
        <v>10618680</v>
      </c>
    </row>
    <row r="7355" spans="1:4" x14ac:dyDescent="0.25">
      <c r="A7355" t="str">
        <f>T("   841869")</f>
        <v xml:space="preserve">   841869</v>
      </c>
      <c r="B7355" t="str">
        <f>T("   AUTRES")</f>
        <v xml:space="preserve">   AUTRES</v>
      </c>
      <c r="C7355" s="4">
        <v>4399</v>
      </c>
      <c r="D7355" s="4">
        <v>18179931</v>
      </c>
    </row>
    <row r="7356" spans="1:4" x14ac:dyDescent="0.25">
      <c r="A7356" t="str">
        <f>T("   841899")</f>
        <v xml:space="preserve">   841899</v>
      </c>
      <c r="B7356" t="str">
        <f>T("   AUTRES")</f>
        <v xml:space="preserve">   AUTRES</v>
      </c>
      <c r="C7356" s="4">
        <v>5668.4</v>
      </c>
      <c r="D7356" s="4">
        <v>17623455</v>
      </c>
    </row>
    <row r="7357" spans="1:4" x14ac:dyDescent="0.25">
      <c r="A7357" t="str">
        <f>T("   841932")</f>
        <v xml:space="preserve">   841932</v>
      </c>
      <c r="B7357" t="str">
        <f>T("   POUR LE BOIS, LES PATES A PAPIER, PAPIERS OU CARTONS")</f>
        <v xml:space="preserve">   POUR LE BOIS, LES PATES A PAPIER, PAPIERS OU CARTONS</v>
      </c>
      <c r="C7357" s="4">
        <v>2194</v>
      </c>
      <c r="D7357" s="4">
        <v>4052266</v>
      </c>
    </row>
    <row r="7358" spans="1:4" x14ac:dyDescent="0.25">
      <c r="A7358" t="str">
        <f>T("   842121")</f>
        <v xml:space="preserve">   842121</v>
      </c>
      <c r="B7358" t="str">
        <f>T("   POUR LA FILTRATION OU L'EPURATION DES EAUX")</f>
        <v xml:space="preserve">   POUR LA FILTRATION OU L'EPURATION DES EAUX</v>
      </c>
      <c r="C7358" s="4">
        <v>250</v>
      </c>
      <c r="D7358" s="4">
        <v>229586</v>
      </c>
    </row>
    <row r="7359" spans="1:4" x14ac:dyDescent="0.25">
      <c r="A7359" t="str">
        <f>T("   842123")</f>
        <v xml:space="preserve">   842123</v>
      </c>
      <c r="B7359" t="str">
        <f>T("   POUR LA FILTRATION DES HUILES MINERALES DANS LES MOTEURS A ALLUMAGE PAR ETINCELLES O")</f>
        <v xml:space="preserve">   POUR LA FILTRATION DES HUILES MINERALES DANS LES MOTEURS A ALLUMAGE PAR ETINCELLES O</v>
      </c>
      <c r="C7359" s="4">
        <v>20</v>
      </c>
      <c r="D7359" s="4">
        <v>373439</v>
      </c>
    </row>
    <row r="7360" spans="1:4" x14ac:dyDescent="0.25">
      <c r="A7360" t="str">
        <f>T("   842139")</f>
        <v xml:space="preserve">   842139</v>
      </c>
      <c r="B7360" t="str">
        <f>T("   AUTRES")</f>
        <v xml:space="preserve">   AUTRES</v>
      </c>
      <c r="C7360" s="4">
        <v>20</v>
      </c>
      <c r="D7360" s="4">
        <v>522144</v>
      </c>
    </row>
    <row r="7361" spans="1:4" x14ac:dyDescent="0.25">
      <c r="A7361" t="str">
        <f>T("   842191")</f>
        <v xml:space="preserve">   842191</v>
      </c>
      <c r="B7361" t="str">
        <f>T("   DE CENTRIFUGEUSES, Y COMPRIS D'ESSOREUSES CENTRIFUGES")</f>
        <v xml:space="preserve">   DE CENTRIFUGEUSES, Y COMPRIS D'ESSOREUSES CENTRIFUGES</v>
      </c>
      <c r="C7361" s="4">
        <v>72531</v>
      </c>
      <c r="D7361" s="4">
        <v>208857660</v>
      </c>
    </row>
    <row r="7362" spans="1:4" x14ac:dyDescent="0.25">
      <c r="A7362" t="str">
        <f>T("   842199")</f>
        <v xml:space="preserve">   842199</v>
      </c>
      <c r="B7362" t="str">
        <f>T("   AUTRES")</f>
        <v xml:space="preserve">   AUTRES</v>
      </c>
      <c r="C7362" s="4">
        <v>27278</v>
      </c>
      <c r="D7362" s="4">
        <v>69577676</v>
      </c>
    </row>
    <row r="7363" spans="1:4" x14ac:dyDescent="0.25">
      <c r="A7363" t="str">
        <f>T("   842240")</f>
        <v xml:space="preserve">   842240</v>
      </c>
      <c r="B7363" t="str">
        <f>T("   AUTRES MACHINES ET APPAREILS A EMPAQUETER OU A EMBALLER LES MARCHANDISES (Y COMPRIS L")</f>
        <v xml:space="preserve">   AUTRES MACHINES ET APPAREILS A EMPAQUETER OU A EMBALLER LES MARCHANDISES (Y COMPRIS L</v>
      </c>
      <c r="C7363" s="4">
        <v>1000</v>
      </c>
      <c r="D7363" s="4">
        <v>12211351</v>
      </c>
    </row>
    <row r="7364" spans="1:4" x14ac:dyDescent="0.25">
      <c r="A7364" t="str">
        <f>T("   842290")</f>
        <v xml:space="preserve">   842290</v>
      </c>
      <c r="B7364" t="str">
        <f>T("   PARTIES")</f>
        <v xml:space="preserve">   PARTIES</v>
      </c>
      <c r="C7364" s="4">
        <v>270.7</v>
      </c>
      <c r="D7364" s="4">
        <v>19318171</v>
      </c>
    </row>
    <row r="7365" spans="1:4" x14ac:dyDescent="0.25">
      <c r="A7365" t="str">
        <f>T("   842310")</f>
        <v xml:space="preserve">   842310</v>
      </c>
      <c r="B7365" t="str">
        <f>T("   PESEPERSONNES, Y COMPRIS LES PESEBEBES; BALANCES DE MENAGE")</f>
        <v xml:space="preserve">   PESEPERSONNES, Y COMPRIS LES PESEBEBES; BALANCES DE MENAGE</v>
      </c>
      <c r="C7365" s="4">
        <v>20</v>
      </c>
      <c r="D7365" s="4">
        <v>22303</v>
      </c>
    </row>
    <row r="7366" spans="1:4" x14ac:dyDescent="0.25">
      <c r="A7366" t="str">
        <f>T("   842481")</f>
        <v xml:space="preserve">   842481</v>
      </c>
      <c r="B7366" t="str">
        <f>T("   POUR L'AGRICULTURE OU L'HORTICULTURE")</f>
        <v xml:space="preserve">   POUR L'AGRICULTURE OU L'HORTICULTURE</v>
      </c>
      <c r="C7366" s="4">
        <v>6679</v>
      </c>
      <c r="D7366" s="4">
        <v>7075382</v>
      </c>
    </row>
    <row r="7367" spans="1:4" x14ac:dyDescent="0.25">
      <c r="A7367" t="str">
        <f>T("   842539")</f>
        <v xml:space="preserve">   842539</v>
      </c>
      <c r="B7367" t="str">
        <f>T("   AUTRES")</f>
        <v xml:space="preserve">   AUTRES</v>
      </c>
      <c r="C7367" s="4">
        <v>6401</v>
      </c>
      <c r="D7367" s="4">
        <v>7721469</v>
      </c>
    </row>
    <row r="7368" spans="1:4" x14ac:dyDescent="0.25">
      <c r="A7368" t="str">
        <f>T("   842549")</f>
        <v xml:space="preserve">   842549</v>
      </c>
      <c r="B7368" t="str">
        <f>T("   AUTRES")</f>
        <v xml:space="preserve">   AUTRES</v>
      </c>
      <c r="C7368" s="4">
        <v>396</v>
      </c>
      <c r="D7368" s="4">
        <v>5424789</v>
      </c>
    </row>
    <row r="7369" spans="1:4" x14ac:dyDescent="0.25">
      <c r="A7369" t="str">
        <f>T("   842611")</f>
        <v xml:space="preserve">   842611</v>
      </c>
      <c r="B7369" t="str">
        <f>T("   PONTS ROULANTS ET POUTRES ROULANTES, SUR SUPPORTS FIXES")</f>
        <v xml:space="preserve">   PONTS ROULANTS ET POUTRES ROULANTES, SUR SUPPORTS FIXES</v>
      </c>
      <c r="C7369" s="4">
        <v>600</v>
      </c>
      <c r="D7369" s="4">
        <v>2115471</v>
      </c>
    </row>
    <row r="7370" spans="1:4" x14ac:dyDescent="0.25">
      <c r="A7370" t="str">
        <f>T("   842620")</f>
        <v xml:space="preserve">   842620</v>
      </c>
      <c r="B7370" t="str">
        <f>T("   Grues a tour")</f>
        <v xml:space="preserve">   Grues a tour</v>
      </c>
      <c r="C7370" s="4">
        <v>70000</v>
      </c>
      <c r="D7370" s="4">
        <v>55953447</v>
      </c>
    </row>
    <row r="7371" spans="1:4" x14ac:dyDescent="0.25">
      <c r="A7371" t="str">
        <f>T("   842641")</f>
        <v xml:space="preserve">   842641</v>
      </c>
      <c r="B7371" t="str">
        <f>T("   SUR PNEUMATIQUES")</f>
        <v xml:space="preserve">   SUR PNEUMATIQUES</v>
      </c>
      <c r="C7371" s="4">
        <v>42000</v>
      </c>
      <c r="D7371" s="4">
        <v>40857600</v>
      </c>
    </row>
    <row r="7372" spans="1:4" x14ac:dyDescent="0.25">
      <c r="A7372" t="str">
        <f>T("   842839")</f>
        <v xml:space="preserve">   842839</v>
      </c>
      <c r="B7372" t="str">
        <f>T("   AUTRES")</f>
        <v xml:space="preserve">   AUTRES</v>
      </c>
      <c r="C7372" s="4">
        <v>19</v>
      </c>
      <c r="D7372" s="4">
        <v>612010</v>
      </c>
    </row>
    <row r="7373" spans="1:4" x14ac:dyDescent="0.25">
      <c r="A7373" t="str">
        <f>T("   842951")</f>
        <v xml:space="preserve">   842951</v>
      </c>
      <c r="B7373" t="str">
        <f>T("   CHARGEUSES ET CHARGEUSESPELLETEUSES A CHARGEMENT FRONTAL")</f>
        <v xml:space="preserve">   CHARGEUSES ET CHARGEUSESPELLETEUSES A CHARGEMENT FRONTAL</v>
      </c>
      <c r="C7373" s="4">
        <v>9700</v>
      </c>
      <c r="D7373" s="4">
        <v>6803640</v>
      </c>
    </row>
    <row r="7374" spans="1:4" x14ac:dyDescent="0.25">
      <c r="A7374" t="str">
        <f>T("   842959")</f>
        <v xml:space="preserve">   842959</v>
      </c>
      <c r="B7374" t="str">
        <f>T("   AUTRES")</f>
        <v xml:space="preserve">   AUTRES</v>
      </c>
      <c r="C7374" s="4">
        <v>69020</v>
      </c>
      <c r="D7374" s="4">
        <v>26462235</v>
      </c>
    </row>
    <row r="7375" spans="1:4" x14ac:dyDescent="0.25">
      <c r="A7375" t="str">
        <f>T("   843041")</f>
        <v xml:space="preserve">   843041</v>
      </c>
      <c r="B7375" t="str">
        <f>T("   AUTOPROPULSEES")</f>
        <v xml:space="preserve">   AUTOPROPULSEES</v>
      </c>
      <c r="C7375" s="4">
        <v>39500</v>
      </c>
      <c r="D7375" s="4">
        <v>685965578</v>
      </c>
    </row>
    <row r="7376" spans="1:4" x14ac:dyDescent="0.25">
      <c r="A7376" t="str">
        <f>T("   843069")</f>
        <v xml:space="preserve">   843069</v>
      </c>
      <c r="B7376" t="str">
        <f>T("   AUTRES")</f>
        <v xml:space="preserve">   AUTRES</v>
      </c>
      <c r="C7376" s="4">
        <v>698</v>
      </c>
      <c r="D7376" s="4">
        <v>3992081</v>
      </c>
    </row>
    <row r="7377" spans="1:4" x14ac:dyDescent="0.25">
      <c r="A7377" t="str">
        <f>T("   843110")</f>
        <v xml:space="preserve">   843110</v>
      </c>
      <c r="B7377" t="str">
        <f>T("   DE MACHINES OU APPAREILS DU N° 84.25")</f>
        <v xml:space="preserve">   DE MACHINES OU APPAREILS DU N° 84.25</v>
      </c>
      <c r="C7377" s="4">
        <v>20</v>
      </c>
      <c r="D7377" s="4">
        <v>109982</v>
      </c>
    </row>
    <row r="7378" spans="1:4" x14ac:dyDescent="0.25">
      <c r="A7378" t="str">
        <f>T("   843120")</f>
        <v xml:space="preserve">   843120</v>
      </c>
      <c r="B7378" t="str">
        <f>T("   DE MACHINES OU APPAREILS DU N° 84.27")</f>
        <v xml:space="preserve">   DE MACHINES OU APPAREILS DU N° 84.27</v>
      </c>
      <c r="C7378" s="4">
        <v>42</v>
      </c>
      <c r="D7378" s="4">
        <v>5302912</v>
      </c>
    </row>
    <row r="7379" spans="1:4" x14ac:dyDescent="0.25">
      <c r="A7379" t="str">
        <f>T("   843139")</f>
        <v xml:space="preserve">   843139</v>
      </c>
      <c r="B7379" t="str">
        <f>T("   AUTRES")</f>
        <v xml:space="preserve">   AUTRES</v>
      </c>
      <c r="C7379" s="4">
        <v>620</v>
      </c>
      <c r="D7379" s="4">
        <v>3488395</v>
      </c>
    </row>
    <row r="7380" spans="1:4" x14ac:dyDescent="0.25">
      <c r="A7380" t="str">
        <f>T("   843141")</f>
        <v xml:space="preserve">   843141</v>
      </c>
      <c r="B7380" t="str">
        <f>T("   GODETS, BENNES, BENNESPRENEUSES, PELLES, GRAPPINS ET PINCES")</f>
        <v xml:space="preserve">   GODETS, BENNES, BENNESPRENEUSES, PELLES, GRAPPINS ET PINCES</v>
      </c>
      <c r="C7380" s="4">
        <v>44000</v>
      </c>
      <c r="D7380" s="4">
        <v>83468207</v>
      </c>
    </row>
    <row r="7381" spans="1:4" x14ac:dyDescent="0.25">
      <c r="A7381" t="str">
        <f>T("   843149")</f>
        <v xml:space="preserve">   843149</v>
      </c>
      <c r="B7381" t="str">
        <f>T("   AUTRES")</f>
        <v xml:space="preserve">   AUTRES</v>
      </c>
      <c r="C7381" s="4">
        <v>71</v>
      </c>
      <c r="D7381" s="4">
        <v>313074</v>
      </c>
    </row>
    <row r="7382" spans="1:4" x14ac:dyDescent="0.25">
      <c r="A7382" t="str">
        <f>T("   843230")</f>
        <v xml:space="preserve">   843230</v>
      </c>
      <c r="B7382" t="str">
        <f>T("   Semoirs, plantoirs et repiqueurs")</f>
        <v xml:space="preserve">   Semoirs, plantoirs et repiqueurs</v>
      </c>
      <c r="C7382" s="4">
        <v>2550</v>
      </c>
      <c r="D7382" s="4">
        <v>2033475</v>
      </c>
    </row>
    <row r="7383" spans="1:4" x14ac:dyDescent="0.25">
      <c r="A7383" t="str">
        <f>T("   843280")</f>
        <v xml:space="preserve">   843280</v>
      </c>
      <c r="B7383" t="str">
        <f>T("   AUTRES MACHINES, APPAREILS ET ENGINS")</f>
        <v xml:space="preserve">   AUTRES MACHINES, APPAREILS ET ENGINS</v>
      </c>
      <c r="C7383" s="4">
        <v>18225</v>
      </c>
      <c r="D7383" s="4">
        <v>118599564</v>
      </c>
    </row>
    <row r="7384" spans="1:4" x14ac:dyDescent="0.25">
      <c r="A7384" t="str">
        <f>T("   843311")</f>
        <v xml:space="preserve">   843311</v>
      </c>
      <c r="B7384" t="str">
        <f>T("   A MOTEUR, DONT LE DISPOSITIF DE COUPE TOURNE DANS UN PLAN HORIZONTAL")</f>
        <v xml:space="preserve">   A MOTEUR, DONT LE DISPOSITIF DE COUPE TOURNE DANS UN PLAN HORIZONTAL</v>
      </c>
      <c r="C7384" s="4">
        <v>737.37</v>
      </c>
      <c r="D7384" s="4">
        <v>3021634</v>
      </c>
    </row>
    <row r="7385" spans="1:4" x14ac:dyDescent="0.25">
      <c r="A7385" t="str">
        <f>T("   843359")</f>
        <v xml:space="preserve">   843359</v>
      </c>
      <c r="B7385" t="str">
        <f>T("   AUTRES")</f>
        <v xml:space="preserve">   AUTRES</v>
      </c>
      <c r="C7385" s="4">
        <v>2000</v>
      </c>
      <c r="D7385" s="4">
        <v>1115132</v>
      </c>
    </row>
    <row r="7386" spans="1:4" x14ac:dyDescent="0.25">
      <c r="A7386" t="str">
        <f>T("   843790")</f>
        <v xml:space="preserve">   843790</v>
      </c>
      <c r="B7386" t="str">
        <f>T("   PARTIES")</f>
        <v xml:space="preserve">   PARTIES</v>
      </c>
      <c r="C7386" s="4">
        <v>850</v>
      </c>
      <c r="D7386" s="4">
        <v>244718</v>
      </c>
    </row>
    <row r="7387" spans="1:4" x14ac:dyDescent="0.25">
      <c r="A7387" t="str">
        <f>T("   843880")</f>
        <v xml:space="preserve">   843880</v>
      </c>
      <c r="B7387" t="str">
        <f>T("   AUTRES MACHINES ET APPAREILS")</f>
        <v xml:space="preserve">   AUTRES MACHINES ET APPAREILS</v>
      </c>
      <c r="C7387" s="4">
        <v>323648</v>
      </c>
      <c r="D7387" s="4">
        <v>921896023</v>
      </c>
    </row>
    <row r="7388" spans="1:4" x14ac:dyDescent="0.25">
      <c r="A7388" t="str">
        <f>T("   844339")</f>
        <v xml:space="preserve">   844339</v>
      </c>
      <c r="B7388" t="str">
        <f>T("   AUTRES")</f>
        <v xml:space="preserve">   AUTRES</v>
      </c>
      <c r="C7388" s="4">
        <v>18000</v>
      </c>
      <c r="D7388" s="4">
        <v>10743313</v>
      </c>
    </row>
    <row r="7389" spans="1:4" x14ac:dyDescent="0.25">
      <c r="A7389" t="str">
        <f>T("   844391")</f>
        <v xml:space="preserve">   844391</v>
      </c>
      <c r="B7389" t="str">
        <f>T("   PARTIES ET ACCESSOIRES DE MACHINES ET D’APPAREILS SERVANT A L’IMPRESSION AU MOYEN DE")</f>
        <v xml:space="preserve">   PARTIES ET ACCESSOIRES DE MACHINES ET D’APPAREILS SERVANT A L’IMPRESSION AU MOYEN DE</v>
      </c>
      <c r="C7389" s="4">
        <v>323</v>
      </c>
      <c r="D7389" s="4">
        <v>1996572</v>
      </c>
    </row>
    <row r="7390" spans="1:4" x14ac:dyDescent="0.25">
      <c r="A7390" t="str">
        <f>T("   844399")</f>
        <v xml:space="preserve">   844399</v>
      </c>
      <c r="B7390" t="str">
        <f>T("   AUTRES")</f>
        <v xml:space="preserve">   AUTRES</v>
      </c>
      <c r="C7390" s="4">
        <v>4350</v>
      </c>
      <c r="D7390" s="4">
        <v>3399185</v>
      </c>
    </row>
    <row r="7391" spans="1:4" x14ac:dyDescent="0.25">
      <c r="A7391" t="str">
        <f>T("   845011")</f>
        <v xml:space="preserve">   845011</v>
      </c>
      <c r="B7391" t="str">
        <f>T("   MACHINES ENTIEREMENT AUTOMATIQUES")</f>
        <v xml:space="preserve">   MACHINES ENTIEREMENT AUTOMATIQUES</v>
      </c>
      <c r="C7391" s="4">
        <v>1269</v>
      </c>
      <c r="D7391" s="4">
        <v>1124971</v>
      </c>
    </row>
    <row r="7392" spans="1:4" x14ac:dyDescent="0.25">
      <c r="A7392" t="str">
        <f>T("   845090")</f>
        <v xml:space="preserve">   845090</v>
      </c>
      <c r="B7392" t="str">
        <f>T("   PARTIES")</f>
        <v xml:space="preserve">   PARTIES</v>
      </c>
      <c r="C7392" s="4">
        <v>19</v>
      </c>
      <c r="D7392" s="4">
        <v>30174</v>
      </c>
    </row>
    <row r="7393" spans="1:4" x14ac:dyDescent="0.25">
      <c r="A7393" t="str">
        <f>T("   845130")</f>
        <v xml:space="preserve">   845130</v>
      </c>
      <c r="B7393" t="str">
        <f>T("   MACHINES ET PRESSES A REPASSER, Y COMPRIS LES PRESSES A FIXER")</f>
        <v xml:space="preserve">   MACHINES ET PRESSES A REPASSER, Y COMPRIS LES PRESSES A FIXER</v>
      </c>
      <c r="C7393" s="4">
        <v>240</v>
      </c>
      <c r="D7393" s="4">
        <v>3737004</v>
      </c>
    </row>
    <row r="7394" spans="1:4" x14ac:dyDescent="0.25">
      <c r="A7394" t="str">
        <f>T("   845210")</f>
        <v xml:space="preserve">   845210</v>
      </c>
      <c r="B7394" t="str">
        <f>T("   Machines a coudre de type menager")</f>
        <v xml:space="preserve">   Machines a coudre de type menager</v>
      </c>
      <c r="C7394" s="4">
        <v>790</v>
      </c>
      <c r="D7394" s="4">
        <v>249598</v>
      </c>
    </row>
    <row r="7395" spans="1:4" x14ac:dyDescent="0.25">
      <c r="A7395" t="str">
        <f>T("   845229")</f>
        <v xml:space="preserve">   845229</v>
      </c>
      <c r="B7395" t="str">
        <f>T("   AUTRES")</f>
        <v xml:space="preserve">   AUTRES</v>
      </c>
      <c r="C7395" s="4">
        <v>150</v>
      </c>
      <c r="D7395" s="4">
        <v>76747</v>
      </c>
    </row>
    <row r="7396" spans="1:4" x14ac:dyDescent="0.25">
      <c r="A7396" t="str">
        <f>T("   845929")</f>
        <v xml:space="preserve">   845929</v>
      </c>
      <c r="B7396" t="str">
        <f>T("   AUTRES")</f>
        <v xml:space="preserve">   AUTRES</v>
      </c>
      <c r="C7396" s="4">
        <v>2200</v>
      </c>
      <c r="D7396" s="4">
        <v>27736613</v>
      </c>
    </row>
    <row r="7397" spans="1:4" x14ac:dyDescent="0.25">
      <c r="A7397" t="str">
        <f>T("   846190")</f>
        <v xml:space="preserve">   846190</v>
      </c>
      <c r="B7397" t="str">
        <f>T("   AUTRES")</f>
        <v xml:space="preserve">   AUTRES</v>
      </c>
      <c r="C7397" s="4">
        <v>2385</v>
      </c>
      <c r="D7397" s="4">
        <v>2100000</v>
      </c>
    </row>
    <row r="7398" spans="1:4" x14ac:dyDescent="0.25">
      <c r="A7398" t="str">
        <f>T("   846310")</f>
        <v xml:space="preserve">   846310</v>
      </c>
      <c r="B7398" t="str">
        <f>T("   BANCS A ETIRER LES BARRES, TUBES, PROFILES, FILS OU SIMILAIRES")</f>
        <v xml:space="preserve">   BANCS A ETIRER LES BARRES, TUBES, PROFILES, FILS OU SIMILAIRES</v>
      </c>
      <c r="C7398" s="4">
        <v>6550</v>
      </c>
      <c r="D7398" s="4">
        <v>42542515</v>
      </c>
    </row>
    <row r="7399" spans="1:4" x14ac:dyDescent="0.25">
      <c r="A7399" t="str">
        <f>T("   846330")</f>
        <v xml:space="preserve">   846330</v>
      </c>
      <c r="B7399" t="str">
        <f>T("   Machines pour le travail des metaux sous forme de fil")</f>
        <v xml:space="preserve">   Machines pour le travail des metaux sous forme de fil</v>
      </c>
      <c r="C7399" s="4">
        <v>2</v>
      </c>
      <c r="D7399" s="4">
        <v>451648</v>
      </c>
    </row>
    <row r="7400" spans="1:4" x14ac:dyDescent="0.25">
      <c r="A7400" t="str">
        <f>T("   846591")</f>
        <v xml:space="preserve">   846591</v>
      </c>
      <c r="B7400" t="str">
        <f>T("   MACHINES A SCIER")</f>
        <v xml:space="preserve">   MACHINES A SCIER</v>
      </c>
      <c r="C7400" s="4">
        <v>46650</v>
      </c>
      <c r="D7400" s="4">
        <v>37825905</v>
      </c>
    </row>
    <row r="7401" spans="1:4" x14ac:dyDescent="0.25">
      <c r="A7401" t="str">
        <f>T("   846599")</f>
        <v xml:space="preserve">   846599</v>
      </c>
      <c r="B7401" t="str">
        <f>T("   AUTRES")</f>
        <v xml:space="preserve">   AUTRES</v>
      </c>
      <c r="C7401" s="4">
        <v>45945</v>
      </c>
      <c r="D7401" s="4">
        <v>63577626</v>
      </c>
    </row>
    <row r="7402" spans="1:4" x14ac:dyDescent="0.25">
      <c r="A7402" t="str">
        <f>T("   846721")</f>
        <v xml:space="preserve">   846721</v>
      </c>
      <c r="B7402" t="str">
        <f>T("   PERCEUSES DE TOUS GENRES, Y COMPRIS LES PERFORATRICES ROTATIVES")</f>
        <v xml:space="preserve">   PERCEUSES DE TOUS GENRES, Y COMPRIS LES PERFORATRICES ROTATIVES</v>
      </c>
      <c r="C7402" s="4">
        <v>38</v>
      </c>
      <c r="D7402" s="4">
        <v>150136</v>
      </c>
    </row>
    <row r="7403" spans="1:4" x14ac:dyDescent="0.25">
      <c r="A7403" t="str">
        <f>T("   846792")</f>
        <v xml:space="preserve">   846792</v>
      </c>
      <c r="B7403" t="str">
        <f>T("   D'OUTILS PNEUMATIQUES")</f>
        <v xml:space="preserve">   D'OUTILS PNEUMATIQUES</v>
      </c>
      <c r="C7403" s="4">
        <v>1</v>
      </c>
      <c r="D7403" s="4">
        <v>102482</v>
      </c>
    </row>
    <row r="7404" spans="1:4" x14ac:dyDescent="0.25">
      <c r="A7404" t="str">
        <f>T("   846880")</f>
        <v xml:space="preserve">   846880</v>
      </c>
      <c r="B7404" t="str">
        <f>T("   AUTRES MACHINES ET APPAREILS")</f>
        <v xml:space="preserve">   AUTRES MACHINES ET APPAREILS</v>
      </c>
      <c r="C7404" s="4">
        <v>3000</v>
      </c>
      <c r="D7404" s="4">
        <v>1903923</v>
      </c>
    </row>
    <row r="7405" spans="1:4" x14ac:dyDescent="0.25">
      <c r="A7405" t="str">
        <f>T("   847130")</f>
        <v xml:space="preserve">   847130</v>
      </c>
      <c r="B7405" t="str">
        <f>T("   MACHINES AUTOMATIQUES DE TRAITEMENT DE L'INFORMATION PORTATIVES, D'UN POIDS N'EXCEDAN")</f>
        <v xml:space="preserve">   MACHINES AUTOMATIQUES DE TRAITEMENT DE L'INFORMATION PORTATIVES, D'UN POIDS N'EXCEDAN</v>
      </c>
      <c r="C7405" s="4">
        <v>54</v>
      </c>
      <c r="D7405" s="4">
        <v>2961660</v>
      </c>
    </row>
    <row r="7406" spans="1:4" x14ac:dyDescent="0.25">
      <c r="A7406" t="str">
        <f>T("   847141")</f>
        <v xml:space="preserve">   847141</v>
      </c>
      <c r="B7406" t="str">
        <f>T("   COMPORTANT, SOUS UNE MEME ENVELOPPE, AU MOINS UNE UNITE CENTRALE DE TRAITEMENT ET, Q")</f>
        <v xml:space="preserve">   COMPORTANT, SOUS UNE MEME ENVELOPPE, AU MOINS UNE UNITE CENTRALE DE TRAITEMENT ET, Q</v>
      </c>
      <c r="C7406" s="4">
        <v>200</v>
      </c>
      <c r="D7406" s="4">
        <v>177109</v>
      </c>
    </row>
    <row r="7407" spans="1:4" x14ac:dyDescent="0.25">
      <c r="A7407" t="str">
        <f>T("   847149")</f>
        <v xml:space="preserve">   847149</v>
      </c>
      <c r="B7407" t="str">
        <f>T("   AUTRES, SE PRESENTANT SOUS FORME DE SYSTEMES")</f>
        <v xml:space="preserve">   AUTRES, SE PRESENTANT SOUS FORME DE SYSTEMES</v>
      </c>
      <c r="C7407" s="4">
        <v>280</v>
      </c>
      <c r="D7407" s="4">
        <v>81995</v>
      </c>
    </row>
    <row r="7408" spans="1:4" x14ac:dyDescent="0.25">
      <c r="A7408" t="str">
        <f>T("   847180")</f>
        <v xml:space="preserve">   847180</v>
      </c>
      <c r="B7408" t="str">
        <f>T("   AUTRES UNITES DE MACHINES AUTOMATIQUES DE TRAITEMENT DE L'INFORMATION")</f>
        <v xml:space="preserve">   AUTRES UNITES DE MACHINES AUTOMATIQUES DE TRAITEMENT DE L'INFORMATION</v>
      </c>
      <c r="C7408" s="4">
        <v>1418</v>
      </c>
      <c r="D7408" s="4">
        <v>672969</v>
      </c>
    </row>
    <row r="7409" spans="1:4" x14ac:dyDescent="0.25">
      <c r="A7409" t="str">
        <f>T("   847190")</f>
        <v xml:space="preserve">   847190</v>
      </c>
      <c r="B7409" t="str">
        <f>T("   AUTRES")</f>
        <v xml:space="preserve">   AUTRES</v>
      </c>
      <c r="C7409" s="4">
        <v>4005</v>
      </c>
      <c r="D7409" s="4">
        <v>995931</v>
      </c>
    </row>
    <row r="7410" spans="1:4" x14ac:dyDescent="0.25">
      <c r="A7410" t="str">
        <f>T("   847431")</f>
        <v xml:space="preserve">   847431</v>
      </c>
      <c r="B7410" t="str">
        <f>T("   BETONNIERES ET APPAREILS A GACHER LE CIMENT")</f>
        <v xml:space="preserve">   BETONNIERES ET APPAREILS A GACHER LE CIMENT</v>
      </c>
      <c r="C7410" s="4">
        <v>6000</v>
      </c>
      <c r="D7410" s="4">
        <v>7988117</v>
      </c>
    </row>
    <row r="7411" spans="1:4" x14ac:dyDescent="0.25">
      <c r="A7411" t="str">
        <f>T("   847490")</f>
        <v xml:space="preserve">   847490</v>
      </c>
      <c r="B7411" t="str">
        <f>T("   PARTIES")</f>
        <v xml:space="preserve">   PARTIES</v>
      </c>
      <c r="C7411" s="4">
        <v>4000</v>
      </c>
      <c r="D7411" s="4">
        <v>35241450</v>
      </c>
    </row>
    <row r="7412" spans="1:4" x14ac:dyDescent="0.25">
      <c r="A7412" t="str">
        <f>T("   847790")</f>
        <v xml:space="preserve">   847790</v>
      </c>
      <c r="B7412" t="str">
        <f>T("   PARTIES")</f>
        <v xml:space="preserve">   PARTIES</v>
      </c>
      <c r="C7412" s="4">
        <v>5.8</v>
      </c>
      <c r="D7412" s="4">
        <v>2760014</v>
      </c>
    </row>
    <row r="7413" spans="1:4" x14ac:dyDescent="0.25">
      <c r="A7413" t="str">
        <f>T("   847982")</f>
        <v xml:space="preserve">   847982</v>
      </c>
      <c r="B7413" t="str">
        <f>T("   A MELANGER, MALAXER, CONCASSER, BROYER, CRIBLER, TAMISER, HOMOGENEISER, EMULSIONNER")</f>
        <v xml:space="preserve">   A MELANGER, MALAXER, CONCASSER, BROYER, CRIBLER, TAMISER, HOMOGENEISER, EMULSIONNER</v>
      </c>
      <c r="C7413" s="4">
        <v>16</v>
      </c>
      <c r="D7413" s="4">
        <v>3770784</v>
      </c>
    </row>
    <row r="7414" spans="1:4" x14ac:dyDescent="0.25">
      <c r="A7414" t="str">
        <f>T("   847989")</f>
        <v xml:space="preserve">   847989</v>
      </c>
      <c r="B7414" t="str">
        <f>T("   AUTRES")</f>
        <v xml:space="preserve">   AUTRES</v>
      </c>
      <c r="C7414" s="4">
        <v>180680</v>
      </c>
      <c r="D7414" s="4">
        <v>308814818</v>
      </c>
    </row>
    <row r="7415" spans="1:4" x14ac:dyDescent="0.25">
      <c r="A7415" t="str">
        <f>T("   847990")</f>
        <v xml:space="preserve">   847990</v>
      </c>
      <c r="B7415" t="str">
        <f>T("   PARTIES")</f>
        <v xml:space="preserve">   PARTIES</v>
      </c>
      <c r="C7415" s="4">
        <v>113</v>
      </c>
      <c r="D7415" s="4">
        <v>2170668</v>
      </c>
    </row>
    <row r="7416" spans="1:4" x14ac:dyDescent="0.25">
      <c r="A7416" t="str">
        <f>T("   848180")</f>
        <v xml:space="preserve">   848180</v>
      </c>
      <c r="B7416" t="str">
        <f>T("   Autres articles de robinetterie et organes similaires")</f>
        <v xml:space="preserve">   Autres articles de robinetterie et organes similaires</v>
      </c>
      <c r="C7416" s="4">
        <v>36018</v>
      </c>
      <c r="D7416" s="4">
        <v>54010375</v>
      </c>
    </row>
    <row r="7417" spans="1:4" x14ac:dyDescent="0.25">
      <c r="A7417" t="str">
        <f>T("   848190")</f>
        <v xml:space="preserve">   848190</v>
      </c>
      <c r="B7417" t="str">
        <f>T("   PARTIES")</f>
        <v xml:space="preserve">   PARTIES</v>
      </c>
      <c r="C7417" s="4">
        <v>1265</v>
      </c>
      <c r="D7417" s="4">
        <v>5729811</v>
      </c>
    </row>
    <row r="7418" spans="1:4" x14ac:dyDescent="0.25">
      <c r="A7418" t="str">
        <f>T("   848280")</f>
        <v xml:space="preserve">   848280</v>
      </c>
      <c r="B7418" t="str">
        <f>T("   AUTRES, Y COMPRIS LES ROULEMENTS COMBINES")</f>
        <v xml:space="preserve">   AUTRES, Y COMPRIS LES ROULEMENTS COMBINES</v>
      </c>
      <c r="C7418" s="4">
        <v>15000</v>
      </c>
      <c r="D7418" s="4">
        <v>5461523</v>
      </c>
    </row>
    <row r="7419" spans="1:4" x14ac:dyDescent="0.25">
      <c r="A7419" t="str">
        <f>T("   848291")</f>
        <v xml:space="preserve">   848291</v>
      </c>
      <c r="B7419" t="str">
        <f>T("   BILLES, GALETS, ROULEAUX ET AIGUILLES")</f>
        <v xml:space="preserve">   BILLES, GALETS, ROULEAUX ET AIGUILLES</v>
      </c>
      <c r="C7419" s="4">
        <v>1000</v>
      </c>
      <c r="D7419" s="4">
        <v>22731537</v>
      </c>
    </row>
    <row r="7420" spans="1:4" x14ac:dyDescent="0.25">
      <c r="A7420" t="str">
        <f>T("   848299")</f>
        <v xml:space="preserve">   848299</v>
      </c>
      <c r="B7420" t="str">
        <f>T("   AUTRES")</f>
        <v xml:space="preserve">   AUTRES</v>
      </c>
      <c r="C7420" s="4">
        <v>8.4</v>
      </c>
      <c r="D7420" s="4">
        <v>4570998</v>
      </c>
    </row>
    <row r="7421" spans="1:4" x14ac:dyDescent="0.25">
      <c r="A7421" t="str">
        <f>T("   848310")</f>
        <v xml:space="preserve">   848310</v>
      </c>
      <c r="B7421" t="str">
        <f>T("   ARBRES DE TRANSMISSION (Y COMPRIS LES ARBRES A CAMES ET LES VILEBREQUINS) ET MANIVELL")</f>
        <v xml:space="preserve">   ARBRES DE TRANSMISSION (Y COMPRIS LES ARBRES A CAMES ET LES VILEBREQUINS) ET MANIVELL</v>
      </c>
      <c r="C7421" s="4">
        <v>150</v>
      </c>
      <c r="D7421" s="4">
        <v>363402</v>
      </c>
    </row>
    <row r="7422" spans="1:4" x14ac:dyDescent="0.25">
      <c r="A7422" t="str">
        <f>T("   848350")</f>
        <v xml:space="preserve">   848350</v>
      </c>
      <c r="B7422" t="str">
        <f>T("   VOLANTS ET POULIES, Y COMPRIS LES POULIES A MOUFLES")</f>
        <v xml:space="preserve">   VOLANTS ET POULIES, Y COMPRIS LES POULIES A MOUFLES</v>
      </c>
      <c r="C7422" s="4">
        <v>125</v>
      </c>
      <c r="D7422" s="4">
        <v>2051574</v>
      </c>
    </row>
    <row r="7423" spans="1:4" x14ac:dyDescent="0.25">
      <c r="A7423" t="str">
        <f>T("   848490")</f>
        <v xml:space="preserve">   848490</v>
      </c>
      <c r="B7423" t="str">
        <f>T("   AUTRES")</f>
        <v xml:space="preserve">   AUTRES</v>
      </c>
      <c r="C7423" s="4">
        <v>222.7</v>
      </c>
      <c r="D7423" s="4">
        <v>708636</v>
      </c>
    </row>
    <row r="7424" spans="1:4" x14ac:dyDescent="0.25">
      <c r="A7424" t="str">
        <f>T("   850161")</f>
        <v xml:space="preserve">   850161</v>
      </c>
      <c r="B7424" t="str">
        <f>T("   D'UNE PUISSANCE N'EXCEDANT PAS 75 KVA")</f>
        <v xml:space="preserve">   D'UNE PUISSANCE N'EXCEDANT PAS 75 KVA</v>
      </c>
      <c r="C7424" s="4">
        <v>4000</v>
      </c>
      <c r="D7424" s="4">
        <v>5993834</v>
      </c>
    </row>
    <row r="7425" spans="1:4" x14ac:dyDescent="0.25">
      <c r="A7425" t="str">
        <f>T("   850211")</f>
        <v xml:space="preserve">   850211</v>
      </c>
      <c r="B7425" t="str">
        <f>T("   D'UNE PUISSANCE N'EXCEDANT PAS 75 KVA")</f>
        <v xml:space="preserve">   D'UNE PUISSANCE N'EXCEDANT PAS 75 KVA</v>
      </c>
      <c r="C7425" s="4">
        <v>42300</v>
      </c>
      <c r="D7425" s="4">
        <v>327483780</v>
      </c>
    </row>
    <row r="7426" spans="1:4" x14ac:dyDescent="0.25">
      <c r="A7426" t="str">
        <f>T("   850212")</f>
        <v xml:space="preserve">   850212</v>
      </c>
      <c r="B7426" t="str">
        <f>T("   D'UNE PUISSANCE EXCEDANT 75 KVA MAIS N'EXCEDANT PAS 375 KVA")</f>
        <v xml:space="preserve">   D'UNE PUISSANCE EXCEDANT 75 KVA MAIS N'EXCEDANT PAS 375 KVA</v>
      </c>
      <c r="C7426" s="4">
        <v>3350</v>
      </c>
      <c r="D7426" s="4">
        <v>30247182</v>
      </c>
    </row>
    <row r="7427" spans="1:4" x14ac:dyDescent="0.25">
      <c r="A7427" t="str">
        <f>T("   850213")</f>
        <v xml:space="preserve">   850213</v>
      </c>
      <c r="B7427" t="str">
        <f>T("   D'UNE PUISSANCE EXCEDANT 375 KVA")</f>
        <v xml:space="preserve">   D'UNE PUISSANCE EXCEDANT 375 KVA</v>
      </c>
      <c r="C7427" s="4">
        <v>46995</v>
      </c>
      <c r="D7427" s="4">
        <v>266468663</v>
      </c>
    </row>
    <row r="7428" spans="1:4" x14ac:dyDescent="0.25">
      <c r="A7428" t="str">
        <f>T("   850220")</f>
        <v xml:space="preserve">   850220</v>
      </c>
      <c r="B7428" t="str">
        <f>T("   GROUPES ELECTROGENES A MOTEUR A PISTON A ALLUMAGE PAR ETINCELLES (MOTEURS A EXPLOSION")</f>
        <v xml:space="preserve">   GROUPES ELECTROGENES A MOTEUR A PISTON A ALLUMAGE PAR ETINCELLES (MOTEURS A EXPLOSION</v>
      </c>
      <c r="C7428" s="4">
        <v>900</v>
      </c>
      <c r="D7428" s="4">
        <v>10876362</v>
      </c>
    </row>
    <row r="7429" spans="1:4" x14ac:dyDescent="0.25">
      <c r="A7429" t="str">
        <f>T("   850239")</f>
        <v xml:space="preserve">   850239</v>
      </c>
      <c r="B7429" t="str">
        <f>T("   AUTRES")</f>
        <v xml:space="preserve">   AUTRES</v>
      </c>
      <c r="C7429" s="4">
        <v>32534</v>
      </c>
      <c r="D7429" s="4">
        <v>75388930</v>
      </c>
    </row>
    <row r="7430" spans="1:4" x14ac:dyDescent="0.25">
      <c r="A7430" t="str">
        <f>T("   850421")</f>
        <v xml:space="preserve">   850421</v>
      </c>
      <c r="B7430" t="str">
        <f>T("   D'UNE PUISSANCE N'EXCEDANT PAS 650 KVA")</f>
        <v xml:space="preserve">   D'UNE PUISSANCE N'EXCEDANT PAS 650 KVA</v>
      </c>
      <c r="C7430" s="4">
        <v>8</v>
      </c>
      <c r="D7430" s="4">
        <v>159900</v>
      </c>
    </row>
    <row r="7431" spans="1:4" x14ac:dyDescent="0.25">
      <c r="A7431" t="str">
        <f>T("   850431")</f>
        <v xml:space="preserve">   850431</v>
      </c>
      <c r="B7431" t="str">
        <f>T("   D'UNE PUISSANCE N'EXCEDANT PAS 1 KVA")</f>
        <v xml:space="preserve">   D'UNE PUISSANCE N'EXCEDANT PAS 1 KVA</v>
      </c>
      <c r="C7431" s="4">
        <v>42</v>
      </c>
      <c r="D7431" s="4">
        <v>684962</v>
      </c>
    </row>
    <row r="7432" spans="1:4" x14ac:dyDescent="0.25">
      <c r="A7432" t="str">
        <f>T("   850432")</f>
        <v xml:space="preserve">   850432</v>
      </c>
      <c r="B7432" t="str">
        <f>T("   D'UNE PUISSANCE EXCEDANT 1 KVA MAIS N'EXCEDANT PAS 16 KVA")</f>
        <v xml:space="preserve">   D'UNE PUISSANCE EXCEDANT 1 KVA MAIS N'EXCEDANT PAS 16 KVA</v>
      </c>
      <c r="C7432" s="4">
        <v>1037</v>
      </c>
      <c r="D7432" s="4">
        <v>4162823</v>
      </c>
    </row>
    <row r="7433" spans="1:4" x14ac:dyDescent="0.25">
      <c r="A7433" t="str">
        <f>T("   850433")</f>
        <v xml:space="preserve">   850433</v>
      </c>
      <c r="B7433" t="str">
        <f>T("   D'UNE PUISSANCE EXCEDANT 16 KVA MAIS N'EXCEDANT PAS 500 KVA")</f>
        <v xml:space="preserve">   D'UNE PUISSANCE EXCEDANT 16 KVA MAIS N'EXCEDANT PAS 500 KVA</v>
      </c>
      <c r="C7433" s="4">
        <v>15818</v>
      </c>
      <c r="D7433" s="4">
        <v>112235211</v>
      </c>
    </row>
    <row r="7434" spans="1:4" x14ac:dyDescent="0.25">
      <c r="A7434" t="str">
        <f>T("   850440")</f>
        <v xml:space="preserve">   850440</v>
      </c>
      <c r="B7434" t="str">
        <f>T("   CONVERTISSEURS STATIQUES")</f>
        <v xml:space="preserve">   CONVERTISSEURS STATIQUES</v>
      </c>
      <c r="C7434" s="4">
        <v>5828</v>
      </c>
      <c r="D7434" s="4">
        <v>47050227</v>
      </c>
    </row>
    <row r="7435" spans="1:4" x14ac:dyDescent="0.25">
      <c r="A7435" t="str">
        <f>T("   850450")</f>
        <v xml:space="preserve">   850450</v>
      </c>
      <c r="B7435" t="str">
        <f>T("   AUTRES BOBINES DE REACTANCE ET AUTRES SELFS")</f>
        <v xml:space="preserve">   AUTRES BOBINES DE REACTANCE ET AUTRES SELFS</v>
      </c>
      <c r="C7435" s="4">
        <v>8731</v>
      </c>
      <c r="D7435" s="4">
        <v>43063915</v>
      </c>
    </row>
    <row r="7436" spans="1:4" x14ac:dyDescent="0.25">
      <c r="A7436" t="str">
        <f>T("   850490")</f>
        <v xml:space="preserve">   850490</v>
      </c>
      <c r="B7436" t="str">
        <f>T("   PARTIES")</f>
        <v xml:space="preserve">   PARTIES</v>
      </c>
      <c r="C7436" s="4">
        <v>190</v>
      </c>
      <c r="D7436" s="4">
        <v>367797</v>
      </c>
    </row>
    <row r="7437" spans="1:4" x14ac:dyDescent="0.25">
      <c r="A7437" t="str">
        <f>T("   850710")</f>
        <v xml:space="preserve">   850710</v>
      </c>
      <c r="B7437" t="str">
        <f>T("   AU PLOMB, DES TYPES UTILISES POUR LE DEMARRAGE DES MOTEURS A PISTON")</f>
        <v xml:space="preserve">   AU PLOMB, DES TYPES UTILISES POUR LE DEMARRAGE DES MOTEURS A PISTON</v>
      </c>
      <c r="C7437" s="4">
        <v>300</v>
      </c>
      <c r="D7437" s="4">
        <v>170000</v>
      </c>
    </row>
    <row r="7438" spans="1:4" x14ac:dyDescent="0.25">
      <c r="A7438" t="str">
        <f>T("   850780")</f>
        <v xml:space="preserve">   850780</v>
      </c>
      <c r="B7438" t="str">
        <f>T("   AUTRES ACCUMULATEURS")</f>
        <v xml:space="preserve">   AUTRES ACCUMULATEURS</v>
      </c>
      <c r="C7438" s="4">
        <v>2169</v>
      </c>
      <c r="D7438" s="4">
        <v>2890160</v>
      </c>
    </row>
    <row r="7439" spans="1:4" x14ac:dyDescent="0.25">
      <c r="A7439" t="str">
        <f>T("   850980")</f>
        <v xml:space="preserve">   850980</v>
      </c>
      <c r="B7439" t="str">
        <f>T("   AUTRES APPAREILS")</f>
        <v xml:space="preserve">   AUTRES APPAREILS</v>
      </c>
      <c r="C7439" s="4">
        <v>3360</v>
      </c>
      <c r="D7439" s="4">
        <v>2246664</v>
      </c>
    </row>
    <row r="7440" spans="1:4" x14ac:dyDescent="0.25">
      <c r="A7440" t="str">
        <f>T("   851020")</f>
        <v xml:space="preserve">   851020</v>
      </c>
      <c r="B7440" t="str">
        <f>T("   TONDEUSES")</f>
        <v xml:space="preserve">   TONDEUSES</v>
      </c>
      <c r="C7440" s="4">
        <v>546</v>
      </c>
      <c r="D7440" s="4">
        <v>774689</v>
      </c>
    </row>
    <row r="7441" spans="1:4" x14ac:dyDescent="0.25">
      <c r="A7441" t="str">
        <f>T("   851430")</f>
        <v xml:space="preserve">   851430</v>
      </c>
      <c r="B7441" t="str">
        <f>T("   AUTRES FOURS")</f>
        <v xml:space="preserve">   AUTRES FOURS</v>
      </c>
      <c r="C7441" s="4">
        <v>560</v>
      </c>
      <c r="D7441" s="4">
        <v>137869</v>
      </c>
    </row>
    <row r="7442" spans="1:4" x14ac:dyDescent="0.25">
      <c r="A7442" t="str">
        <f>T("   851580")</f>
        <v xml:space="preserve">   851580</v>
      </c>
      <c r="B7442" t="str">
        <f>T("   AUTRES MACHINES ET APPAREILS")</f>
        <v xml:space="preserve">   AUTRES MACHINES ET APPAREILS</v>
      </c>
      <c r="C7442" s="4">
        <v>6100</v>
      </c>
      <c r="D7442" s="4">
        <v>4253906</v>
      </c>
    </row>
    <row r="7443" spans="1:4" x14ac:dyDescent="0.25">
      <c r="A7443" t="str">
        <f>T("   851590")</f>
        <v xml:space="preserve">   851590</v>
      </c>
      <c r="B7443" t="str">
        <f>T("   PARTIES")</f>
        <v xml:space="preserve">   PARTIES</v>
      </c>
      <c r="C7443" s="4">
        <v>123.9</v>
      </c>
      <c r="D7443" s="4">
        <v>2754638</v>
      </c>
    </row>
    <row r="7444" spans="1:4" x14ac:dyDescent="0.25">
      <c r="A7444" t="str">
        <f>T("   851610")</f>
        <v xml:space="preserve">   851610</v>
      </c>
      <c r="B7444" t="str">
        <f>T("   CHAUFFEEAU ET THERMOPLONGEURS ELECTRIQUES")</f>
        <v xml:space="preserve">   CHAUFFEEAU ET THERMOPLONGEURS ELECTRIQUES</v>
      </c>
      <c r="C7444" s="4">
        <v>3275</v>
      </c>
      <c r="D7444" s="4">
        <v>3272197</v>
      </c>
    </row>
    <row r="7445" spans="1:4" x14ac:dyDescent="0.25">
      <c r="A7445" t="str">
        <f>T("   851640")</f>
        <v xml:space="preserve">   851640</v>
      </c>
      <c r="B7445" t="str">
        <f>T("   Fers a repasser electriques")</f>
        <v xml:space="preserve">   Fers a repasser electriques</v>
      </c>
      <c r="C7445" s="4">
        <v>723</v>
      </c>
      <c r="D7445" s="4">
        <v>1029202</v>
      </c>
    </row>
    <row r="7446" spans="1:4" x14ac:dyDescent="0.25">
      <c r="A7446" t="str">
        <f>T("   851650")</f>
        <v xml:space="preserve">   851650</v>
      </c>
      <c r="B7446" t="str">
        <f>T("   FOURS A MICROONDES")</f>
        <v xml:space="preserve">   FOURS A MICROONDES</v>
      </c>
      <c r="C7446" s="4">
        <v>1167</v>
      </c>
      <c r="D7446" s="4">
        <v>1664171</v>
      </c>
    </row>
    <row r="7447" spans="1:4" x14ac:dyDescent="0.25">
      <c r="A7447" t="str">
        <f>T("   851660")</f>
        <v xml:space="preserve">   851660</v>
      </c>
      <c r="B7447" t="str">
        <f>T("   AUTRES FOURS; CUISINIERES, RECHAUDS (Y COMPRIS LES TABLES DE CUISSON), GRILS ET ROTIS")</f>
        <v xml:space="preserve">   AUTRES FOURS; CUISINIERES, RECHAUDS (Y COMPRIS LES TABLES DE CUISSON), GRILS ET ROTIS</v>
      </c>
      <c r="C7447" s="4">
        <v>6784</v>
      </c>
      <c r="D7447" s="4">
        <v>11833451</v>
      </c>
    </row>
    <row r="7448" spans="1:4" x14ac:dyDescent="0.25">
      <c r="A7448" t="str">
        <f>T("   851671")</f>
        <v xml:space="preserve">   851671</v>
      </c>
      <c r="B7448" t="str">
        <f>T("   APPAREILS POUR LA PREPARATION DU CAFE OU DU THE")</f>
        <v xml:space="preserve">   APPAREILS POUR LA PREPARATION DU CAFE OU DU THE</v>
      </c>
      <c r="C7448" s="4">
        <v>346</v>
      </c>
      <c r="D7448" s="4">
        <v>490002</v>
      </c>
    </row>
    <row r="7449" spans="1:4" x14ac:dyDescent="0.25">
      <c r="A7449" t="str">
        <f>T("   851679")</f>
        <v xml:space="preserve">   851679</v>
      </c>
      <c r="B7449" t="str">
        <f>T("   AUTRES")</f>
        <v xml:space="preserve">   AUTRES</v>
      </c>
      <c r="C7449" s="4">
        <v>701</v>
      </c>
      <c r="D7449" s="4">
        <v>768130</v>
      </c>
    </row>
    <row r="7450" spans="1:4" x14ac:dyDescent="0.25">
      <c r="A7450" t="str">
        <f>T("   851680")</f>
        <v xml:space="preserve">   851680</v>
      </c>
      <c r="B7450" t="str">
        <f>T("   Resistances chauffantes")</f>
        <v xml:space="preserve">   Resistances chauffantes</v>
      </c>
      <c r="C7450" s="4">
        <v>1.1000000000000001</v>
      </c>
      <c r="D7450" s="4">
        <v>202869</v>
      </c>
    </row>
    <row r="7451" spans="1:4" x14ac:dyDescent="0.25">
      <c r="A7451" t="str">
        <f>T("   851690")</f>
        <v xml:space="preserve">   851690</v>
      </c>
      <c r="B7451" t="str">
        <f>T("   PARTIES")</f>
        <v xml:space="preserve">   PARTIES</v>
      </c>
      <c r="C7451" s="4">
        <v>154</v>
      </c>
      <c r="D7451" s="4">
        <v>405383</v>
      </c>
    </row>
    <row r="7452" spans="1:4" x14ac:dyDescent="0.25">
      <c r="A7452" t="str">
        <f>T("   851718")</f>
        <v xml:space="preserve">   851718</v>
      </c>
      <c r="B7452" t="str">
        <f>T("   AUTRES")</f>
        <v xml:space="preserve">   AUTRES</v>
      </c>
      <c r="C7452" s="4">
        <v>163</v>
      </c>
      <c r="D7452" s="4">
        <v>2611978</v>
      </c>
    </row>
    <row r="7453" spans="1:4" x14ac:dyDescent="0.25">
      <c r="A7453" t="str">
        <f>T("   851762")</f>
        <v xml:space="preserve">   851762</v>
      </c>
      <c r="B7453" t="str">
        <f>T("   APPAREILS POUR LA RECEPTION, LA CONVERSION ET L'EMISSION, LA TRANSMISSION OU LA REGE")</f>
        <v xml:space="preserve">   APPAREILS POUR LA RECEPTION, LA CONVERSION ET L'EMISSION, LA TRANSMISSION OU LA REGE</v>
      </c>
      <c r="C7453" s="4">
        <v>2547</v>
      </c>
      <c r="D7453" s="4">
        <v>21199852</v>
      </c>
    </row>
    <row r="7454" spans="1:4" x14ac:dyDescent="0.25">
      <c r="A7454" t="str">
        <f>T("   851769")</f>
        <v xml:space="preserve">   851769</v>
      </c>
      <c r="B7454" t="str">
        <f>T("   AUTRES")</f>
        <v xml:space="preserve">   AUTRES</v>
      </c>
      <c r="C7454" s="4">
        <v>35</v>
      </c>
      <c r="D7454" s="4">
        <v>196788</v>
      </c>
    </row>
    <row r="7455" spans="1:4" x14ac:dyDescent="0.25">
      <c r="A7455" t="str">
        <f>T("   851770")</f>
        <v xml:space="preserve">   851770</v>
      </c>
      <c r="B7455" t="str">
        <f>T("   PARTIES")</f>
        <v xml:space="preserve">   PARTIES</v>
      </c>
      <c r="C7455" s="4">
        <v>307</v>
      </c>
      <c r="D7455" s="4">
        <v>30013454</v>
      </c>
    </row>
    <row r="7456" spans="1:4" x14ac:dyDescent="0.25">
      <c r="A7456" t="str">
        <f>T("   851829")</f>
        <v xml:space="preserve">   851829</v>
      </c>
      <c r="B7456" t="str">
        <f>T("   AUTRES")</f>
        <v xml:space="preserve">   AUTRES</v>
      </c>
      <c r="C7456" s="4">
        <v>1450</v>
      </c>
      <c r="D7456" s="4">
        <v>2185003</v>
      </c>
    </row>
    <row r="7457" spans="1:4" x14ac:dyDescent="0.25">
      <c r="A7457" t="str">
        <f>T("   851890")</f>
        <v xml:space="preserve">   851890</v>
      </c>
      <c r="B7457" t="str">
        <f>T("   PARTIES")</f>
        <v xml:space="preserve">   PARTIES</v>
      </c>
      <c r="C7457" s="4">
        <v>2152.1</v>
      </c>
      <c r="D7457" s="4">
        <v>8300000</v>
      </c>
    </row>
    <row r="7458" spans="1:4" x14ac:dyDescent="0.25">
      <c r="A7458" t="str">
        <f>T("   852190")</f>
        <v xml:space="preserve">   852190</v>
      </c>
      <c r="B7458" t="str">
        <f>T("   AUTRES")</f>
        <v xml:space="preserve">   AUTRES</v>
      </c>
      <c r="C7458" s="4">
        <v>45</v>
      </c>
      <c r="D7458" s="4">
        <v>300430</v>
      </c>
    </row>
    <row r="7459" spans="1:4" x14ac:dyDescent="0.25">
      <c r="A7459" t="str">
        <f>T("   852550")</f>
        <v xml:space="preserve">   852550</v>
      </c>
      <c r="B7459" t="str">
        <f>T("   APPAREILS D'EMISSION")</f>
        <v xml:space="preserve">   APPAREILS D'EMISSION</v>
      </c>
      <c r="C7459" s="4">
        <v>765</v>
      </c>
      <c r="D7459" s="4">
        <v>2332444</v>
      </c>
    </row>
    <row r="7460" spans="1:4" x14ac:dyDescent="0.25">
      <c r="A7460" t="str">
        <f>T("   852580")</f>
        <v xml:space="preserve">   852580</v>
      </c>
      <c r="B7460" t="str">
        <f>T("   CAMERAS DE TELEVISION, APPAREILS PHOTOGRAPHIQUES NUMERIQUES ET CAMESCOPES")</f>
        <v xml:space="preserve">   CAMERAS DE TELEVISION, APPAREILS PHOTOGRAPHIQUES NUMERIQUES ET CAMESCOPES</v>
      </c>
      <c r="C7460" s="4">
        <v>348</v>
      </c>
      <c r="D7460" s="4">
        <v>1932294</v>
      </c>
    </row>
    <row r="7461" spans="1:4" x14ac:dyDescent="0.25">
      <c r="A7461" t="str">
        <f>T("   852849")</f>
        <v xml:space="preserve">   852849</v>
      </c>
      <c r="B7461" t="str">
        <f>T("   AUTRES")</f>
        <v xml:space="preserve">   AUTRES</v>
      </c>
      <c r="C7461" s="4">
        <v>555</v>
      </c>
      <c r="D7461" s="4">
        <v>528279</v>
      </c>
    </row>
    <row r="7462" spans="1:4" x14ac:dyDescent="0.25">
      <c r="A7462" t="str">
        <f>T("   852859")</f>
        <v xml:space="preserve">   852859</v>
      </c>
      <c r="B7462" t="str">
        <f>T("   AUTRES")</f>
        <v xml:space="preserve">   AUTRES</v>
      </c>
      <c r="C7462" s="4">
        <v>3790</v>
      </c>
      <c r="D7462" s="4">
        <v>92273908</v>
      </c>
    </row>
    <row r="7463" spans="1:4" x14ac:dyDescent="0.25">
      <c r="A7463" t="str">
        <f>T("   852869")</f>
        <v xml:space="preserve">   852869</v>
      </c>
      <c r="B7463" t="str">
        <f>T("   AUTRES")</f>
        <v xml:space="preserve">   AUTRES</v>
      </c>
      <c r="C7463" s="4">
        <v>350</v>
      </c>
      <c r="D7463" s="4">
        <v>497896</v>
      </c>
    </row>
    <row r="7464" spans="1:4" x14ac:dyDescent="0.25">
      <c r="A7464" t="str">
        <f>T("   852872")</f>
        <v xml:space="preserve">   852872</v>
      </c>
      <c r="B7464" t="str">
        <f>T("   AUTRES, EN COULEURS")</f>
        <v xml:space="preserve">   AUTRES, EN COULEURS</v>
      </c>
      <c r="C7464" s="4">
        <v>12</v>
      </c>
      <c r="D7464" s="4">
        <v>101785</v>
      </c>
    </row>
    <row r="7465" spans="1:4" x14ac:dyDescent="0.25">
      <c r="A7465" t="str">
        <f>T("   852873")</f>
        <v xml:space="preserve">   852873</v>
      </c>
      <c r="B7465" t="str">
        <f>T("   AUTRES, EN MONOCHROMES")</f>
        <v xml:space="preserve">   AUTRES, EN MONOCHROMES</v>
      </c>
      <c r="C7465" s="4">
        <v>120</v>
      </c>
      <c r="D7465" s="4">
        <v>150000</v>
      </c>
    </row>
    <row r="7466" spans="1:4" x14ac:dyDescent="0.25">
      <c r="A7466" t="str">
        <f>T("   853620")</f>
        <v xml:space="preserve">   853620</v>
      </c>
      <c r="B7466" t="str">
        <f>T("   DISJONCTEURS")</f>
        <v xml:space="preserve">   DISJONCTEURS</v>
      </c>
      <c r="C7466" s="4">
        <v>3</v>
      </c>
      <c r="D7466" s="4">
        <v>78715</v>
      </c>
    </row>
    <row r="7467" spans="1:4" x14ac:dyDescent="0.25">
      <c r="A7467" t="str">
        <f>T("   853669")</f>
        <v xml:space="preserve">   853669</v>
      </c>
      <c r="B7467" t="str">
        <f>T("   AUTRES")</f>
        <v xml:space="preserve">   AUTRES</v>
      </c>
      <c r="C7467" s="4">
        <v>9798</v>
      </c>
      <c r="D7467" s="4">
        <v>9018636</v>
      </c>
    </row>
    <row r="7468" spans="1:4" x14ac:dyDescent="0.25">
      <c r="A7468" t="str">
        <f>T("   853690")</f>
        <v xml:space="preserve">   853690</v>
      </c>
      <c r="B7468" t="str">
        <f>T("   AUTRES APPAREILS")</f>
        <v xml:space="preserve">   AUTRES APPAREILS</v>
      </c>
      <c r="C7468" s="4">
        <v>7799</v>
      </c>
      <c r="D7468" s="4">
        <v>54252197</v>
      </c>
    </row>
    <row r="7469" spans="1:4" x14ac:dyDescent="0.25">
      <c r="A7469" t="str">
        <f>T("   853710")</f>
        <v xml:space="preserve">   853710</v>
      </c>
      <c r="B7469" t="str">
        <f>T("   POUR UNE TENSION N'EXCEDANT PAS 1.000 V")</f>
        <v xml:space="preserve">   POUR UNE TENSION N'EXCEDANT PAS 1.000 V</v>
      </c>
      <c r="C7469" s="4">
        <v>1511</v>
      </c>
      <c r="D7469" s="4">
        <v>26832700</v>
      </c>
    </row>
    <row r="7470" spans="1:4" x14ac:dyDescent="0.25">
      <c r="A7470" t="str">
        <f>T("   853720")</f>
        <v xml:space="preserve">   853720</v>
      </c>
      <c r="B7470" t="str">
        <f>T("   POUR UNE TENSION EXCEDANT 1.000 V")</f>
        <v xml:space="preserve">   POUR UNE TENSION EXCEDANT 1.000 V</v>
      </c>
      <c r="C7470" s="4">
        <v>113</v>
      </c>
      <c r="D7470" s="4">
        <v>104208</v>
      </c>
    </row>
    <row r="7471" spans="1:4" x14ac:dyDescent="0.25">
      <c r="A7471" t="str">
        <f>T("   853810")</f>
        <v xml:space="preserve">   853810</v>
      </c>
      <c r="B7471" t="str">
        <f>T("   TABLEAUX, PANNEAUX, CONSOLES, PUPITRES, ARMOIRES ET AUTRES SUPPORTS DU N° 85.37, DEPO")</f>
        <v xml:space="preserve">   TABLEAUX, PANNEAUX, CONSOLES, PUPITRES, ARMOIRES ET AUTRES SUPPORTS DU N° 85.37, DEPO</v>
      </c>
      <c r="C7471" s="4">
        <v>50</v>
      </c>
      <c r="D7471" s="4">
        <v>369961</v>
      </c>
    </row>
    <row r="7472" spans="1:4" x14ac:dyDescent="0.25">
      <c r="A7472" t="str">
        <f>T("   853890")</f>
        <v xml:space="preserve">   853890</v>
      </c>
      <c r="B7472" t="str">
        <f>T("   AUTRES")</f>
        <v xml:space="preserve">   AUTRES</v>
      </c>
      <c r="C7472" s="4">
        <v>1</v>
      </c>
      <c r="D7472" s="4">
        <v>262974</v>
      </c>
    </row>
    <row r="7473" spans="1:4" x14ac:dyDescent="0.25">
      <c r="A7473" t="str">
        <f>T("   853910")</f>
        <v xml:space="preserve">   853910</v>
      </c>
      <c r="B7473" t="str">
        <f>T("   ARTICLES DITS «PHARES ET PROJECTEURS SCELLES»")</f>
        <v xml:space="preserve">   ARTICLES DITS «PHARES ET PROJECTEURS SCELLES»</v>
      </c>
      <c r="C7473" s="4">
        <v>3</v>
      </c>
      <c r="D7473" s="4">
        <v>65596</v>
      </c>
    </row>
    <row r="7474" spans="1:4" x14ac:dyDescent="0.25">
      <c r="A7474" t="str">
        <f>T("   853949")</f>
        <v xml:space="preserve">   853949</v>
      </c>
      <c r="B7474" t="str">
        <f>T("   AUTRES")</f>
        <v xml:space="preserve">   AUTRES</v>
      </c>
      <c r="C7474" s="4">
        <v>8</v>
      </c>
      <c r="D7474" s="4">
        <v>59037</v>
      </c>
    </row>
    <row r="7475" spans="1:4" x14ac:dyDescent="0.25">
      <c r="A7475" t="str">
        <f>T("   854129")</f>
        <v xml:space="preserve">   854129</v>
      </c>
      <c r="B7475" t="str">
        <f>T("   AUTRES")</f>
        <v xml:space="preserve">   AUTRES</v>
      </c>
      <c r="C7475" s="4">
        <v>1</v>
      </c>
      <c r="D7475" s="4">
        <v>31486</v>
      </c>
    </row>
    <row r="7476" spans="1:4" x14ac:dyDescent="0.25">
      <c r="A7476" t="str">
        <f>T("   854150")</f>
        <v xml:space="preserve">   854150</v>
      </c>
      <c r="B7476" t="str">
        <f>T("   AUTRES DISPOSITIFS A SEMICONDUCTEUR")</f>
        <v xml:space="preserve">   AUTRES DISPOSITIFS A SEMICONDUCTEUR</v>
      </c>
      <c r="C7476" s="4">
        <v>950</v>
      </c>
      <c r="D7476" s="4">
        <v>787152</v>
      </c>
    </row>
    <row r="7477" spans="1:4" x14ac:dyDescent="0.25">
      <c r="A7477" t="str">
        <f>T("   854190")</f>
        <v xml:space="preserve">   854190</v>
      </c>
      <c r="B7477" t="str">
        <f>T("   PARTIES")</f>
        <v xml:space="preserve">   PARTIES</v>
      </c>
      <c r="C7477" s="4">
        <v>9</v>
      </c>
      <c r="D7477" s="4">
        <v>14682</v>
      </c>
    </row>
    <row r="7478" spans="1:4" x14ac:dyDescent="0.25">
      <c r="A7478" t="str">
        <f>T("   854420")</f>
        <v xml:space="preserve">   854420</v>
      </c>
      <c r="B7478" t="str">
        <f>T("   Cables coaxiaux et autres conducteurs electriques coaxiaux")</f>
        <v xml:space="preserve">   Cables coaxiaux et autres conducteurs electriques coaxiaux</v>
      </c>
      <c r="C7478" s="4">
        <v>2264</v>
      </c>
      <c r="D7478" s="4">
        <v>655728</v>
      </c>
    </row>
    <row r="7479" spans="1:4" x14ac:dyDescent="0.25">
      <c r="A7479" t="str">
        <f>T("   854449")</f>
        <v xml:space="preserve">   854449</v>
      </c>
      <c r="B7479" t="str">
        <f>T("   AUTRES")</f>
        <v xml:space="preserve">   AUTRES</v>
      </c>
      <c r="C7479" s="4">
        <v>755</v>
      </c>
      <c r="D7479" s="4">
        <v>933106</v>
      </c>
    </row>
    <row r="7480" spans="1:4" x14ac:dyDescent="0.25">
      <c r="A7480" t="str">
        <f>T("   870110")</f>
        <v xml:space="preserve">   870110</v>
      </c>
      <c r="B7480" t="str">
        <f>T("   Motoculteurs")</f>
        <v xml:space="preserve">   Motoculteurs</v>
      </c>
      <c r="C7480" s="4">
        <v>23800</v>
      </c>
      <c r="D7480" s="4">
        <v>17519583</v>
      </c>
    </row>
    <row r="7481" spans="1:4" x14ac:dyDescent="0.25">
      <c r="A7481" t="str">
        <f>T("   870120")</f>
        <v xml:space="preserve">   870120</v>
      </c>
      <c r="B7481" t="str">
        <f>T("   TRACTEURS ROUTIERS POUR SEMIREMORQUES")</f>
        <v xml:space="preserve">   TRACTEURS ROUTIERS POUR SEMIREMORQUES</v>
      </c>
      <c r="C7481" s="4">
        <v>561205</v>
      </c>
      <c r="D7481" s="4">
        <v>157617005</v>
      </c>
    </row>
    <row r="7482" spans="1:4" x14ac:dyDescent="0.25">
      <c r="A7482" t="str">
        <f>T("   870190")</f>
        <v xml:space="preserve">   870190</v>
      </c>
      <c r="B7482" t="str">
        <f>T("   AUTRES")</f>
        <v xml:space="preserve">   AUTRES</v>
      </c>
      <c r="C7482" s="4">
        <v>15610</v>
      </c>
      <c r="D7482" s="4">
        <v>13134184</v>
      </c>
    </row>
    <row r="7483" spans="1:4" x14ac:dyDescent="0.25">
      <c r="A7483" t="str">
        <f>T("   870210")</f>
        <v xml:space="preserve">   870210</v>
      </c>
      <c r="B7483" t="str">
        <f>T("   A MOTEUR A PISTON A ALLUMAGE PAR COMPRESSION (DIESEL OU SEMIDIESEL)")</f>
        <v xml:space="preserve">   A MOTEUR A PISTON A ALLUMAGE PAR COMPRESSION (DIESEL OU SEMIDIESEL)</v>
      </c>
      <c r="C7483" s="4">
        <v>26752</v>
      </c>
      <c r="D7483" s="4">
        <v>15054990</v>
      </c>
    </row>
    <row r="7484" spans="1:4" x14ac:dyDescent="0.25">
      <c r="A7484" t="str">
        <f>T("   870290")</f>
        <v xml:space="preserve">   870290</v>
      </c>
      <c r="B7484" t="str">
        <f>T("   AUTRES")</f>
        <v xml:space="preserve">   AUTRES</v>
      </c>
      <c r="C7484" s="4">
        <v>3115</v>
      </c>
      <c r="D7484" s="4">
        <v>1200000</v>
      </c>
    </row>
    <row r="7485" spans="1:4" x14ac:dyDescent="0.25">
      <c r="A7485" t="str">
        <f>T("   870321")</f>
        <v xml:space="preserve">   870321</v>
      </c>
      <c r="B7485" t="str">
        <f>T("   D’UNE CYLINDREE N’EXCEDANT PAS 1.000 CM³")</f>
        <v xml:space="preserve">   D’UNE CYLINDREE N’EXCEDANT PAS 1.000 CM³</v>
      </c>
      <c r="C7485" s="4">
        <v>1000</v>
      </c>
      <c r="D7485" s="4">
        <v>1200000</v>
      </c>
    </row>
    <row r="7486" spans="1:4" x14ac:dyDescent="0.25">
      <c r="A7486" t="str">
        <f>T("   870322")</f>
        <v xml:space="preserve">   870322</v>
      </c>
      <c r="B7486" t="str">
        <f>T("   D’UNE CYLINDREE EXCEDANT 1.000 CM³ MAIS N’EXCEDANT PAS 1.500 CM³")</f>
        <v xml:space="preserve">   D’UNE CYLINDREE EXCEDANT 1.000 CM³ MAIS N’EXCEDANT PAS 1.500 CM³</v>
      </c>
      <c r="C7486" s="4">
        <v>71415</v>
      </c>
      <c r="D7486" s="4">
        <v>56315017</v>
      </c>
    </row>
    <row r="7487" spans="1:4" x14ac:dyDescent="0.25">
      <c r="A7487" t="str">
        <f>T("   870323")</f>
        <v xml:space="preserve">   870323</v>
      </c>
      <c r="B7487" t="str">
        <f>T("   D’UNE CYLINDREE EXCEDANT 1.500 CM³ MAIS N’EXCEDANT PAS 3.000 CM³")</f>
        <v xml:space="preserve">   D’UNE CYLINDREE EXCEDANT 1.500 CM³ MAIS N’EXCEDANT PAS 3.000 CM³</v>
      </c>
      <c r="C7487" s="4">
        <v>102362</v>
      </c>
      <c r="D7487" s="4">
        <v>96992191</v>
      </c>
    </row>
    <row r="7488" spans="1:4" x14ac:dyDescent="0.25">
      <c r="A7488" t="str">
        <f>T("   870324")</f>
        <v xml:space="preserve">   870324</v>
      </c>
      <c r="B7488" t="str">
        <f>T("   D’UNE CYLINDREE EXCEDANT 3.000 CM³")</f>
        <v xml:space="preserve">   D’UNE CYLINDREE EXCEDANT 3.000 CM³</v>
      </c>
      <c r="C7488" s="4">
        <v>1536</v>
      </c>
      <c r="D7488" s="4">
        <v>3331826</v>
      </c>
    </row>
    <row r="7489" spans="1:4" x14ac:dyDescent="0.25">
      <c r="A7489" t="str">
        <f>T("   870331")</f>
        <v xml:space="preserve">   870331</v>
      </c>
      <c r="B7489" t="str">
        <f>T("   D'UNE CYLINDREE N'EXCEDANT PAS 1.500 CM³")</f>
        <v xml:space="preserve">   D'UNE CYLINDREE N'EXCEDANT PAS 1.500 CM³</v>
      </c>
      <c r="C7489" s="4">
        <v>2180</v>
      </c>
      <c r="D7489" s="4">
        <v>2743041</v>
      </c>
    </row>
    <row r="7490" spans="1:4" x14ac:dyDescent="0.25">
      <c r="A7490" t="str">
        <f>T("   870332")</f>
        <v xml:space="preserve">   870332</v>
      </c>
      <c r="B7490" t="str">
        <f>T("   D'UNE CYLINDREE EXCEDANT 1.500 CM³ MAIS N'EXCEDANT PAS 2.500 CM³")</f>
        <v xml:space="preserve">   D'UNE CYLINDREE EXCEDANT 1.500 CM³ MAIS N'EXCEDANT PAS 2.500 CM³</v>
      </c>
      <c r="C7490" s="4">
        <v>29245</v>
      </c>
      <c r="D7490" s="4">
        <v>23740490</v>
      </c>
    </row>
    <row r="7491" spans="1:4" x14ac:dyDescent="0.25">
      <c r="A7491" t="str">
        <f>T("   870333")</f>
        <v xml:space="preserve">   870333</v>
      </c>
      <c r="B7491" t="str">
        <f>T("   D'UNE CYLINDREE EXCEDANT 2.500 CM³")</f>
        <v xml:space="preserve">   D'UNE CYLINDREE EXCEDANT 2.500 CM³</v>
      </c>
      <c r="C7491" s="4">
        <v>36588</v>
      </c>
      <c r="D7491" s="4">
        <v>243353433</v>
      </c>
    </row>
    <row r="7492" spans="1:4" x14ac:dyDescent="0.25">
      <c r="A7492" t="str">
        <f>T("   870421")</f>
        <v xml:space="preserve">   870421</v>
      </c>
      <c r="B7492" t="str">
        <f>T("   D'UN POIDS EN CHARGE MAXIMAL N'EXCEDANT PAS 5 TONNES")</f>
        <v xml:space="preserve">   D'UN POIDS EN CHARGE MAXIMAL N'EXCEDANT PAS 5 TONNES</v>
      </c>
      <c r="C7492" s="4">
        <v>74160</v>
      </c>
      <c r="D7492" s="4">
        <v>41832657</v>
      </c>
    </row>
    <row r="7493" spans="1:4" x14ac:dyDescent="0.25">
      <c r="A7493" t="str">
        <f>T("   870422")</f>
        <v xml:space="preserve">   870422</v>
      </c>
      <c r="B7493" t="str">
        <f>T("   D'UN POIDS EN CHARGE MAXIMAL EXCEDANT 5 TONNES MAIS N'EXCEDANT PAS 20 TONNES")</f>
        <v xml:space="preserve">   D'UN POIDS EN CHARGE MAXIMAL EXCEDANT 5 TONNES MAIS N'EXCEDANT PAS 20 TONNES</v>
      </c>
      <c r="C7493" s="4">
        <v>84356</v>
      </c>
      <c r="D7493" s="4">
        <v>60858647</v>
      </c>
    </row>
    <row r="7494" spans="1:4" x14ac:dyDescent="0.25">
      <c r="A7494" t="str">
        <f>T("   870423")</f>
        <v xml:space="preserve">   870423</v>
      </c>
      <c r="B7494" t="str">
        <f>T("   D'UN POIDS EN CHARGE MAXIMAL EXCEDANT 20 TONNES")</f>
        <v xml:space="preserve">   D'UN POIDS EN CHARGE MAXIMAL EXCEDANT 20 TONNES</v>
      </c>
      <c r="C7494" s="4">
        <v>22500</v>
      </c>
      <c r="D7494" s="4">
        <v>6635742</v>
      </c>
    </row>
    <row r="7495" spans="1:4" x14ac:dyDescent="0.25">
      <c r="A7495" t="str">
        <f>T("   870431")</f>
        <v xml:space="preserve">   870431</v>
      </c>
      <c r="B7495" t="str">
        <f>T("   D'UN POIDS EN CHARGE MAXIMAL N'EXCEDANT PAS 5 TONNES")</f>
        <v xml:space="preserve">   D'UN POIDS EN CHARGE MAXIMAL N'EXCEDANT PAS 5 TONNES</v>
      </c>
      <c r="C7495" s="4">
        <v>47805</v>
      </c>
      <c r="D7495" s="4">
        <v>24052713</v>
      </c>
    </row>
    <row r="7496" spans="1:4" x14ac:dyDescent="0.25">
      <c r="A7496" t="str">
        <f>T("   870490")</f>
        <v xml:space="preserve">   870490</v>
      </c>
      <c r="B7496" t="str">
        <f>T("   AUTRES")</f>
        <v xml:space="preserve">   AUTRES</v>
      </c>
      <c r="C7496" s="4">
        <v>8500</v>
      </c>
      <c r="D7496" s="4">
        <v>2000000</v>
      </c>
    </row>
    <row r="7497" spans="1:4" x14ac:dyDescent="0.25">
      <c r="A7497" t="str">
        <f>T("   870510")</f>
        <v xml:space="preserve">   870510</v>
      </c>
      <c r="B7497" t="str">
        <f>T("   CAMIONSGRUES")</f>
        <v xml:space="preserve">   CAMIONSGRUES</v>
      </c>
      <c r="C7497" s="4">
        <v>118200</v>
      </c>
      <c r="D7497" s="4">
        <v>105637139</v>
      </c>
    </row>
    <row r="7498" spans="1:4" x14ac:dyDescent="0.25">
      <c r="A7498" t="str">
        <f>T("   870540")</f>
        <v xml:space="preserve">   870540</v>
      </c>
      <c r="B7498" t="str">
        <f>T("   CAMIONSBETONNIERES")</f>
        <v xml:space="preserve">   CAMIONSBETONNIERES</v>
      </c>
      <c r="C7498" s="4">
        <v>7500</v>
      </c>
      <c r="D7498" s="4">
        <v>61004280</v>
      </c>
    </row>
    <row r="7499" spans="1:4" x14ac:dyDescent="0.25">
      <c r="A7499" t="str">
        <f>T("   870590")</f>
        <v xml:space="preserve">   870590</v>
      </c>
      <c r="B7499" t="str">
        <f>T("   AUTRES")</f>
        <v xml:space="preserve">   AUTRES</v>
      </c>
      <c r="C7499" s="4">
        <v>14350</v>
      </c>
      <c r="D7499" s="4">
        <v>6447680</v>
      </c>
    </row>
    <row r="7500" spans="1:4" x14ac:dyDescent="0.25">
      <c r="A7500" t="str">
        <f>T("   870893")</f>
        <v xml:space="preserve">   870893</v>
      </c>
      <c r="B7500" t="str">
        <f>T("   Embrayages et leurs parties")</f>
        <v xml:space="preserve">   Embrayages et leurs parties</v>
      </c>
      <c r="C7500" s="4">
        <v>56</v>
      </c>
      <c r="D7500" s="4">
        <v>136440</v>
      </c>
    </row>
    <row r="7501" spans="1:4" x14ac:dyDescent="0.25">
      <c r="A7501" t="str">
        <f>T("   870899")</f>
        <v xml:space="preserve">   870899</v>
      </c>
      <c r="B7501" t="str">
        <f>T("   AUTRES")</f>
        <v xml:space="preserve">   AUTRES</v>
      </c>
      <c r="C7501" s="4">
        <v>700</v>
      </c>
      <c r="D7501" s="4">
        <v>1377515</v>
      </c>
    </row>
    <row r="7502" spans="1:4" x14ac:dyDescent="0.25">
      <c r="A7502" t="str">
        <f>T("   871110")</f>
        <v xml:space="preserve">   871110</v>
      </c>
      <c r="B7502" t="str">
        <f>T("   A MOTEUR A PISTON ALTERNATIF, D'UNE CYLINDREE N'EXCEDANT PAS 50 CM³")</f>
        <v xml:space="preserve">   A MOTEUR A PISTON ALTERNATIF, D'UNE CYLINDREE N'EXCEDANT PAS 50 CM³</v>
      </c>
      <c r="C7502" s="4">
        <v>2921</v>
      </c>
      <c r="D7502" s="4">
        <v>2455492</v>
      </c>
    </row>
    <row r="7503" spans="1:4" x14ac:dyDescent="0.25">
      <c r="A7503" t="str">
        <f>T("   871120")</f>
        <v xml:space="preserve">   871120</v>
      </c>
      <c r="B7503" t="str">
        <f>T("   A MOTEUR A PISTON ALTERNATIF, D'UNE CYLINDREE EXCEDANT 50 CM³ MAIS N'EXCEDANT PAS 250")</f>
        <v xml:space="preserve">   A MOTEUR A PISTON ALTERNATIF, D'UNE CYLINDREE EXCEDANT 50 CM³ MAIS N'EXCEDANT PAS 250</v>
      </c>
      <c r="C7503" s="4">
        <v>16348</v>
      </c>
      <c r="D7503" s="4">
        <v>6419784</v>
      </c>
    </row>
    <row r="7504" spans="1:4" x14ac:dyDescent="0.25">
      <c r="A7504" t="str">
        <f>T("   871130")</f>
        <v xml:space="preserve">   871130</v>
      </c>
      <c r="B7504" t="str">
        <f>T("   A MOTEUR A PISTON ALTERNATIF, D'UNE CYLINDREE EXCEDANT 250 CM³ MAIS N'EXCEDANT PAS 50")</f>
        <v xml:space="preserve">   A MOTEUR A PISTON ALTERNATIF, D'UNE CYLINDREE EXCEDANT 250 CM³ MAIS N'EXCEDANT PAS 50</v>
      </c>
      <c r="C7504" s="4">
        <v>5433</v>
      </c>
      <c r="D7504" s="4">
        <v>3278460</v>
      </c>
    </row>
    <row r="7505" spans="1:4" x14ac:dyDescent="0.25">
      <c r="A7505" t="str">
        <f>T("   871140")</f>
        <v xml:space="preserve">   871140</v>
      </c>
      <c r="B7505" t="str">
        <f>T("   A MOTEUR A PISTON ALTERNATIF, D'UNE CYLINDREE EXCEDANT 500 CM³ MAIS N'EXCEDANT PAS 80")</f>
        <v xml:space="preserve">   A MOTEUR A PISTON ALTERNATIF, D'UNE CYLINDREE EXCEDANT 500 CM³ MAIS N'EXCEDANT PAS 80</v>
      </c>
      <c r="C7505" s="4">
        <v>2000</v>
      </c>
      <c r="D7505" s="4">
        <v>480000</v>
      </c>
    </row>
    <row r="7506" spans="1:4" x14ac:dyDescent="0.25">
      <c r="A7506" t="str">
        <f>T("   871190")</f>
        <v xml:space="preserve">   871190</v>
      </c>
      <c r="B7506" t="str">
        <f>T("   AUTRES")</f>
        <v xml:space="preserve">   AUTRES</v>
      </c>
      <c r="C7506" s="4">
        <v>800</v>
      </c>
      <c r="D7506" s="4">
        <v>649774</v>
      </c>
    </row>
    <row r="7507" spans="1:4" x14ac:dyDescent="0.25">
      <c r="A7507" t="str">
        <f>T("   871200")</f>
        <v xml:space="preserve">   871200</v>
      </c>
      <c r="B7507" t="str">
        <f>T("   BICYCLETTES ET AUTRES CYCLES (Y COMPRIS LES TRIPORTEURS), SANS MOTEUR.")</f>
        <v xml:space="preserve">   BICYCLETTES ET AUTRES CYCLES (Y COMPRIS LES TRIPORTEURS), SANS MOTEUR.</v>
      </c>
      <c r="C7507" s="4">
        <v>8696</v>
      </c>
      <c r="D7507" s="4">
        <v>9188810</v>
      </c>
    </row>
    <row r="7508" spans="1:4" x14ac:dyDescent="0.25">
      <c r="A7508" t="str">
        <f>T("   871500")</f>
        <v xml:space="preserve">   871500</v>
      </c>
      <c r="B7508" t="str">
        <f>T("   LANDAUS, POUSSETTES ET VOITURES SIMILAIRES POUR LE TRANSPORT DES ENFANTS, ET LEURS PART")</f>
        <v xml:space="preserve">   LANDAUS, POUSSETTES ET VOITURES SIMILAIRES POUR LE TRANSPORT DES ENFANTS, ET LEURS PART</v>
      </c>
      <c r="C7508" s="4">
        <v>433</v>
      </c>
      <c r="D7508" s="4">
        <v>905449</v>
      </c>
    </row>
    <row r="7509" spans="1:4" x14ac:dyDescent="0.25">
      <c r="A7509" t="str">
        <f>T("   871620")</f>
        <v xml:space="preserve">   871620</v>
      </c>
      <c r="B7509" t="str">
        <f>T("   REMORQUES ET SEMIREMORQUES AUTOCHARGEUSES OU AUTODECHARGEUSES, POUR USAGES AGRICOLES")</f>
        <v xml:space="preserve">   REMORQUES ET SEMIREMORQUES AUTOCHARGEUSES OU AUTODECHARGEUSES, POUR USAGES AGRICOLES</v>
      </c>
      <c r="C7509" s="4">
        <v>109000</v>
      </c>
      <c r="D7509" s="4">
        <v>19842200</v>
      </c>
    </row>
    <row r="7510" spans="1:4" x14ac:dyDescent="0.25">
      <c r="A7510" t="str">
        <f>T("   871631")</f>
        <v xml:space="preserve">   871631</v>
      </c>
      <c r="B7510" t="str">
        <f>T("   CITERNES")</f>
        <v xml:space="preserve">   CITERNES</v>
      </c>
      <c r="C7510" s="4">
        <v>39200</v>
      </c>
      <c r="D7510" s="4">
        <v>22364452</v>
      </c>
    </row>
    <row r="7511" spans="1:4" x14ac:dyDescent="0.25">
      <c r="A7511" t="str">
        <f>T("   871639")</f>
        <v xml:space="preserve">   871639</v>
      </c>
      <c r="B7511" t="str">
        <f>T("   AUTRES")</f>
        <v xml:space="preserve">   AUTRES</v>
      </c>
      <c r="C7511" s="4">
        <v>93533</v>
      </c>
      <c r="D7511" s="4">
        <v>20045957</v>
      </c>
    </row>
    <row r="7512" spans="1:4" x14ac:dyDescent="0.25">
      <c r="A7512" t="str">
        <f>T("   871640")</f>
        <v xml:space="preserve">   871640</v>
      </c>
      <c r="B7512" t="str">
        <f>T("   AUTRES REMORQUES ET SEMIREMORQUES")</f>
        <v xml:space="preserve">   AUTRES REMORQUES ET SEMIREMORQUES</v>
      </c>
      <c r="C7512" s="4">
        <v>148355</v>
      </c>
      <c r="D7512" s="4">
        <v>46129922</v>
      </c>
    </row>
    <row r="7513" spans="1:4" x14ac:dyDescent="0.25">
      <c r="A7513" t="str">
        <f>T("   871680")</f>
        <v xml:space="preserve">   871680</v>
      </c>
      <c r="B7513" t="str">
        <f>T("   AUTRES VEHICULES")</f>
        <v xml:space="preserve">   AUTRES VEHICULES</v>
      </c>
      <c r="C7513" s="4">
        <v>15000</v>
      </c>
      <c r="D7513" s="4">
        <v>4489390</v>
      </c>
    </row>
    <row r="7514" spans="1:4" x14ac:dyDescent="0.25">
      <c r="A7514" t="str">
        <f>T("   871690")</f>
        <v xml:space="preserve">   871690</v>
      </c>
      <c r="B7514" t="str">
        <f>T("   PARTIES")</f>
        <v xml:space="preserve">   PARTIES</v>
      </c>
      <c r="C7514" s="4">
        <v>180</v>
      </c>
      <c r="D7514" s="4">
        <v>100000</v>
      </c>
    </row>
    <row r="7515" spans="1:4" x14ac:dyDescent="0.25">
      <c r="A7515" t="str">
        <f>T("   901520")</f>
        <v xml:space="preserve">   901520</v>
      </c>
      <c r="B7515" t="str">
        <f>T("   THEODOLITES ET TACHEOMETRES")</f>
        <v xml:space="preserve">   THEODOLITES ET TACHEOMETRES</v>
      </c>
      <c r="C7515" s="4">
        <v>61</v>
      </c>
      <c r="D7515" s="4">
        <v>691054</v>
      </c>
    </row>
    <row r="7516" spans="1:4" x14ac:dyDescent="0.25">
      <c r="A7516" t="str">
        <f>T("   901590")</f>
        <v xml:space="preserve">   901590</v>
      </c>
      <c r="B7516" t="str">
        <f>T("   PARTIES ET ACCESSOIRES")</f>
        <v xml:space="preserve">   PARTIES ET ACCESSOIRES</v>
      </c>
      <c r="C7516" s="4">
        <v>55</v>
      </c>
      <c r="D7516" s="4">
        <v>115448</v>
      </c>
    </row>
    <row r="7517" spans="1:4" x14ac:dyDescent="0.25">
      <c r="A7517" t="str">
        <f>T("   901812")</f>
        <v xml:space="preserve">   901812</v>
      </c>
      <c r="B7517" t="str">
        <f>T("   APPAREILS DE DIAGNOSTIC PAR BALAYAGE ULTRASONIQUE (SCANNERS)")</f>
        <v xml:space="preserve">   APPAREILS DE DIAGNOSTIC PAR BALAYAGE ULTRASONIQUE (SCANNERS)</v>
      </c>
      <c r="C7517" s="4">
        <v>102</v>
      </c>
      <c r="D7517" s="4">
        <v>265008</v>
      </c>
    </row>
    <row r="7518" spans="1:4" x14ac:dyDescent="0.25">
      <c r="A7518" t="str">
        <f>T("   901814")</f>
        <v xml:space="preserve">   901814</v>
      </c>
      <c r="B7518" t="str">
        <f>T("   APPAREILS DE SCINTIGRAPHIE")</f>
        <v xml:space="preserve">   APPAREILS DE SCINTIGRAPHIE</v>
      </c>
      <c r="C7518" s="4">
        <v>84</v>
      </c>
      <c r="D7518" s="4">
        <v>586822</v>
      </c>
    </row>
    <row r="7519" spans="1:4" x14ac:dyDescent="0.25">
      <c r="A7519" t="str">
        <f>T("   901819")</f>
        <v xml:space="preserve">   901819</v>
      </c>
      <c r="B7519" t="str">
        <f>T("   AUTRES")</f>
        <v xml:space="preserve">   AUTRES</v>
      </c>
      <c r="C7519" s="4">
        <v>65</v>
      </c>
      <c r="D7519" s="4">
        <v>861013</v>
      </c>
    </row>
    <row r="7520" spans="1:4" x14ac:dyDescent="0.25">
      <c r="A7520" t="str">
        <f>T("   901831")</f>
        <v xml:space="preserve">   901831</v>
      </c>
      <c r="B7520" t="str">
        <f>T("   SERINGUES, AVEC OU SANS AIGUILLES")</f>
        <v xml:space="preserve">   SERINGUES, AVEC OU SANS AIGUILLES</v>
      </c>
      <c r="C7520" s="4">
        <v>10</v>
      </c>
      <c r="D7520" s="4">
        <v>318206</v>
      </c>
    </row>
    <row r="7521" spans="1:4" x14ac:dyDescent="0.25">
      <c r="A7521" t="str">
        <f>T("   901850")</f>
        <v xml:space="preserve">   901850</v>
      </c>
      <c r="B7521" t="str">
        <f>T("   Autres instruments et appareils d'ophtalmologie")</f>
        <v xml:space="preserve">   Autres instruments et appareils d'ophtalmologie</v>
      </c>
      <c r="C7521" s="4">
        <v>1805</v>
      </c>
      <c r="D7521" s="4">
        <v>4082761</v>
      </c>
    </row>
    <row r="7522" spans="1:4" x14ac:dyDescent="0.25">
      <c r="A7522" t="str">
        <f>T("   901890")</f>
        <v xml:space="preserve">   901890</v>
      </c>
      <c r="B7522" t="str">
        <f>T("   AUTRES INSTRUMENTS ET APPAREILS")</f>
        <v xml:space="preserve">   AUTRES INSTRUMENTS ET APPAREILS</v>
      </c>
      <c r="C7522" s="4">
        <v>48185.5</v>
      </c>
      <c r="D7522" s="4">
        <v>118348877</v>
      </c>
    </row>
    <row r="7523" spans="1:4" x14ac:dyDescent="0.25">
      <c r="A7523" t="str">
        <f>T("   902110")</f>
        <v xml:space="preserve">   902110</v>
      </c>
      <c r="B7523" t="str">
        <f>T("   ARTICLES ET APPAREILS D’ORTHOPEDIE OU POUR FRACTURES")</f>
        <v xml:space="preserve">   ARTICLES ET APPAREILS D’ORTHOPEDIE OU POUR FRACTURES</v>
      </c>
      <c r="C7523" s="4">
        <v>282</v>
      </c>
      <c r="D7523" s="4">
        <v>225126</v>
      </c>
    </row>
    <row r="7524" spans="1:4" x14ac:dyDescent="0.25">
      <c r="A7524" t="str">
        <f>T("   902300")</f>
        <v xml:space="preserve">   902300</v>
      </c>
      <c r="B7524" t="str">
        <f>T("   INSTRUMENTS, APPAREILS ET MODELES CONCUS POUR LA DEMONSTRATION (DANS L'ENSEIGNEMENT OU")</f>
        <v xml:space="preserve">   INSTRUMENTS, APPAREILS ET MODELES CONCUS POUR LA DEMONSTRATION (DANS L'ENSEIGNEMENT OU</v>
      </c>
      <c r="C7524" s="4">
        <v>4746</v>
      </c>
      <c r="D7524" s="4">
        <v>4986412</v>
      </c>
    </row>
    <row r="7525" spans="1:4" x14ac:dyDescent="0.25">
      <c r="A7525" t="str">
        <f>T("   902610")</f>
        <v xml:space="preserve">   902610</v>
      </c>
      <c r="B7525" t="str">
        <f>T("   POUR LA MESURE OU LE CONTROLE DU DEBIT OU DU NIVEAU DES LIQUIDES")</f>
        <v xml:space="preserve">   POUR LA MESURE OU LE CONTROLE DU DEBIT OU DU NIVEAU DES LIQUIDES</v>
      </c>
      <c r="C7525" s="4">
        <v>14</v>
      </c>
      <c r="D7525" s="4">
        <v>50000</v>
      </c>
    </row>
    <row r="7526" spans="1:4" x14ac:dyDescent="0.25">
      <c r="A7526" t="str">
        <f>T("   902680")</f>
        <v xml:space="preserve">   902680</v>
      </c>
      <c r="B7526" t="str">
        <f>T("   AUTRES INSTRUMENTS ET APPAREILS")</f>
        <v xml:space="preserve">   AUTRES INSTRUMENTS ET APPAREILS</v>
      </c>
      <c r="C7526" s="4">
        <v>13</v>
      </c>
      <c r="D7526" s="4">
        <v>126627</v>
      </c>
    </row>
    <row r="7527" spans="1:4" x14ac:dyDescent="0.25">
      <c r="A7527" t="str">
        <f>T("   902780")</f>
        <v xml:space="preserve">   902780</v>
      </c>
      <c r="B7527" t="str">
        <f>T("   AUTRES INSTRUMENTS ET APPAREILS")</f>
        <v xml:space="preserve">   AUTRES INSTRUMENTS ET APPAREILS</v>
      </c>
      <c r="C7527" s="4">
        <v>0.2</v>
      </c>
      <c r="D7527" s="4">
        <v>134733</v>
      </c>
    </row>
    <row r="7528" spans="1:4" x14ac:dyDescent="0.25">
      <c r="A7528" t="str">
        <f>T("   902790")</f>
        <v xml:space="preserve">   902790</v>
      </c>
      <c r="B7528" t="str">
        <f>T("   MICROTOMES; PARTIES ET ACCESSOIRES")</f>
        <v xml:space="preserve">   MICROTOMES; PARTIES ET ACCESSOIRES</v>
      </c>
      <c r="C7528" s="4">
        <v>0.3</v>
      </c>
      <c r="D7528" s="4">
        <v>55085</v>
      </c>
    </row>
    <row r="7529" spans="1:4" x14ac:dyDescent="0.25">
      <c r="A7529" t="str">
        <f>T("   902820")</f>
        <v xml:space="preserve">   902820</v>
      </c>
      <c r="B7529" t="str">
        <f>T("   Compteurs de liquides")</f>
        <v xml:space="preserve">   Compteurs de liquides</v>
      </c>
      <c r="C7529" s="4">
        <v>5</v>
      </c>
      <c r="D7529" s="4">
        <v>88070</v>
      </c>
    </row>
    <row r="7530" spans="1:4" x14ac:dyDescent="0.25">
      <c r="A7530" t="str">
        <f>T("   902910")</f>
        <v xml:space="preserve">   902910</v>
      </c>
      <c r="B7530" t="str">
        <f>T("   COMPTEURS DE TOURS OU DE PRODUCTION, TAXIMETRES, TOTALISATEURS DE CHEMIN PARCOURU, PO")</f>
        <v xml:space="preserve">   COMPTEURS DE TOURS OU DE PRODUCTION, TAXIMETRES, TOTALISATEURS DE CHEMIN PARCOURU, PO</v>
      </c>
      <c r="C7530" s="4">
        <v>4</v>
      </c>
      <c r="D7530" s="4">
        <v>55730</v>
      </c>
    </row>
    <row r="7531" spans="1:4" x14ac:dyDescent="0.25">
      <c r="A7531" t="str">
        <f>T("   903289")</f>
        <v xml:space="preserve">   903289</v>
      </c>
      <c r="B7531" t="str">
        <f>T("   AUTRES")</f>
        <v xml:space="preserve">   AUTRES</v>
      </c>
      <c r="C7531" s="4">
        <v>8450</v>
      </c>
      <c r="D7531" s="4">
        <v>59959336</v>
      </c>
    </row>
    <row r="7532" spans="1:4" x14ac:dyDescent="0.25">
      <c r="A7532" t="str">
        <f>T("   910690")</f>
        <v xml:space="preserve">   910690</v>
      </c>
      <c r="B7532" t="str">
        <f>T("   AUTRES")</f>
        <v xml:space="preserve">   AUTRES</v>
      </c>
      <c r="C7532" s="4">
        <v>1</v>
      </c>
      <c r="D7532" s="4">
        <v>14431</v>
      </c>
    </row>
    <row r="7533" spans="1:4" x14ac:dyDescent="0.25">
      <c r="A7533" t="str">
        <f>T("   940130")</f>
        <v xml:space="preserve">   940130</v>
      </c>
      <c r="B7533" t="str">
        <f>T("   SIEGES PIVOTANTS, AJUSTABLES EN HAUTEUR")</f>
        <v xml:space="preserve">   SIEGES PIVOTANTS, AJUSTABLES EN HAUTEUR</v>
      </c>
      <c r="C7533" s="4">
        <v>19834</v>
      </c>
      <c r="D7533" s="4">
        <v>27801422</v>
      </c>
    </row>
    <row r="7534" spans="1:4" x14ac:dyDescent="0.25">
      <c r="A7534" t="str">
        <f>T("   940169")</f>
        <v xml:space="preserve">   940169</v>
      </c>
      <c r="B7534" t="str">
        <f>T("   AUTRES")</f>
        <v xml:space="preserve">   AUTRES</v>
      </c>
      <c r="C7534" s="4">
        <v>12148</v>
      </c>
      <c r="D7534" s="4">
        <v>22974369</v>
      </c>
    </row>
    <row r="7535" spans="1:4" x14ac:dyDescent="0.25">
      <c r="A7535" t="str">
        <f>T("   940179")</f>
        <v xml:space="preserve">   940179</v>
      </c>
      <c r="B7535" t="str">
        <f>T("   AUTRES")</f>
        <v xml:space="preserve">   AUTRES</v>
      </c>
      <c r="C7535" s="4">
        <v>16806</v>
      </c>
      <c r="D7535" s="4">
        <v>24570811</v>
      </c>
    </row>
    <row r="7536" spans="1:4" x14ac:dyDescent="0.25">
      <c r="A7536" t="str">
        <f>T("   940180")</f>
        <v xml:space="preserve">   940180</v>
      </c>
      <c r="B7536" t="str">
        <f>T("   AUTRES SIEGES")</f>
        <v xml:space="preserve">   AUTRES SIEGES</v>
      </c>
      <c r="C7536" s="4">
        <v>852</v>
      </c>
      <c r="D7536" s="4">
        <v>5977795</v>
      </c>
    </row>
    <row r="7537" spans="1:4" x14ac:dyDescent="0.25">
      <c r="A7537" t="str">
        <f>T("   940190")</f>
        <v xml:space="preserve">   940190</v>
      </c>
      <c r="B7537" t="str">
        <f>T("   PARTIES")</f>
        <v xml:space="preserve">   PARTIES</v>
      </c>
      <c r="C7537" s="4">
        <v>158</v>
      </c>
      <c r="D7537" s="4">
        <v>388486</v>
      </c>
    </row>
    <row r="7538" spans="1:4" x14ac:dyDescent="0.25">
      <c r="A7538" t="str">
        <f>T("   940210")</f>
        <v xml:space="preserve">   940210</v>
      </c>
      <c r="B7538" t="str">
        <f>T("   FAUTEUILS DE DENTISTES, FAUTEUILS POUR SALONS DE COIFFURE ET FAUTEUILS SIMILAIRES, ET")</f>
        <v xml:space="preserve">   FAUTEUILS DE DENTISTES, FAUTEUILS POUR SALONS DE COIFFURE ET FAUTEUILS SIMILAIRES, ET</v>
      </c>
      <c r="C7538" s="4">
        <v>1460</v>
      </c>
      <c r="D7538" s="4">
        <v>628410</v>
      </c>
    </row>
    <row r="7539" spans="1:4" x14ac:dyDescent="0.25">
      <c r="A7539" t="str">
        <f>T("   940290")</f>
        <v xml:space="preserve">   940290</v>
      </c>
      <c r="B7539" t="str">
        <f>T("   AUTRES")</f>
        <v xml:space="preserve">   AUTRES</v>
      </c>
      <c r="C7539" s="4">
        <v>1571</v>
      </c>
      <c r="D7539" s="4">
        <v>1987051</v>
      </c>
    </row>
    <row r="7540" spans="1:4" x14ac:dyDescent="0.25">
      <c r="A7540" t="str">
        <f>T("   940310")</f>
        <v xml:space="preserve">   940310</v>
      </c>
      <c r="B7540" t="str">
        <f>T("   MEUBLES EN METAL DES TYPES UTILISES DANS LES BUREAUX")</f>
        <v xml:space="preserve">   MEUBLES EN METAL DES TYPES UTILISES DANS LES BUREAUX</v>
      </c>
      <c r="C7540" s="4">
        <v>7250</v>
      </c>
      <c r="D7540" s="4">
        <v>2924503</v>
      </c>
    </row>
    <row r="7541" spans="1:4" x14ac:dyDescent="0.25">
      <c r="A7541" t="str">
        <f>T("   940320")</f>
        <v xml:space="preserve">   940320</v>
      </c>
      <c r="B7541" t="str">
        <f>T("   AUTRES MEUBLES EN METAL")</f>
        <v xml:space="preserve">   AUTRES MEUBLES EN METAL</v>
      </c>
      <c r="C7541" s="4">
        <v>12994</v>
      </c>
      <c r="D7541" s="4">
        <v>7800020</v>
      </c>
    </row>
    <row r="7542" spans="1:4" x14ac:dyDescent="0.25">
      <c r="A7542" t="str">
        <f>T("   940330")</f>
        <v xml:space="preserve">   940330</v>
      </c>
      <c r="B7542" t="str">
        <f>T("   MEUBLES EN BOIS DES TYPES UTILISES DANS LES BUREAUX")</f>
        <v xml:space="preserve">   MEUBLES EN BOIS DES TYPES UTILISES DANS LES BUREAUX</v>
      </c>
      <c r="C7542" s="4">
        <v>15851</v>
      </c>
      <c r="D7542" s="4">
        <v>46795728</v>
      </c>
    </row>
    <row r="7543" spans="1:4" x14ac:dyDescent="0.25">
      <c r="A7543" t="str">
        <f>T("   940350")</f>
        <v xml:space="preserve">   940350</v>
      </c>
      <c r="B7543" t="str">
        <f>T("   MEUBLES EN BOIS DES TYPES UTILISES DANS LES CHAMBRES A COUCHER")</f>
        <v xml:space="preserve">   MEUBLES EN BOIS DES TYPES UTILISES DANS LES CHAMBRES A COUCHER</v>
      </c>
      <c r="C7543" s="4">
        <v>30085</v>
      </c>
      <c r="D7543" s="4">
        <v>28995571</v>
      </c>
    </row>
    <row r="7544" spans="1:4" x14ac:dyDescent="0.25">
      <c r="A7544" t="str">
        <f>T("   940360")</f>
        <v xml:space="preserve">   940360</v>
      </c>
      <c r="B7544" t="str">
        <f>T("   Autres meubles en bois")</f>
        <v xml:space="preserve">   Autres meubles en bois</v>
      </c>
      <c r="C7544" s="4">
        <v>81479</v>
      </c>
      <c r="D7544" s="4">
        <v>32226836</v>
      </c>
    </row>
    <row r="7545" spans="1:4" x14ac:dyDescent="0.25">
      <c r="A7545" t="str">
        <f>T("   940370")</f>
        <v xml:space="preserve">   940370</v>
      </c>
      <c r="B7545" t="str">
        <f>T("   MEUBLES EN MATIERES PLASTIQUES")</f>
        <v xml:space="preserve">   MEUBLES EN MATIERES PLASTIQUES</v>
      </c>
      <c r="C7545" s="4">
        <v>4361</v>
      </c>
      <c r="D7545" s="4">
        <v>14516587</v>
      </c>
    </row>
    <row r="7546" spans="1:4" x14ac:dyDescent="0.25">
      <c r="A7546" t="str">
        <f>T("   940389")</f>
        <v xml:space="preserve">   940389</v>
      </c>
      <c r="B7546" t="str">
        <f>T("   AUTRES")</f>
        <v xml:space="preserve">   AUTRES</v>
      </c>
      <c r="C7546" s="4">
        <v>58422</v>
      </c>
      <c r="D7546" s="4">
        <v>37424419</v>
      </c>
    </row>
    <row r="7547" spans="1:4" x14ac:dyDescent="0.25">
      <c r="A7547" t="str">
        <f>T("   940410")</f>
        <v xml:space="preserve">   940410</v>
      </c>
      <c r="B7547" t="str">
        <f>T("   Sommiers")</f>
        <v xml:space="preserve">   Sommiers</v>
      </c>
      <c r="C7547" s="4">
        <v>826</v>
      </c>
      <c r="D7547" s="4">
        <v>422037</v>
      </c>
    </row>
    <row r="7548" spans="1:4" x14ac:dyDescent="0.25">
      <c r="A7548" t="str">
        <f>T("   940429")</f>
        <v xml:space="preserve">   940429</v>
      </c>
      <c r="B7548" t="str">
        <f>T("   EN AUTRES MATIERES")</f>
        <v xml:space="preserve">   EN AUTRES MATIERES</v>
      </c>
      <c r="C7548" s="4">
        <v>14057</v>
      </c>
      <c r="D7548" s="4">
        <v>4619080</v>
      </c>
    </row>
    <row r="7549" spans="1:4" x14ac:dyDescent="0.25">
      <c r="A7549" t="str">
        <f>T("   940490")</f>
        <v xml:space="preserve">   940490</v>
      </c>
      <c r="B7549" t="str">
        <f>T("   AUTRES")</f>
        <v xml:space="preserve">   AUTRES</v>
      </c>
      <c r="C7549" s="4">
        <v>8080</v>
      </c>
      <c r="D7549" s="4">
        <v>3368720</v>
      </c>
    </row>
    <row r="7550" spans="1:4" x14ac:dyDescent="0.25">
      <c r="A7550" t="str">
        <f>T("   940510")</f>
        <v xml:space="preserve">   940510</v>
      </c>
      <c r="B7550" t="str">
        <f>T("   LUSTRES ET AUTRES APPAREILS D'ECLAIRAGE ELECTRIQUES A SUSPENDRE OU A FIXER AU PLAFOND")</f>
        <v xml:space="preserve">   LUSTRES ET AUTRES APPAREILS D'ECLAIRAGE ELECTRIQUES A SUSPENDRE OU A FIXER AU PLAFOND</v>
      </c>
      <c r="C7550" s="4">
        <v>1322</v>
      </c>
      <c r="D7550" s="4">
        <v>425903</v>
      </c>
    </row>
    <row r="7551" spans="1:4" x14ac:dyDescent="0.25">
      <c r="A7551" t="str">
        <f>T("   940520")</f>
        <v xml:space="preserve">   940520</v>
      </c>
      <c r="B7551" t="str">
        <f>T("   LAMPES DE CHEVET, LAMPES DE BUREAU ET LAMPADAIRES D'INTERIEUR, ELECTRIQUES")</f>
        <v xml:space="preserve">   LAMPES DE CHEVET, LAMPES DE BUREAU ET LAMPADAIRES D'INTERIEUR, ELECTRIQUES</v>
      </c>
      <c r="C7551" s="4">
        <v>188</v>
      </c>
      <c r="D7551" s="4">
        <v>114078</v>
      </c>
    </row>
    <row r="7552" spans="1:4" x14ac:dyDescent="0.25">
      <c r="A7552" t="str">
        <f>T("   940540")</f>
        <v xml:space="preserve">   940540</v>
      </c>
      <c r="B7552" t="str">
        <f>T("   AUTRES APPAREILS D'ECLAIRAGE ELECTRIQUES")</f>
        <v xml:space="preserve">   AUTRES APPAREILS D'ECLAIRAGE ELECTRIQUES</v>
      </c>
      <c r="C7552" s="4">
        <v>4604</v>
      </c>
      <c r="D7552" s="4">
        <v>28081648</v>
      </c>
    </row>
    <row r="7553" spans="1:4" x14ac:dyDescent="0.25">
      <c r="A7553" t="str">
        <f>T("   950300")</f>
        <v xml:space="preserve">   950300</v>
      </c>
      <c r="B7553" t="str">
        <f>T("   TRICYCLES, TROTTINETTES, AUTOS A PEDALES ET JOUETS A ROUES SIMILAIRES; LANDAUS ET POUSS")</f>
        <v xml:space="preserve">   TRICYCLES, TROTTINETTES, AUTOS A PEDALES ET JOUETS A ROUES SIMILAIRES; LANDAUS ET POUSS</v>
      </c>
      <c r="C7553" s="4">
        <v>4848</v>
      </c>
      <c r="D7553" s="4">
        <v>7520424</v>
      </c>
    </row>
    <row r="7554" spans="1:4" x14ac:dyDescent="0.25">
      <c r="A7554" t="str">
        <f>T("   950490")</f>
        <v xml:space="preserve">   950490</v>
      </c>
      <c r="B7554" t="str">
        <f>T("   AUTRES")</f>
        <v xml:space="preserve">   AUTRES</v>
      </c>
      <c r="C7554" s="4">
        <v>315</v>
      </c>
      <c r="D7554" s="4">
        <v>85931</v>
      </c>
    </row>
    <row r="7555" spans="1:4" x14ac:dyDescent="0.25">
      <c r="A7555" t="str">
        <f>T("   950659")</f>
        <v xml:space="preserve">   950659</v>
      </c>
      <c r="B7555" t="str">
        <f>T("   AUTRES")</f>
        <v xml:space="preserve">   AUTRES</v>
      </c>
      <c r="C7555" s="4">
        <v>132</v>
      </c>
      <c r="D7555" s="4">
        <v>80683</v>
      </c>
    </row>
    <row r="7556" spans="1:4" x14ac:dyDescent="0.25">
      <c r="A7556" t="str">
        <f>T("   950699")</f>
        <v xml:space="preserve">   950699</v>
      </c>
      <c r="B7556" t="str">
        <f>T("   AUTRES")</f>
        <v xml:space="preserve">   AUTRES</v>
      </c>
      <c r="C7556" s="4">
        <v>750</v>
      </c>
      <c r="D7556" s="4">
        <v>73468</v>
      </c>
    </row>
    <row r="7557" spans="1:4" x14ac:dyDescent="0.25">
      <c r="A7557" t="str">
        <f>T("   960310")</f>
        <v xml:space="preserve">   960310</v>
      </c>
      <c r="B7557" t="str">
        <f>T("   BALAIS ET BALAYETTES CONSISTANT EN BRINDILLES OU AUTRES MATIERES VEGETALES EN BOTTES")</f>
        <v xml:space="preserve">   BALAIS ET BALAYETTES CONSISTANT EN BRINDILLES OU AUTRES MATIERES VEGETALES EN BOTTES</v>
      </c>
      <c r="C7557" s="4">
        <v>8910</v>
      </c>
      <c r="D7557" s="4">
        <v>3856388</v>
      </c>
    </row>
    <row r="7558" spans="1:4" x14ac:dyDescent="0.25">
      <c r="A7558" t="str">
        <f>T("   960390")</f>
        <v xml:space="preserve">   960390</v>
      </c>
      <c r="B7558" t="str">
        <f>T("   AUTRES")</f>
        <v xml:space="preserve">   AUTRES</v>
      </c>
      <c r="C7558" s="4">
        <v>25919</v>
      </c>
      <c r="D7558" s="4">
        <v>13991132</v>
      </c>
    </row>
    <row r="7559" spans="1:4" x14ac:dyDescent="0.25">
      <c r="A7559" t="str">
        <f>T("   961620")</f>
        <v xml:space="preserve">   961620</v>
      </c>
      <c r="B7559" t="str">
        <f>T("   HOUPPES ET HOUPPETTES A POUDRE OU POUR L'APPLICATION D'AUTRES COSMETIQUES OU PRODUITS")</f>
        <v xml:space="preserve">   HOUPPES ET HOUPPETTES A POUDRE OU POUR L'APPLICATION D'AUTRES COSMETIQUES OU PRODUITS</v>
      </c>
      <c r="C7559" s="4">
        <v>344</v>
      </c>
      <c r="D7559" s="4">
        <v>2253347</v>
      </c>
    </row>
    <row r="7560" spans="1:4" x14ac:dyDescent="0.25">
      <c r="A7560" t="str">
        <f>T("   961800")</f>
        <v xml:space="preserve">   961800</v>
      </c>
      <c r="B7560" t="str">
        <f>T("   MANNEQUINS ET ARTICLES SIMILAIRES; AUTOMATES ET SCENES ANIMEES POUR ETALAGES.")</f>
        <v xml:space="preserve">   MANNEQUINS ET ARTICLES SIMILAIRES; AUTOMATES ET SCENES ANIMEES POUR ETALAGES.</v>
      </c>
      <c r="C7560" s="4">
        <v>243</v>
      </c>
      <c r="D7560" s="4">
        <v>2023905</v>
      </c>
    </row>
    <row r="7561" spans="1:4" x14ac:dyDescent="0.25">
      <c r="A7561" t="str">
        <f>T("   970200")</f>
        <v xml:space="preserve">   970200</v>
      </c>
      <c r="B7561" t="str">
        <f>T("   GRAVURES, ESTAMPES ET LITHOGRAPHIES ORIGINALES.")</f>
        <v xml:space="preserve">   GRAVURES, ESTAMPES ET LITHOGRAPHIES ORIGINALES.</v>
      </c>
      <c r="C7561" s="4">
        <v>252</v>
      </c>
      <c r="D7561" s="4">
        <v>32799</v>
      </c>
    </row>
    <row r="7562" spans="1:4" x14ac:dyDescent="0.25">
      <c r="A7562" t="str">
        <f>T("   970300")</f>
        <v xml:space="preserve">   970300</v>
      </c>
      <c r="B7562" t="str">
        <f>T("   PRODUCTIONS ORIGINALES DE L'ART STATUAIRE OU DE LA SCULPTURE, EN TOUTES MATIERES.")</f>
        <v xml:space="preserve">   PRODUCTIONS ORIGINALES DE L'ART STATUAIRE OU DE LA SCULPTURE, EN TOUTES MATIERES.</v>
      </c>
      <c r="C7562" s="4">
        <v>27</v>
      </c>
      <c r="D7562" s="4">
        <v>10000</v>
      </c>
    </row>
    <row r="7563" spans="1:4" s="5" customFormat="1" x14ac:dyDescent="0.25">
      <c r="A7563" s="5" t="str">
        <f>T("   ZZ_Total_Produit_SH6")</f>
        <v xml:space="preserve">   ZZ_Total_Produit_SH6</v>
      </c>
      <c r="B7563" s="5" t="str">
        <f>T("   ZZ_Total_Produit_SH6")</f>
        <v xml:space="preserve">   ZZ_Total_Produit_SH6</v>
      </c>
      <c r="C7563" s="1">
        <v>24281531.899999999</v>
      </c>
      <c r="D7563" s="1">
        <v>16432250817.767</v>
      </c>
    </row>
    <row r="7564" spans="1:4" s="5" customFormat="1" x14ac:dyDescent="0.25">
      <c r="B7564" s="5" t="str">
        <f>T("Jamaïque")</f>
        <v>Jamaïque</v>
      </c>
      <c r="C7564" s="1"/>
      <c r="D7564" s="1"/>
    </row>
    <row r="7565" spans="1:4" x14ac:dyDescent="0.25">
      <c r="A7565" t="str">
        <f>T("   551349")</f>
        <v xml:space="preserve">   551349</v>
      </c>
      <c r="B7565" t="str">
        <f>T("   AUTRES TISSUS")</f>
        <v xml:space="preserve">   AUTRES TISSUS</v>
      </c>
      <c r="C7565" s="4">
        <v>1200</v>
      </c>
      <c r="D7565" s="4">
        <v>700000</v>
      </c>
    </row>
    <row r="7566" spans="1:4" x14ac:dyDescent="0.25">
      <c r="A7566" t="str">
        <f>T("   610590")</f>
        <v xml:space="preserve">   610590</v>
      </c>
      <c r="B7566" t="str">
        <f>T("   D'AUTRES MATIERES TEXTILES")</f>
        <v xml:space="preserve">   D'AUTRES MATIERES TEXTILES</v>
      </c>
      <c r="C7566" s="4">
        <v>500</v>
      </c>
      <c r="D7566" s="4">
        <v>60000</v>
      </c>
    </row>
    <row r="7567" spans="1:4" x14ac:dyDescent="0.25">
      <c r="A7567" t="str">
        <f>T("   640320")</f>
        <v xml:space="preserve">   640320</v>
      </c>
      <c r="B7567" t="str">
        <f>T("   CHAUSSURES A SEMELLES EXTERIEURES EN CUIR NATUREL ET DESSUS CONSTITUES PAR DES LANIER")</f>
        <v xml:space="preserve">   CHAUSSURES A SEMELLES EXTERIEURES EN CUIR NATUREL ET DESSUS CONSTITUES PAR DES LANIER</v>
      </c>
      <c r="C7567" s="4">
        <v>402</v>
      </c>
      <c r="D7567" s="4">
        <v>40000</v>
      </c>
    </row>
    <row r="7568" spans="1:4" x14ac:dyDescent="0.25">
      <c r="A7568" t="str">
        <f>T("   950590")</f>
        <v xml:space="preserve">   950590</v>
      </c>
      <c r="B7568" t="str">
        <f>T("   AUTRES")</f>
        <v xml:space="preserve">   AUTRES</v>
      </c>
      <c r="C7568" s="4">
        <v>582</v>
      </c>
      <c r="D7568" s="4">
        <v>9375</v>
      </c>
    </row>
    <row r="7569" spans="1:4" s="5" customFormat="1" x14ac:dyDescent="0.25">
      <c r="A7569" s="5" t="str">
        <f>T("   ZZ_Total_Produit_SH6")</f>
        <v xml:space="preserve">   ZZ_Total_Produit_SH6</v>
      </c>
      <c r="B7569" s="5" t="str">
        <f>T("   ZZ_Total_Produit_SH6")</f>
        <v xml:space="preserve">   ZZ_Total_Produit_SH6</v>
      </c>
      <c r="C7569" s="1">
        <v>2684</v>
      </c>
      <c r="D7569" s="1">
        <v>809375</v>
      </c>
    </row>
    <row r="7570" spans="1:4" s="5" customFormat="1" x14ac:dyDescent="0.25">
      <c r="B7570" s="5" t="str">
        <f>T("Jordanie")</f>
        <v>Jordanie</v>
      </c>
      <c r="C7570" s="1"/>
      <c r="D7570" s="1"/>
    </row>
    <row r="7571" spans="1:4" x14ac:dyDescent="0.25">
      <c r="A7571" t="str">
        <f>T("   382200")</f>
        <v xml:space="preserve">   382200</v>
      </c>
      <c r="B7571" t="str">
        <f>T("   REACTIFS DE DIAGNOSTIC OU DE LABORATOIRE SUR TOUT SUPPORT ET REACTIFS DE DIAGNOSTIC OU")</f>
        <v xml:space="preserve">   REACTIFS DE DIAGNOSTIC OU DE LABORATOIRE SUR TOUT SUPPORT ET REACTIFS DE DIAGNOSTIC OU</v>
      </c>
      <c r="C7571" s="4">
        <v>63</v>
      </c>
      <c r="D7571" s="4">
        <v>2060045</v>
      </c>
    </row>
    <row r="7572" spans="1:4" x14ac:dyDescent="0.25">
      <c r="A7572" t="str">
        <f>T("   870899")</f>
        <v xml:space="preserve">   870899</v>
      </c>
      <c r="B7572" t="str">
        <f>T("   AUTRES")</f>
        <v xml:space="preserve">   AUTRES</v>
      </c>
      <c r="C7572" s="4">
        <v>70</v>
      </c>
      <c r="D7572" s="4">
        <v>1198436</v>
      </c>
    </row>
    <row r="7573" spans="1:4" x14ac:dyDescent="0.25">
      <c r="A7573" t="str">
        <f>T("   960990")</f>
        <v xml:space="preserve">   960990</v>
      </c>
      <c r="B7573" t="str">
        <f>T("   AUTRES")</f>
        <v xml:space="preserve">   AUTRES</v>
      </c>
      <c r="C7573" s="4">
        <v>399000</v>
      </c>
      <c r="D7573" s="4">
        <v>55658861</v>
      </c>
    </row>
    <row r="7574" spans="1:4" s="5" customFormat="1" x14ac:dyDescent="0.25">
      <c r="A7574" s="5" t="str">
        <f>T("   ZZ_Total_Produit_SH6")</f>
        <v xml:space="preserve">   ZZ_Total_Produit_SH6</v>
      </c>
      <c r="B7574" s="5" t="str">
        <f>T("   ZZ_Total_Produit_SH6")</f>
        <v xml:space="preserve">   ZZ_Total_Produit_SH6</v>
      </c>
      <c r="C7574" s="1">
        <v>399133</v>
      </c>
      <c r="D7574" s="1">
        <v>58917342</v>
      </c>
    </row>
    <row r="7575" spans="1:4" s="5" customFormat="1" x14ac:dyDescent="0.25">
      <c r="B7575" s="5" t="str">
        <f>T("Japon")</f>
        <v>Japon</v>
      </c>
      <c r="C7575" s="1"/>
      <c r="D7575" s="1"/>
    </row>
    <row r="7576" spans="1:4" x14ac:dyDescent="0.25">
      <c r="A7576" t="str">
        <f>T("   030219")</f>
        <v xml:space="preserve">   030219</v>
      </c>
      <c r="B7576" t="str">
        <f>T("   AUTRES")</f>
        <v xml:space="preserve">   AUTRES</v>
      </c>
      <c r="C7576" s="4">
        <v>49500</v>
      </c>
      <c r="D7576" s="4">
        <v>19800000</v>
      </c>
    </row>
    <row r="7577" spans="1:4" x14ac:dyDescent="0.25">
      <c r="A7577" t="str">
        <f>T("   030379")</f>
        <v xml:space="preserve">   030379</v>
      </c>
      <c r="B7577" t="str">
        <f>T("   AUTRES POISSONS ENTIERS CONGELES.(FOIES,OEUFS,LAITANCES EXCLUS)")</f>
        <v xml:space="preserve">   AUTRES POISSONS ENTIERS CONGELES.(FOIES,OEUFS,LAITANCES EXCLUS)</v>
      </c>
      <c r="C7577" s="4">
        <v>149000</v>
      </c>
      <c r="D7577" s="4">
        <v>55400000</v>
      </c>
    </row>
    <row r="7578" spans="1:4" x14ac:dyDescent="0.25">
      <c r="A7578" t="str">
        <f>T("   200290")</f>
        <v xml:space="preserve">   200290</v>
      </c>
      <c r="B7578" t="str">
        <f>T("   AUTRES")</f>
        <v xml:space="preserve">   AUTRES</v>
      </c>
      <c r="C7578" s="4">
        <v>213902</v>
      </c>
      <c r="D7578" s="4">
        <v>58313250</v>
      </c>
    </row>
    <row r="7579" spans="1:4" x14ac:dyDescent="0.25">
      <c r="A7579" t="str">
        <f>T("   251710")</f>
        <v xml:space="preserve">   251710</v>
      </c>
      <c r="B7579" t="str">
        <f>T("   CAILLOUX, GRAVIERS, PIERRES CONCASSEES, DES TYPES GENERALEMENT UTILISES POUR LE BETON")</f>
        <v xml:space="preserve">   CAILLOUX, GRAVIERS, PIERRES CONCASSEES, DES TYPES GENERALEMENT UTILISES POUR LE BETON</v>
      </c>
      <c r="C7579" s="4">
        <v>16520</v>
      </c>
      <c r="D7579" s="4">
        <v>2709705</v>
      </c>
    </row>
    <row r="7580" spans="1:4" x14ac:dyDescent="0.25">
      <c r="A7580" t="str">
        <f>T("   252310")</f>
        <v xml:space="preserve">   252310</v>
      </c>
      <c r="B7580" t="str">
        <f>T("   CIMENTS NON PULVERISES DITS «CLINKERS»")</f>
        <v xml:space="preserve">   CIMENTS NON PULVERISES DITS «CLINKERS»</v>
      </c>
      <c r="C7580" s="4">
        <v>51600000</v>
      </c>
      <c r="D7580" s="4">
        <v>1806000000</v>
      </c>
    </row>
    <row r="7581" spans="1:4" x14ac:dyDescent="0.25">
      <c r="A7581" t="str">
        <f>T("   261800")</f>
        <v xml:space="preserve">   261800</v>
      </c>
      <c r="B7581" t="str">
        <f>T("   LAITIER GRANULE (SABLELAITIER) PROVENANT DE LA FABRICATION DE LA FONTE, DU FER OU DE L")</f>
        <v xml:space="preserve">   LAITIER GRANULE (SABLELAITIER) PROVENANT DE LA FABRICATION DE LA FONTE, DU FER OU DE L</v>
      </c>
      <c r="C7581" s="4">
        <v>72396000</v>
      </c>
      <c r="D7581" s="4">
        <v>1622475078</v>
      </c>
    </row>
    <row r="7582" spans="1:4" x14ac:dyDescent="0.25">
      <c r="A7582" t="str">
        <f>T("   294200")</f>
        <v xml:space="preserve">   294200</v>
      </c>
      <c r="B7582" t="str">
        <f>T("   AUTRES COMPOSES ORGANIQUES.")</f>
        <v xml:space="preserve">   AUTRES COMPOSES ORGANIQUES.</v>
      </c>
      <c r="C7582" s="4">
        <v>1</v>
      </c>
      <c r="D7582" s="4">
        <v>50000</v>
      </c>
    </row>
    <row r="7583" spans="1:4" x14ac:dyDescent="0.25">
      <c r="A7583" t="str">
        <f>T("   310540")</f>
        <v xml:space="preserve">   310540</v>
      </c>
      <c r="B7583" t="str">
        <f>T("   DIHYDROGENOORTHOPHOSPHATE D'AMMONIUM (PHOSPHATE MONOAMMONIQUE), MEME EN MELANGE AVEC")</f>
        <v xml:space="preserve">   DIHYDROGENOORTHOPHOSPHATE D'AMMONIUM (PHOSPHATE MONOAMMONIQUE), MEME EN MELANGE AVEC</v>
      </c>
      <c r="C7583" s="4">
        <v>176059</v>
      </c>
      <c r="D7583" s="4">
        <v>3915000</v>
      </c>
    </row>
    <row r="7584" spans="1:4" x14ac:dyDescent="0.25">
      <c r="A7584" t="str">
        <f>T("   330499")</f>
        <v xml:space="preserve">   330499</v>
      </c>
      <c r="B7584" t="str">
        <f>T("   AUTRES")</f>
        <v xml:space="preserve">   AUTRES</v>
      </c>
      <c r="C7584" s="4">
        <v>3.6</v>
      </c>
      <c r="D7584" s="4">
        <v>67216</v>
      </c>
    </row>
    <row r="7585" spans="1:4" x14ac:dyDescent="0.25">
      <c r="A7585" t="str">
        <f>T("   382200")</f>
        <v xml:space="preserve">   382200</v>
      </c>
      <c r="B7585" t="str">
        <f>T("   REACTIFS DE DIAGNOSTIC OU DE LABORATOIRE SUR TOUT SUPPORT ET REACTIFS DE DIAGNOSTIC OU")</f>
        <v xml:space="preserve">   REACTIFS DE DIAGNOSTIC OU DE LABORATOIRE SUR TOUT SUPPORT ET REACTIFS DE DIAGNOSTIC OU</v>
      </c>
      <c r="C7585" s="4">
        <v>382.7</v>
      </c>
      <c r="D7585" s="4">
        <v>8577517</v>
      </c>
    </row>
    <row r="7586" spans="1:4" x14ac:dyDescent="0.25">
      <c r="A7586" t="str">
        <f>T("   401110")</f>
        <v xml:space="preserve">   401110</v>
      </c>
      <c r="B7586" t="str">
        <f>T("   DES TYPES UTILISES POUR LES VOITURES DE TOURISME (Y COMPRIS LES VOITURES DU TYPE «BRE")</f>
        <v xml:space="preserve">   DES TYPES UTILISES POUR LES VOITURES DE TOURISME (Y COMPRIS LES VOITURES DU TYPE «BRE</v>
      </c>
      <c r="C7586" s="4">
        <v>10966</v>
      </c>
      <c r="D7586" s="4">
        <v>34243948</v>
      </c>
    </row>
    <row r="7587" spans="1:4" x14ac:dyDescent="0.25">
      <c r="A7587" t="str">
        <f>T("   401120")</f>
        <v xml:space="preserve">   401120</v>
      </c>
      <c r="B7587" t="str">
        <f>T("   DES TYPES UTILISES POUR AUTOBUS OU CAMIONS")</f>
        <v xml:space="preserve">   DES TYPES UTILISES POUR AUTOBUS OU CAMIONS</v>
      </c>
      <c r="C7587" s="4">
        <v>25123</v>
      </c>
      <c r="D7587" s="4">
        <v>76362271</v>
      </c>
    </row>
    <row r="7588" spans="1:4" x14ac:dyDescent="0.25">
      <c r="A7588" t="str">
        <f>T("   401211")</f>
        <v xml:space="preserve">   401211</v>
      </c>
      <c r="B7588" t="str">
        <f>T("   DES TYPES UTILISES POUR LES VOITURES DE TOURISME (Y COMPRIS LES VOITURES DU TYPE «BR")</f>
        <v xml:space="preserve">   DES TYPES UTILISES POUR LES VOITURES DE TOURISME (Y COMPRIS LES VOITURES DU TYPE «BR</v>
      </c>
      <c r="C7588" s="4">
        <v>11000</v>
      </c>
      <c r="D7588" s="4">
        <v>5028000</v>
      </c>
    </row>
    <row r="7589" spans="1:4" x14ac:dyDescent="0.25">
      <c r="A7589" t="str">
        <f>T("   420229")</f>
        <v xml:space="preserve">   420229</v>
      </c>
      <c r="B7589" t="str">
        <f>T("   AUTRES")</f>
        <v xml:space="preserve">   AUTRES</v>
      </c>
      <c r="C7589" s="4">
        <v>47014</v>
      </c>
      <c r="D7589" s="4">
        <v>19531209</v>
      </c>
    </row>
    <row r="7590" spans="1:4" x14ac:dyDescent="0.25">
      <c r="A7590" t="str">
        <f>T("   441900")</f>
        <v xml:space="preserve">   441900</v>
      </c>
      <c r="B7590" t="str">
        <f>T("   ARTICLES EN BOIS POUR LA TABLE OU LA CUISINE.")</f>
        <v xml:space="preserve">   ARTICLES EN BOIS POUR LA TABLE OU LA CUISINE.</v>
      </c>
      <c r="C7590" s="4">
        <v>3144</v>
      </c>
      <c r="D7590" s="4">
        <v>4295450</v>
      </c>
    </row>
    <row r="7591" spans="1:4" x14ac:dyDescent="0.25">
      <c r="A7591" t="str">
        <f>T("   481930")</f>
        <v xml:space="preserve">   481930</v>
      </c>
      <c r="B7591" t="str">
        <f>T("   SACS D'UNE LARGEUR A LA BASE DE 40 CM OU PLUS")</f>
        <v xml:space="preserve">   SACS D'UNE LARGEUR A LA BASE DE 40 CM OU PLUS</v>
      </c>
      <c r="C7591" s="4">
        <v>53</v>
      </c>
      <c r="D7591" s="4">
        <v>1182145</v>
      </c>
    </row>
    <row r="7592" spans="1:4" x14ac:dyDescent="0.25">
      <c r="A7592" t="str">
        <f>T("   491110")</f>
        <v xml:space="preserve">   491110</v>
      </c>
      <c r="B7592" t="str">
        <f>T("   IMPRIMES PUBLICITAIRES, CATALOGUES COMMERCIAUX ET SIMILAIRES")</f>
        <v xml:space="preserve">   IMPRIMES PUBLICITAIRES, CATALOGUES COMMERCIAUX ET SIMILAIRES</v>
      </c>
      <c r="C7592" s="4">
        <v>20.100000000000001</v>
      </c>
      <c r="D7592" s="4">
        <v>365986</v>
      </c>
    </row>
    <row r="7593" spans="1:4" x14ac:dyDescent="0.25">
      <c r="A7593" t="str">
        <f>T("   551349")</f>
        <v xml:space="preserve">   551349</v>
      </c>
      <c r="B7593" t="str">
        <f>T("   AUTRES TISSUS")</f>
        <v xml:space="preserve">   AUTRES TISSUS</v>
      </c>
      <c r="C7593" s="4">
        <v>800</v>
      </c>
      <c r="D7593" s="4">
        <v>414000</v>
      </c>
    </row>
    <row r="7594" spans="1:4" x14ac:dyDescent="0.25">
      <c r="A7594" t="str">
        <f>T("   610990")</f>
        <v xml:space="preserve">   610990</v>
      </c>
      <c r="B7594" t="str">
        <f>T("   D'AUTRES MATIERES TEXTILES")</f>
        <v xml:space="preserve">   D'AUTRES MATIERES TEXTILES</v>
      </c>
      <c r="C7594" s="4">
        <v>46</v>
      </c>
      <c r="D7594" s="4">
        <v>131466</v>
      </c>
    </row>
    <row r="7595" spans="1:4" x14ac:dyDescent="0.25">
      <c r="A7595" t="str">
        <f>T("   611490")</f>
        <v xml:space="preserve">   611490</v>
      </c>
      <c r="B7595" t="str">
        <f>T("   D'AUTRES MATIERES TEXTILES")</f>
        <v xml:space="preserve">   D'AUTRES MATIERES TEXTILES</v>
      </c>
      <c r="C7595" s="4">
        <v>10100</v>
      </c>
      <c r="D7595" s="4">
        <v>4263740</v>
      </c>
    </row>
    <row r="7596" spans="1:4" x14ac:dyDescent="0.25">
      <c r="A7596" t="str">
        <f>T("   620349")</f>
        <v xml:space="preserve">   620349</v>
      </c>
      <c r="B7596" t="str">
        <f>T("   D'AUTRES MATIERES TEXTILES")</f>
        <v xml:space="preserve">   D'AUTRES MATIERES TEXTILES</v>
      </c>
      <c r="C7596" s="4">
        <v>751</v>
      </c>
      <c r="D7596" s="4">
        <v>500000</v>
      </c>
    </row>
    <row r="7597" spans="1:4" x14ac:dyDescent="0.25">
      <c r="A7597" t="str">
        <f>T("   620590")</f>
        <v xml:space="preserve">   620590</v>
      </c>
      <c r="B7597" t="str">
        <f>T("   D'AUTRES MATIERES TEXTILES")</f>
        <v xml:space="preserve">   D'AUTRES MATIERES TEXTILES</v>
      </c>
      <c r="C7597" s="4">
        <v>400</v>
      </c>
      <c r="D7597" s="4">
        <v>1000000</v>
      </c>
    </row>
    <row r="7598" spans="1:4" x14ac:dyDescent="0.25">
      <c r="A7598" t="str">
        <f>T("   630800")</f>
        <v xml:space="preserve">   630800</v>
      </c>
      <c r="B7598" t="str">
        <f>T("   ASSORTIMENTS COMPOSES DE PIECES DE TISSUS ET DE FILS, MEME AVEC ACCESSOIRES, POUR LA CO")</f>
        <v xml:space="preserve">   ASSORTIMENTS COMPOSES DE PIECES DE TISSUS ET DE FILS, MEME AVEC ACCESSOIRES, POUR LA CO</v>
      </c>
      <c r="C7598" s="4">
        <v>1</v>
      </c>
      <c r="D7598" s="4">
        <v>36838</v>
      </c>
    </row>
    <row r="7599" spans="1:4" x14ac:dyDescent="0.25">
      <c r="A7599" t="str">
        <f>T("   630900")</f>
        <v xml:space="preserve">   630900</v>
      </c>
      <c r="B7599" t="str">
        <f>T("   ARTICLES DE FRIPERIE.")</f>
        <v xml:space="preserve">   ARTICLES DE FRIPERIE.</v>
      </c>
      <c r="C7599" s="4">
        <v>474874</v>
      </c>
      <c r="D7599" s="4">
        <v>229307703</v>
      </c>
    </row>
    <row r="7600" spans="1:4" x14ac:dyDescent="0.25">
      <c r="A7600" t="str">
        <f>T("   640590")</f>
        <v xml:space="preserve">   640590</v>
      </c>
      <c r="B7600" t="str">
        <f>T("   AUTRES")</f>
        <v xml:space="preserve">   AUTRES</v>
      </c>
      <c r="C7600" s="4">
        <v>16920</v>
      </c>
      <c r="D7600" s="4">
        <v>11003790</v>
      </c>
    </row>
    <row r="7601" spans="1:4" x14ac:dyDescent="0.25">
      <c r="A7601" t="str">
        <f>T("   650610")</f>
        <v xml:space="preserve">   650610</v>
      </c>
      <c r="B7601" t="str">
        <f>T("   COIFFURES DE SECURITE")</f>
        <v xml:space="preserve">   COIFFURES DE SECURITE</v>
      </c>
      <c r="C7601" s="4">
        <v>176</v>
      </c>
      <c r="D7601" s="4">
        <v>1827566</v>
      </c>
    </row>
    <row r="7602" spans="1:4" x14ac:dyDescent="0.25">
      <c r="A7602" t="str">
        <f>T("   650691")</f>
        <v xml:space="preserve">   650691</v>
      </c>
      <c r="B7602" t="str">
        <f>T("   EN CAOUTCHOUC OU EN MATIERE PLASTIQUE")</f>
        <v xml:space="preserve">   EN CAOUTCHOUC OU EN MATIERE PLASTIQUE</v>
      </c>
      <c r="C7602" s="4">
        <v>137.5</v>
      </c>
      <c r="D7602" s="4">
        <v>746521</v>
      </c>
    </row>
    <row r="7603" spans="1:4" x14ac:dyDescent="0.25">
      <c r="A7603" t="str">
        <f>T("   721399")</f>
        <v xml:space="preserve">   721399</v>
      </c>
      <c r="B7603" t="str">
        <f>T("   AUTRES")</f>
        <v xml:space="preserve">   AUTRES</v>
      </c>
      <c r="C7603" s="4">
        <v>49900</v>
      </c>
      <c r="D7603" s="4">
        <v>13158033</v>
      </c>
    </row>
    <row r="7604" spans="1:4" x14ac:dyDescent="0.25">
      <c r="A7604" t="str">
        <f>T("   730830")</f>
        <v xml:space="preserve">   730830</v>
      </c>
      <c r="B7604" t="str">
        <f>T("   PORTES, FENETRES ET LEURS CADRES ET CHAMBRANLES ET SEUILS")</f>
        <v xml:space="preserve">   PORTES, FENETRES ET LEURS CADRES ET CHAMBRANLES ET SEUILS</v>
      </c>
      <c r="C7604" s="4">
        <v>7266</v>
      </c>
      <c r="D7604" s="4">
        <v>22520832</v>
      </c>
    </row>
    <row r="7605" spans="1:4" x14ac:dyDescent="0.25">
      <c r="A7605" t="str">
        <f>T("   731815")</f>
        <v xml:space="preserve">   731815</v>
      </c>
      <c r="B7605" t="str">
        <f>T("   AUTRES VIS ET BOULONS, MEME AVEC LEURS ECROUS OU RONDELLES")</f>
        <v xml:space="preserve">   AUTRES VIS ET BOULONS, MEME AVEC LEURS ECROUS OU RONDELLES</v>
      </c>
      <c r="C7605" s="4">
        <v>3</v>
      </c>
      <c r="D7605" s="4">
        <v>64048</v>
      </c>
    </row>
    <row r="7606" spans="1:4" x14ac:dyDescent="0.25">
      <c r="A7606" t="str">
        <f>T("   732394")</f>
        <v xml:space="preserve">   732394</v>
      </c>
      <c r="B7606" t="str">
        <f>T("   EN FER OU EN ACIER, EMAILLES")</f>
        <v xml:space="preserve">   EN FER OU EN ACIER, EMAILLES</v>
      </c>
      <c r="C7606" s="4">
        <v>160</v>
      </c>
      <c r="D7606" s="4">
        <v>500000</v>
      </c>
    </row>
    <row r="7607" spans="1:4" x14ac:dyDescent="0.25">
      <c r="A7607" t="str">
        <f>T("   732399")</f>
        <v xml:space="preserve">   732399</v>
      </c>
      <c r="B7607" t="str">
        <f>T("   AUTRES")</f>
        <v xml:space="preserve">   AUTRES</v>
      </c>
      <c r="C7607" s="4">
        <v>16697</v>
      </c>
      <c r="D7607" s="4">
        <v>2613612</v>
      </c>
    </row>
    <row r="7608" spans="1:4" x14ac:dyDescent="0.25">
      <c r="A7608" t="str">
        <f>T("   732690")</f>
        <v xml:space="preserve">   732690</v>
      </c>
      <c r="B7608" t="str">
        <f>T("   AUTRES")</f>
        <v xml:space="preserve">   AUTRES</v>
      </c>
      <c r="C7608" s="4">
        <v>24044</v>
      </c>
      <c r="D7608" s="4">
        <v>74527064</v>
      </c>
    </row>
    <row r="7609" spans="1:4" x14ac:dyDescent="0.25">
      <c r="A7609" t="str">
        <f>T("   761090")</f>
        <v xml:space="preserve">   761090</v>
      </c>
      <c r="B7609" t="str">
        <f>T("   AUTRES")</f>
        <v xml:space="preserve">   AUTRES</v>
      </c>
      <c r="C7609" s="4">
        <v>6.99</v>
      </c>
      <c r="D7609" s="4">
        <v>86175</v>
      </c>
    </row>
    <row r="7610" spans="1:4" x14ac:dyDescent="0.25">
      <c r="A7610" t="str">
        <f>T("   820559")</f>
        <v xml:space="preserve">   820559</v>
      </c>
      <c r="B7610" t="str">
        <f>T("   AUTRES")</f>
        <v xml:space="preserve">   AUTRES</v>
      </c>
      <c r="C7610" s="4">
        <v>98</v>
      </c>
      <c r="D7610" s="4">
        <v>125709</v>
      </c>
    </row>
    <row r="7611" spans="1:4" x14ac:dyDescent="0.25">
      <c r="A7611" t="str">
        <f>T("   830220")</f>
        <v xml:space="preserve">   830220</v>
      </c>
      <c r="B7611" t="str">
        <f>T("   ROULETTES")</f>
        <v xml:space="preserve">   ROULETTES</v>
      </c>
      <c r="C7611" s="4">
        <v>632</v>
      </c>
      <c r="D7611" s="4">
        <v>1959221</v>
      </c>
    </row>
    <row r="7612" spans="1:4" x14ac:dyDescent="0.25">
      <c r="A7612" t="str">
        <f>T("   840721")</f>
        <v xml:space="preserve">   840721</v>
      </c>
      <c r="B7612" t="str">
        <f>T("   DU TYPE HORSBORD")</f>
        <v xml:space="preserve">   DU TYPE HORSBORD</v>
      </c>
      <c r="C7612" s="4">
        <v>65</v>
      </c>
      <c r="D7612" s="4">
        <v>1189484</v>
      </c>
    </row>
    <row r="7613" spans="1:4" x14ac:dyDescent="0.25">
      <c r="A7613" t="str">
        <f>T("   840910")</f>
        <v xml:space="preserve">   840910</v>
      </c>
      <c r="B7613" t="str">
        <f>T("   DE MOTEURS POUR L'AVIATION")</f>
        <v xml:space="preserve">   DE MOTEURS POUR L'AVIATION</v>
      </c>
      <c r="C7613" s="4">
        <v>44</v>
      </c>
      <c r="D7613" s="4">
        <v>185578</v>
      </c>
    </row>
    <row r="7614" spans="1:4" x14ac:dyDescent="0.25">
      <c r="A7614" t="str">
        <f>T("   840999")</f>
        <v xml:space="preserve">   840999</v>
      </c>
      <c r="B7614" t="str">
        <f>T("   AUTRES")</f>
        <v xml:space="preserve">   AUTRES</v>
      </c>
      <c r="C7614" s="4">
        <v>4</v>
      </c>
      <c r="D7614" s="4">
        <v>1122731</v>
      </c>
    </row>
    <row r="7615" spans="1:4" x14ac:dyDescent="0.25">
      <c r="A7615" t="str">
        <f>T("   841330")</f>
        <v xml:space="preserve">   841330</v>
      </c>
      <c r="B7615" t="str">
        <f>T("   POMPES A CARBURANT, A HUILE OU A LIQUIDE DE REFROIDISSEMENT POUR MOTEURS A ALLUMAGE P")</f>
        <v xml:space="preserve">   POMPES A CARBURANT, A HUILE OU A LIQUIDE DE REFROIDISSEMENT POUR MOTEURS A ALLUMAGE P</v>
      </c>
      <c r="C7615" s="4">
        <v>8</v>
      </c>
      <c r="D7615" s="4">
        <v>400136</v>
      </c>
    </row>
    <row r="7616" spans="1:4" x14ac:dyDescent="0.25">
      <c r="A7616" t="str">
        <f>T("   841391")</f>
        <v xml:space="preserve">   841391</v>
      </c>
      <c r="B7616" t="str">
        <f>T("   DE POMPES")</f>
        <v xml:space="preserve">   DE POMPES</v>
      </c>
      <c r="C7616" s="4">
        <v>1.4</v>
      </c>
      <c r="D7616" s="4">
        <v>333424</v>
      </c>
    </row>
    <row r="7617" spans="1:4" x14ac:dyDescent="0.25">
      <c r="A7617" t="str">
        <f>T("   841690")</f>
        <v xml:space="preserve">   841690</v>
      </c>
      <c r="B7617" t="str">
        <f>T("   PARTIES")</f>
        <v xml:space="preserve">   PARTIES</v>
      </c>
      <c r="C7617" s="4">
        <v>1</v>
      </c>
      <c r="D7617" s="4">
        <v>47834</v>
      </c>
    </row>
    <row r="7618" spans="1:4" x14ac:dyDescent="0.25">
      <c r="A7618" t="str">
        <f>T("   841829")</f>
        <v xml:space="preserve">   841829</v>
      </c>
      <c r="B7618" t="str">
        <f>T("   AUTRES")</f>
        <v xml:space="preserve">   AUTRES</v>
      </c>
      <c r="C7618" s="4">
        <v>12440</v>
      </c>
      <c r="D7618" s="4">
        <v>2392135</v>
      </c>
    </row>
    <row r="7619" spans="1:4" x14ac:dyDescent="0.25">
      <c r="A7619" t="str">
        <f>T("   842951")</f>
        <v xml:space="preserve">   842951</v>
      </c>
      <c r="B7619" t="str">
        <f>T("   CHARGEUSES ET CHARGEUSESPELLETEUSES A CHARGEMENT FRONTAL")</f>
        <v xml:space="preserve">   CHARGEUSES ET CHARGEUSESPELLETEUSES A CHARGEMENT FRONTAL</v>
      </c>
      <c r="C7619" s="4">
        <v>45040</v>
      </c>
      <c r="D7619" s="4">
        <v>231208845</v>
      </c>
    </row>
    <row r="7620" spans="1:4" x14ac:dyDescent="0.25">
      <c r="A7620" t="str">
        <f>T("   843143")</f>
        <v xml:space="preserve">   843143</v>
      </c>
      <c r="B7620" t="str">
        <f>T("   PARTIES DE MACHINES DE SONDAGE OU DE FORAGE DES N°S 8430.41 OU 8430.49")</f>
        <v xml:space="preserve">   PARTIES DE MACHINES DE SONDAGE OU DE FORAGE DES N°S 8430.41 OU 8430.49</v>
      </c>
      <c r="C7620" s="4">
        <v>17</v>
      </c>
      <c r="D7620" s="4">
        <v>243775</v>
      </c>
    </row>
    <row r="7621" spans="1:4" x14ac:dyDescent="0.25">
      <c r="A7621" t="str">
        <f>T("   843149")</f>
        <v xml:space="preserve">   843149</v>
      </c>
      <c r="B7621" t="str">
        <f>T("   AUTRES")</f>
        <v xml:space="preserve">   AUTRES</v>
      </c>
      <c r="C7621" s="4">
        <v>150</v>
      </c>
      <c r="D7621" s="4">
        <v>771410</v>
      </c>
    </row>
    <row r="7622" spans="1:4" x14ac:dyDescent="0.25">
      <c r="A7622" t="str">
        <f>T("   848180")</f>
        <v xml:space="preserve">   848180</v>
      </c>
      <c r="B7622" t="str">
        <f>T("   Autres articles de robinetterie et organes similaires")</f>
        <v xml:space="preserve">   Autres articles de robinetterie et organes similaires</v>
      </c>
      <c r="C7622" s="4">
        <v>25</v>
      </c>
      <c r="D7622" s="4">
        <v>258470</v>
      </c>
    </row>
    <row r="7623" spans="1:4" x14ac:dyDescent="0.25">
      <c r="A7623" t="str">
        <f>T("   848310")</f>
        <v xml:space="preserve">   848310</v>
      </c>
      <c r="B7623" t="str">
        <f>T("   ARBRES DE TRANSMISSION (Y COMPRIS LES ARBRES A CAMES ET LES VILEBREQUINS) ET MANIVELL")</f>
        <v xml:space="preserve">   ARBRES DE TRANSMISSION (Y COMPRIS LES ARBRES A CAMES ET LES VILEBREQUINS) ET MANIVELL</v>
      </c>
      <c r="C7623" s="4">
        <v>6</v>
      </c>
      <c r="D7623" s="4">
        <v>196978</v>
      </c>
    </row>
    <row r="7624" spans="1:4" x14ac:dyDescent="0.25">
      <c r="A7624" t="str">
        <f>T("   850161")</f>
        <v xml:space="preserve">   850161</v>
      </c>
      <c r="B7624" t="str">
        <f>T("   D'UNE PUISSANCE N'EXCEDANT PAS 75 KVA")</f>
        <v xml:space="preserve">   D'UNE PUISSANCE N'EXCEDANT PAS 75 KVA</v>
      </c>
      <c r="C7624" s="4">
        <v>18.5</v>
      </c>
      <c r="D7624" s="4">
        <v>351850</v>
      </c>
    </row>
    <row r="7625" spans="1:4" x14ac:dyDescent="0.25">
      <c r="A7625" t="str">
        <f>T("   850434")</f>
        <v xml:space="preserve">   850434</v>
      </c>
      <c r="B7625" t="str">
        <f>T("   D'UNE PUISSANCE EXCEDANT 500 KVA")</f>
        <v xml:space="preserve">   D'UNE PUISSANCE EXCEDANT 500 KVA</v>
      </c>
      <c r="C7625" s="4">
        <v>335</v>
      </c>
      <c r="D7625" s="4">
        <v>1839726</v>
      </c>
    </row>
    <row r="7626" spans="1:4" x14ac:dyDescent="0.25">
      <c r="A7626" t="str">
        <f>T("   850860")</f>
        <v xml:space="preserve">   850860</v>
      </c>
      <c r="B7626" t="str">
        <f>T("   AUTRES ASPIRATEURS")</f>
        <v xml:space="preserve">   AUTRES ASPIRATEURS</v>
      </c>
      <c r="C7626" s="4">
        <v>1020</v>
      </c>
      <c r="D7626" s="4">
        <v>500000</v>
      </c>
    </row>
    <row r="7627" spans="1:4" x14ac:dyDescent="0.25">
      <c r="A7627" t="str">
        <f>T("   851660")</f>
        <v xml:space="preserve">   851660</v>
      </c>
      <c r="B7627" t="str">
        <f>T("   AUTRES FOURS; CUISINIERES, RECHAUDS (Y COMPRIS LES TABLES DE CUISSON), GRILS ET ROTIS")</f>
        <v xml:space="preserve">   AUTRES FOURS; CUISINIERES, RECHAUDS (Y COMPRIS LES TABLES DE CUISSON), GRILS ET ROTIS</v>
      </c>
      <c r="C7627" s="4">
        <v>11000</v>
      </c>
      <c r="D7627" s="4">
        <v>2403058</v>
      </c>
    </row>
    <row r="7628" spans="1:4" x14ac:dyDescent="0.25">
      <c r="A7628" t="str">
        <f>T("   851712")</f>
        <v xml:space="preserve">   851712</v>
      </c>
      <c r="B7628" t="str">
        <f>T("   TELEPHONES POUR RESEAUX CELLULAIRES ET POUR AUTRES RESEAUX SANS FIL")</f>
        <v xml:space="preserve">   TELEPHONES POUR RESEAUX CELLULAIRES ET POUR AUTRES RESEAUX SANS FIL</v>
      </c>
      <c r="C7628" s="4">
        <v>649</v>
      </c>
      <c r="D7628" s="4">
        <v>49974320</v>
      </c>
    </row>
    <row r="7629" spans="1:4" x14ac:dyDescent="0.25">
      <c r="A7629" t="str">
        <f>T("   851822")</f>
        <v xml:space="preserve">   851822</v>
      </c>
      <c r="B7629" t="str">
        <f>T("   HAUTPARLEURS MULTIPLES MONTES DANS LA MEME ENCEINTE")</f>
        <v xml:space="preserve">   HAUTPARLEURS MULTIPLES MONTES DANS LA MEME ENCEINTE</v>
      </c>
      <c r="C7629" s="4">
        <v>12.2</v>
      </c>
      <c r="D7629" s="4">
        <v>181464</v>
      </c>
    </row>
    <row r="7630" spans="1:4" x14ac:dyDescent="0.25">
      <c r="A7630" t="str">
        <f>T("   852190")</f>
        <v xml:space="preserve">   852190</v>
      </c>
      <c r="B7630" t="str">
        <f>T("   AUTRES")</f>
        <v xml:space="preserve">   AUTRES</v>
      </c>
      <c r="C7630" s="4">
        <v>1463</v>
      </c>
      <c r="D7630" s="4">
        <v>379785</v>
      </c>
    </row>
    <row r="7631" spans="1:4" x14ac:dyDescent="0.25">
      <c r="A7631" t="str">
        <f>T("   852550")</f>
        <v xml:space="preserve">   852550</v>
      </c>
      <c r="B7631" t="str">
        <f>T("   APPAREILS D'EMISSION")</f>
        <v xml:space="preserve">   APPAREILS D'EMISSION</v>
      </c>
      <c r="C7631" s="4">
        <v>16367</v>
      </c>
      <c r="D7631" s="4">
        <v>4040759</v>
      </c>
    </row>
    <row r="7632" spans="1:4" x14ac:dyDescent="0.25">
      <c r="A7632" t="str">
        <f>T("   852721")</f>
        <v xml:space="preserve">   852721</v>
      </c>
      <c r="B7632" t="str">
        <f>T("   COMBINES A UN APPAREIL D'ENREGISTREMENT OU DE REPRODUCTION DU SON")</f>
        <v xml:space="preserve">   COMBINES A UN APPAREIL D'ENREGISTREMENT OU DE REPRODUCTION DU SON</v>
      </c>
      <c r="C7632" s="4">
        <v>16</v>
      </c>
      <c r="D7632" s="4">
        <v>216781</v>
      </c>
    </row>
    <row r="7633" spans="1:4" x14ac:dyDescent="0.25">
      <c r="A7633" t="str">
        <f>T("   853110")</f>
        <v xml:space="preserve">   853110</v>
      </c>
      <c r="B7633" t="str">
        <f>T("   AVERTISSEURS ELECTRIQUES POUR LA PROTECTION CONTRE LE VOL OU L'INCENDIE ET APPAREILS")</f>
        <v xml:space="preserve">   AVERTISSEURS ELECTRIQUES POUR LA PROTECTION CONTRE LE VOL OU L'INCENDIE ET APPAREILS</v>
      </c>
      <c r="C7633" s="4">
        <v>8</v>
      </c>
      <c r="D7633" s="4">
        <v>108479</v>
      </c>
    </row>
    <row r="7634" spans="1:4" x14ac:dyDescent="0.25">
      <c r="A7634" t="str">
        <f>T("   853650")</f>
        <v xml:space="preserve">   853650</v>
      </c>
      <c r="B7634" t="str">
        <f>T("   AUTRES INTERRUPTEURS, SECTIONNEURS ET COMMUTATEURS")</f>
        <v xml:space="preserve">   AUTRES INTERRUPTEURS, SECTIONNEURS ET COMMUTATEURS</v>
      </c>
      <c r="C7634" s="4">
        <v>32</v>
      </c>
      <c r="D7634" s="4">
        <v>633791</v>
      </c>
    </row>
    <row r="7635" spans="1:4" x14ac:dyDescent="0.25">
      <c r="A7635" t="str">
        <f>T("   853690")</f>
        <v xml:space="preserve">   853690</v>
      </c>
      <c r="B7635" t="str">
        <f>T("   AUTRES APPAREILS")</f>
        <v xml:space="preserve">   AUTRES APPAREILS</v>
      </c>
      <c r="C7635" s="4">
        <v>50</v>
      </c>
      <c r="D7635" s="4">
        <v>207347</v>
      </c>
    </row>
    <row r="7636" spans="1:4" x14ac:dyDescent="0.25">
      <c r="A7636" t="str">
        <f>T("   854449")</f>
        <v xml:space="preserve">   854449</v>
      </c>
      <c r="B7636" t="str">
        <f>T("   AUTRES")</f>
        <v xml:space="preserve">   AUTRES</v>
      </c>
      <c r="C7636" s="4">
        <v>5</v>
      </c>
      <c r="D7636" s="4">
        <v>377903</v>
      </c>
    </row>
    <row r="7637" spans="1:4" x14ac:dyDescent="0.25">
      <c r="A7637" t="str">
        <f>T("   870120")</f>
        <v xml:space="preserve">   870120</v>
      </c>
      <c r="B7637" t="str">
        <f>T("   TRACTEURS ROUTIERS POUR SEMIREMORQUES")</f>
        <v xml:space="preserve">   TRACTEURS ROUTIERS POUR SEMIREMORQUES</v>
      </c>
      <c r="C7637" s="4">
        <v>6000</v>
      </c>
      <c r="D7637" s="4">
        <v>2000000</v>
      </c>
    </row>
    <row r="7638" spans="1:4" x14ac:dyDescent="0.25">
      <c r="A7638" t="str">
        <f>T("   870210")</f>
        <v xml:space="preserve">   870210</v>
      </c>
      <c r="B7638" t="str">
        <f>T("   A MOTEUR A PISTON A ALLUMAGE PAR COMPRESSION (DIESEL OU SEMIDIESEL)")</f>
        <v xml:space="preserve">   A MOTEUR A PISTON A ALLUMAGE PAR COMPRESSION (DIESEL OU SEMIDIESEL)</v>
      </c>
      <c r="C7638" s="4">
        <v>1885</v>
      </c>
      <c r="D7638" s="4">
        <v>16194997</v>
      </c>
    </row>
    <row r="7639" spans="1:4" x14ac:dyDescent="0.25">
      <c r="A7639" t="str">
        <f>T("   870322")</f>
        <v xml:space="preserve">   870322</v>
      </c>
      <c r="B7639" t="str">
        <f>T("   D’UNE CYLINDREE EXCEDANT 1.000 CM³ MAIS N’EXCEDANT PAS 1.500 CM³")</f>
        <v xml:space="preserve">   D’UNE CYLINDREE EXCEDANT 1.000 CM³ MAIS N’EXCEDANT PAS 1.500 CM³</v>
      </c>
      <c r="C7639" s="4">
        <v>20080</v>
      </c>
      <c r="D7639" s="4">
        <v>27011859</v>
      </c>
    </row>
    <row r="7640" spans="1:4" x14ac:dyDescent="0.25">
      <c r="A7640" t="str">
        <f>T("   870323")</f>
        <v xml:space="preserve">   870323</v>
      </c>
      <c r="B7640" t="str">
        <f>T("   D’UNE CYLINDREE EXCEDANT 1.500 CM³ MAIS N’EXCEDANT PAS 3.000 CM³")</f>
        <v xml:space="preserve">   D’UNE CYLINDREE EXCEDANT 1.500 CM³ MAIS N’EXCEDANT PAS 3.000 CM³</v>
      </c>
      <c r="C7640" s="4">
        <v>50183</v>
      </c>
      <c r="D7640" s="4">
        <v>176756411</v>
      </c>
    </row>
    <row r="7641" spans="1:4" x14ac:dyDescent="0.25">
      <c r="A7641" t="str">
        <f>T("   870324")</f>
        <v xml:space="preserve">   870324</v>
      </c>
      <c r="B7641" t="str">
        <f>T("   D’UNE CYLINDREE EXCEDANT 3.000 CM³")</f>
        <v xml:space="preserve">   D’UNE CYLINDREE EXCEDANT 3.000 CM³</v>
      </c>
      <c r="C7641" s="4">
        <v>8609</v>
      </c>
      <c r="D7641" s="4">
        <v>41359465</v>
      </c>
    </row>
    <row r="7642" spans="1:4" x14ac:dyDescent="0.25">
      <c r="A7642" t="str">
        <f>T("   870332")</f>
        <v xml:space="preserve">   870332</v>
      </c>
      <c r="B7642" t="str">
        <f>T("   D'UNE CYLINDREE EXCEDANT 1.500 CM³ MAIS N'EXCEDANT PAS 2.500 CM³")</f>
        <v xml:space="preserve">   D'UNE CYLINDREE EXCEDANT 1.500 CM³ MAIS N'EXCEDANT PAS 2.500 CM³</v>
      </c>
      <c r="C7642" s="4">
        <v>4895</v>
      </c>
      <c r="D7642" s="4">
        <v>40516470</v>
      </c>
    </row>
    <row r="7643" spans="1:4" x14ac:dyDescent="0.25">
      <c r="A7643" t="str">
        <f>T("   870333")</f>
        <v xml:space="preserve">   870333</v>
      </c>
      <c r="B7643" t="str">
        <f>T("   D'UNE CYLINDREE EXCEDANT 2.500 CM³")</f>
        <v xml:space="preserve">   D'UNE CYLINDREE EXCEDANT 2.500 CM³</v>
      </c>
      <c r="C7643" s="4">
        <v>38160</v>
      </c>
      <c r="D7643" s="4">
        <v>285440034</v>
      </c>
    </row>
    <row r="7644" spans="1:4" x14ac:dyDescent="0.25">
      <c r="A7644" t="str">
        <f>T("   870421")</f>
        <v xml:space="preserve">   870421</v>
      </c>
      <c r="B7644" t="str">
        <f>T("   D'UN POIDS EN CHARGE MAXIMAL N'EXCEDANT PAS 5 TONNES")</f>
        <v xml:space="preserve">   D'UN POIDS EN CHARGE MAXIMAL N'EXCEDANT PAS 5 TONNES</v>
      </c>
      <c r="C7644" s="4">
        <v>6220</v>
      </c>
      <c r="D7644" s="4">
        <v>17952098</v>
      </c>
    </row>
    <row r="7645" spans="1:4" x14ac:dyDescent="0.25">
      <c r="A7645" t="str">
        <f>T("   870431")</f>
        <v xml:space="preserve">   870431</v>
      </c>
      <c r="B7645" t="str">
        <f>T("   D'UN POIDS EN CHARGE MAXIMAL N'EXCEDANT PAS 5 TONNES")</f>
        <v xml:space="preserve">   D'UN POIDS EN CHARGE MAXIMAL N'EXCEDANT PAS 5 TONNES</v>
      </c>
      <c r="C7645" s="4">
        <v>2660</v>
      </c>
      <c r="D7645" s="4">
        <v>2400000</v>
      </c>
    </row>
    <row r="7646" spans="1:4" x14ac:dyDescent="0.25">
      <c r="A7646" t="str">
        <f>T("   870810")</f>
        <v xml:space="preserve">   870810</v>
      </c>
      <c r="B7646" t="str">
        <f>T("   PARECHOCS ET LEURS PARTIES")</f>
        <v xml:space="preserve">   PARECHOCS ET LEURS PARTIES</v>
      </c>
      <c r="C7646" s="4">
        <v>356</v>
      </c>
      <c r="D7646" s="4">
        <v>3983862</v>
      </c>
    </row>
    <row r="7647" spans="1:4" x14ac:dyDescent="0.25">
      <c r="A7647" t="str">
        <f>T("   870829")</f>
        <v xml:space="preserve">   870829</v>
      </c>
      <c r="B7647" t="str">
        <f>T("   AUTRES")</f>
        <v xml:space="preserve">   AUTRES</v>
      </c>
      <c r="C7647" s="4">
        <v>1136</v>
      </c>
      <c r="D7647" s="4">
        <v>9430292</v>
      </c>
    </row>
    <row r="7648" spans="1:4" x14ac:dyDescent="0.25">
      <c r="A7648" t="str">
        <f>T("   870899")</f>
        <v xml:space="preserve">   870899</v>
      </c>
      <c r="B7648" t="str">
        <f>T("   AUTRES")</f>
        <v xml:space="preserve">   AUTRES</v>
      </c>
      <c r="C7648" s="4">
        <v>4916.3999999999996</v>
      </c>
      <c r="D7648" s="4">
        <v>38384622</v>
      </c>
    </row>
    <row r="7649" spans="1:4" x14ac:dyDescent="0.25">
      <c r="A7649" t="str">
        <f>T("   871110")</f>
        <v xml:space="preserve">   871110</v>
      </c>
      <c r="B7649" t="str">
        <f>T("   A MOTEUR A PISTON ALTERNATIF, D'UNE CYLINDREE N'EXCEDANT PAS 50 CM³")</f>
        <v xml:space="preserve">   A MOTEUR A PISTON ALTERNATIF, D'UNE CYLINDREE N'EXCEDANT PAS 50 CM³</v>
      </c>
      <c r="C7649" s="4">
        <v>250</v>
      </c>
      <c r="D7649" s="4">
        <v>366000</v>
      </c>
    </row>
    <row r="7650" spans="1:4" x14ac:dyDescent="0.25">
      <c r="A7650" t="str">
        <f>T("   871120")</f>
        <v xml:space="preserve">   871120</v>
      </c>
      <c r="B7650" t="str">
        <f>T("   A MOTEUR A PISTON ALTERNATIF, D'UNE CYLINDREE EXCEDANT 50 CM³ MAIS N'EXCEDANT PAS 250")</f>
        <v xml:space="preserve">   A MOTEUR A PISTON ALTERNATIF, D'UNE CYLINDREE EXCEDANT 50 CM³ MAIS N'EXCEDANT PAS 250</v>
      </c>
      <c r="C7650" s="4">
        <v>26751</v>
      </c>
      <c r="D7650" s="4">
        <v>137195482</v>
      </c>
    </row>
    <row r="7651" spans="1:4" x14ac:dyDescent="0.25">
      <c r="A7651" t="str">
        <f>T("   871190")</f>
        <v xml:space="preserve">   871190</v>
      </c>
      <c r="B7651" t="str">
        <f>T("   AUTRES")</f>
        <v xml:space="preserve">   AUTRES</v>
      </c>
      <c r="C7651" s="4">
        <v>1032</v>
      </c>
      <c r="D7651" s="4">
        <v>1565000</v>
      </c>
    </row>
    <row r="7652" spans="1:4" x14ac:dyDescent="0.25">
      <c r="A7652" t="str">
        <f>T("   871200")</f>
        <v xml:space="preserve">   871200</v>
      </c>
      <c r="B7652" t="str">
        <f>T("   BICYCLETTES ET AUTRES CYCLES (Y COMPRIS LES TRIPORTEURS), SANS MOTEUR.")</f>
        <v xml:space="preserve">   BICYCLETTES ET AUTRES CYCLES (Y COMPRIS LES TRIPORTEURS), SANS MOTEUR.</v>
      </c>
      <c r="C7652" s="4">
        <v>15</v>
      </c>
      <c r="D7652" s="4">
        <v>50000</v>
      </c>
    </row>
    <row r="7653" spans="1:4" x14ac:dyDescent="0.25">
      <c r="A7653" t="str">
        <f>T("   871419")</f>
        <v xml:space="preserve">   871419</v>
      </c>
      <c r="B7653" t="str">
        <f>T("   AUTRES PARTIES ET ACCESSOIRES DE MOTOCYCLES")</f>
        <v xml:space="preserve">   AUTRES PARTIES ET ACCESSOIRES DE MOTOCYCLES</v>
      </c>
      <c r="C7653" s="4">
        <v>800</v>
      </c>
      <c r="D7653" s="4">
        <v>4133782</v>
      </c>
    </row>
    <row r="7654" spans="1:4" x14ac:dyDescent="0.25">
      <c r="A7654" t="str">
        <f>T("   871639")</f>
        <v xml:space="preserve">   871639</v>
      </c>
      <c r="B7654" t="str">
        <f>T("   AUTRES")</f>
        <v xml:space="preserve">   AUTRES</v>
      </c>
      <c r="C7654" s="4">
        <v>28760</v>
      </c>
      <c r="D7654" s="4">
        <v>2088594</v>
      </c>
    </row>
    <row r="7655" spans="1:4" x14ac:dyDescent="0.25">
      <c r="A7655" t="str">
        <f>T("   901819")</f>
        <v xml:space="preserve">   901819</v>
      </c>
      <c r="B7655" t="str">
        <f>T("   AUTRES")</f>
        <v xml:space="preserve">   AUTRES</v>
      </c>
      <c r="C7655" s="4">
        <v>25</v>
      </c>
      <c r="D7655" s="4">
        <v>400000</v>
      </c>
    </row>
    <row r="7656" spans="1:4" x14ac:dyDescent="0.25">
      <c r="A7656" t="str">
        <f>T("   901890")</f>
        <v xml:space="preserve">   901890</v>
      </c>
      <c r="B7656" t="str">
        <f>T("   AUTRES INSTRUMENTS ET APPAREILS")</f>
        <v xml:space="preserve">   AUTRES INSTRUMENTS ET APPAREILS</v>
      </c>
      <c r="C7656" s="4">
        <v>33.9</v>
      </c>
      <c r="D7656" s="4">
        <v>742712</v>
      </c>
    </row>
    <row r="7657" spans="1:4" x14ac:dyDescent="0.25">
      <c r="A7657" t="str">
        <f>T("   903040")</f>
        <v xml:space="preserve">   903040</v>
      </c>
      <c r="B7657" t="str">
        <f>T("   AUTRES INSTRUMENTS ET APPAREILS, SPECIALEMENT CONCUS POUR LES TECHNIQUES DE LA TELECO")</f>
        <v xml:space="preserve">   AUTRES INSTRUMENTS ET APPAREILS, SPECIALEMENT CONCUS POUR LES TECHNIQUES DE LA TELECO</v>
      </c>
      <c r="C7657" s="4">
        <v>0.4</v>
      </c>
      <c r="D7657" s="4">
        <v>174595</v>
      </c>
    </row>
    <row r="7658" spans="1:4" x14ac:dyDescent="0.25">
      <c r="A7658" t="str">
        <f>T("   903290")</f>
        <v xml:space="preserve">   903290</v>
      </c>
      <c r="B7658" t="str">
        <f>T("   PARTIES ET ACCESSOIRES")</f>
        <v xml:space="preserve">   PARTIES ET ACCESSOIRES</v>
      </c>
      <c r="C7658" s="4">
        <v>13</v>
      </c>
      <c r="D7658" s="4">
        <v>617258</v>
      </c>
    </row>
    <row r="7659" spans="1:4" x14ac:dyDescent="0.25">
      <c r="A7659" t="str">
        <f>T("   940350")</f>
        <v xml:space="preserve">   940350</v>
      </c>
      <c r="B7659" t="str">
        <f>T("   MEUBLES EN BOIS DES TYPES UTILISES DANS LES CHAMBRES A COUCHER")</f>
        <v xml:space="preserve">   MEUBLES EN BOIS DES TYPES UTILISES DANS LES CHAMBRES A COUCHER</v>
      </c>
      <c r="C7659" s="4">
        <v>750</v>
      </c>
      <c r="D7659" s="4">
        <v>2500000</v>
      </c>
    </row>
    <row r="7660" spans="1:4" x14ac:dyDescent="0.25">
      <c r="A7660" t="str">
        <f>T("   940360")</f>
        <v xml:space="preserve">   940360</v>
      </c>
      <c r="B7660" t="str">
        <f>T("   Autres meubles en bois")</f>
        <v xml:space="preserve">   Autres meubles en bois</v>
      </c>
      <c r="C7660" s="4">
        <v>8448</v>
      </c>
      <c r="D7660" s="4">
        <v>3386403</v>
      </c>
    </row>
    <row r="7661" spans="1:4" x14ac:dyDescent="0.25">
      <c r="A7661" t="str">
        <f>T("   960899")</f>
        <v xml:space="preserve">   960899</v>
      </c>
      <c r="B7661" t="str">
        <f>T("   AUTRES")</f>
        <v xml:space="preserve">   AUTRES</v>
      </c>
      <c r="C7661" s="4">
        <v>3.9</v>
      </c>
      <c r="D7661" s="4">
        <v>499784</v>
      </c>
    </row>
    <row r="7662" spans="1:4" s="5" customFormat="1" x14ac:dyDescent="0.25">
      <c r="A7662" s="5" t="str">
        <f>T("   ZZ_Total_Produit_SH6")</f>
        <v xml:space="preserve">   ZZ_Total_Produit_SH6</v>
      </c>
      <c r="B7662" s="5" t="str">
        <f>T("   ZZ_Total_Produit_SH6")</f>
        <v xml:space="preserve">   ZZ_Total_Produit_SH6</v>
      </c>
      <c r="C7662" s="1">
        <v>125602460.59</v>
      </c>
      <c r="D7662" s="1">
        <v>5197818876</v>
      </c>
    </row>
    <row r="7663" spans="1:4" s="5" customFormat="1" x14ac:dyDescent="0.25">
      <c r="B7663" s="5" t="str">
        <f>T("Kenya")</f>
        <v>Kenya</v>
      </c>
      <c r="C7663" s="1"/>
      <c r="D7663" s="1"/>
    </row>
    <row r="7664" spans="1:4" x14ac:dyDescent="0.25">
      <c r="A7664" t="str">
        <f>T("   530310")</f>
        <v xml:space="preserve">   530310</v>
      </c>
      <c r="B7664" t="str">
        <f>T("   JUTE ET AUTRES FIBRES TEXTILES LIBERIENNES, BRUTS OU ROUIS")</f>
        <v xml:space="preserve">   JUTE ET AUTRES FIBRES TEXTILES LIBERIENNES, BRUTS OU ROUIS</v>
      </c>
      <c r="C7664" s="4">
        <v>29000</v>
      </c>
      <c r="D7664" s="4">
        <v>23093382</v>
      </c>
    </row>
    <row r="7665" spans="1:4" x14ac:dyDescent="0.25">
      <c r="A7665" t="str">
        <f>T("   621040")</f>
        <v xml:space="preserve">   621040</v>
      </c>
      <c r="B7665" t="str">
        <f>T("   AUTRES VETEMENTS POUR HOMMES OU GARCONNETS")</f>
        <v xml:space="preserve">   AUTRES VETEMENTS POUR HOMMES OU GARCONNETS</v>
      </c>
      <c r="C7665" s="4">
        <v>255</v>
      </c>
      <c r="D7665" s="4">
        <v>312000</v>
      </c>
    </row>
    <row r="7666" spans="1:4" x14ac:dyDescent="0.25">
      <c r="A7666" t="str">
        <f>T("   621050")</f>
        <v xml:space="preserve">   621050</v>
      </c>
      <c r="B7666" t="str">
        <f>T("   AUTRES VETEMENTS POUR FEMMES OU FILLETTES")</f>
        <v xml:space="preserve">   AUTRES VETEMENTS POUR FEMMES OU FILLETTES</v>
      </c>
      <c r="C7666" s="4">
        <v>259</v>
      </c>
      <c r="D7666" s="4">
        <v>155550</v>
      </c>
    </row>
    <row r="7667" spans="1:4" x14ac:dyDescent="0.25">
      <c r="A7667" t="str">
        <f>T("   630590")</f>
        <v xml:space="preserve">   630590</v>
      </c>
      <c r="B7667" t="str">
        <f>T("   D'AUTRES MATIERES TEXTILES")</f>
        <v xml:space="preserve">   D'AUTRES MATIERES TEXTILES</v>
      </c>
      <c r="C7667" s="4">
        <v>102</v>
      </c>
      <c r="D7667" s="4">
        <v>100000</v>
      </c>
    </row>
    <row r="7668" spans="1:4" x14ac:dyDescent="0.25">
      <c r="A7668" t="str">
        <f>T("   640219")</f>
        <v xml:space="preserve">   640219</v>
      </c>
      <c r="B7668" t="str">
        <f>T("   AUTRES")</f>
        <v xml:space="preserve">   AUTRES</v>
      </c>
      <c r="C7668" s="4">
        <v>185</v>
      </c>
      <c r="D7668" s="4">
        <v>325000</v>
      </c>
    </row>
    <row r="7669" spans="1:4" x14ac:dyDescent="0.25">
      <c r="A7669" t="str">
        <f>T("   711790")</f>
        <v xml:space="preserve">   711790</v>
      </c>
      <c r="B7669" t="str">
        <f>T("   AUTRES")</f>
        <v xml:space="preserve">   AUTRES</v>
      </c>
      <c r="C7669" s="4">
        <v>90</v>
      </c>
      <c r="D7669" s="4">
        <v>418000</v>
      </c>
    </row>
    <row r="7670" spans="1:4" x14ac:dyDescent="0.25">
      <c r="A7670" t="str">
        <f>T("   852380")</f>
        <v xml:space="preserve">   852380</v>
      </c>
      <c r="B7670" t="str">
        <f>T("   AUTRES")</f>
        <v xml:space="preserve">   AUTRES</v>
      </c>
      <c r="C7670" s="4">
        <v>1090</v>
      </c>
      <c r="D7670" s="4">
        <v>298738</v>
      </c>
    </row>
    <row r="7671" spans="1:4" x14ac:dyDescent="0.25">
      <c r="A7671" t="str">
        <f>T("   853690")</f>
        <v xml:space="preserve">   853690</v>
      </c>
      <c r="B7671" t="str">
        <f>T("   AUTRES APPAREILS")</f>
        <v xml:space="preserve">   AUTRES APPAREILS</v>
      </c>
      <c r="C7671" s="4">
        <v>2</v>
      </c>
      <c r="D7671" s="4">
        <v>167157</v>
      </c>
    </row>
    <row r="7672" spans="1:4" x14ac:dyDescent="0.25">
      <c r="A7672" t="str">
        <f>T("   901831")</f>
        <v xml:space="preserve">   901831</v>
      </c>
      <c r="B7672" t="str">
        <f>T("   SERINGUES, AVEC OU SANS AIGUILLES")</f>
        <v xml:space="preserve">   SERINGUES, AVEC OU SANS AIGUILLES</v>
      </c>
      <c r="C7672" s="4">
        <v>28</v>
      </c>
      <c r="D7672" s="4">
        <v>150000</v>
      </c>
    </row>
    <row r="7673" spans="1:4" s="5" customFormat="1" x14ac:dyDescent="0.25">
      <c r="A7673" s="5" t="str">
        <f>T("   ZZ_Total_Produit_SH6")</f>
        <v xml:space="preserve">   ZZ_Total_Produit_SH6</v>
      </c>
      <c r="B7673" s="5" t="str">
        <f>T("   ZZ_Total_Produit_SH6")</f>
        <v xml:space="preserve">   ZZ_Total_Produit_SH6</v>
      </c>
      <c r="C7673" s="1">
        <v>31011</v>
      </c>
      <c r="D7673" s="1">
        <v>25019827</v>
      </c>
    </row>
    <row r="7674" spans="1:4" s="5" customFormat="1" x14ac:dyDescent="0.25">
      <c r="B7674" s="5" t="str">
        <f>T("Kirghizistan")</f>
        <v>Kirghizistan</v>
      </c>
      <c r="C7674" s="1"/>
      <c r="D7674" s="1"/>
    </row>
    <row r="7675" spans="1:4" x14ac:dyDescent="0.25">
      <c r="A7675" t="str">
        <f>T("   842481")</f>
        <v xml:space="preserve">   842481</v>
      </c>
      <c r="B7675" t="str">
        <f>T("   POUR L'AGRICULTURE OU L'HORTICULTURE")</f>
        <v xml:space="preserve">   POUR L'AGRICULTURE OU L'HORTICULTURE</v>
      </c>
      <c r="C7675" s="4">
        <v>67</v>
      </c>
      <c r="D7675" s="4">
        <v>25000</v>
      </c>
    </row>
    <row r="7676" spans="1:4" s="5" customFormat="1" x14ac:dyDescent="0.25">
      <c r="A7676" s="5" t="str">
        <f>T("   ZZ_Total_Produit_SH6")</f>
        <v xml:space="preserve">   ZZ_Total_Produit_SH6</v>
      </c>
      <c r="B7676" s="5" t="str">
        <f>T("   ZZ_Total_Produit_SH6")</f>
        <v xml:space="preserve">   ZZ_Total_Produit_SH6</v>
      </c>
      <c r="C7676" s="1">
        <v>67</v>
      </c>
      <c r="D7676" s="1">
        <v>25000</v>
      </c>
    </row>
    <row r="7677" spans="1:4" s="5" customFormat="1" x14ac:dyDescent="0.25">
      <c r="B7677" s="5" t="str">
        <f>T("Cambodge")</f>
        <v>Cambodge</v>
      </c>
      <c r="C7677" s="1"/>
      <c r="D7677" s="1"/>
    </row>
    <row r="7678" spans="1:4" x14ac:dyDescent="0.25">
      <c r="A7678" t="str">
        <f>T("   100630")</f>
        <v xml:space="preserve">   100630</v>
      </c>
      <c r="B7678" t="str">
        <f>T("   RIZ SEMIBLANCHI OU BLANCHI, MEME POLI OU GLACE")</f>
        <v xml:space="preserve">   RIZ SEMIBLANCHI OU BLANCHI, MEME POLI OU GLACE</v>
      </c>
      <c r="C7678" s="4">
        <v>92000</v>
      </c>
      <c r="D7678" s="4">
        <v>28996771</v>
      </c>
    </row>
    <row r="7679" spans="1:4" s="5" customFormat="1" x14ac:dyDescent="0.25">
      <c r="A7679" s="5" t="str">
        <f>T("   ZZ_Total_Produit_SH6")</f>
        <v xml:space="preserve">   ZZ_Total_Produit_SH6</v>
      </c>
      <c r="B7679" s="5" t="str">
        <f>T("   ZZ_Total_Produit_SH6")</f>
        <v xml:space="preserve">   ZZ_Total_Produit_SH6</v>
      </c>
      <c r="C7679" s="1">
        <v>92000</v>
      </c>
      <c r="D7679" s="1">
        <v>28996771</v>
      </c>
    </row>
    <row r="7680" spans="1:4" s="5" customFormat="1" x14ac:dyDescent="0.25">
      <c r="B7680" s="5" t="str">
        <f>T("Saint Kitts et Nevis")</f>
        <v>Saint Kitts et Nevis</v>
      </c>
      <c r="C7680" s="1"/>
      <c r="D7680" s="1"/>
    </row>
    <row r="7681" spans="1:4" x14ac:dyDescent="0.25">
      <c r="A7681" t="str">
        <f>T("   901890")</f>
        <v xml:space="preserve">   901890</v>
      </c>
      <c r="B7681" t="str">
        <f>T("   AUTRES INSTRUMENTS ET APPAREILS")</f>
        <v xml:space="preserve">   AUTRES INSTRUMENTS ET APPAREILS</v>
      </c>
      <c r="C7681" s="4">
        <v>123</v>
      </c>
      <c r="D7681" s="4">
        <v>200000</v>
      </c>
    </row>
    <row r="7682" spans="1:4" s="5" customFormat="1" x14ac:dyDescent="0.25">
      <c r="A7682" s="5" t="str">
        <f>T("   ZZ_Total_Produit_SH6")</f>
        <v xml:space="preserve">   ZZ_Total_Produit_SH6</v>
      </c>
      <c r="B7682" s="5" t="str">
        <f>T("   ZZ_Total_Produit_SH6")</f>
        <v xml:space="preserve">   ZZ_Total_Produit_SH6</v>
      </c>
      <c r="C7682" s="1">
        <v>123</v>
      </c>
      <c r="D7682" s="1">
        <v>200000</v>
      </c>
    </row>
    <row r="7683" spans="1:4" s="5" customFormat="1" x14ac:dyDescent="0.25">
      <c r="B7683" s="5" t="str">
        <f>T("Corée, Rép. Populaire Démocratique")</f>
        <v>Corée, Rép. Populaire Démocratique</v>
      </c>
      <c r="C7683" s="1"/>
      <c r="D7683" s="1"/>
    </row>
    <row r="7684" spans="1:4" x14ac:dyDescent="0.25">
      <c r="A7684" t="str">
        <f>T("   271019")</f>
        <v xml:space="preserve">   271019</v>
      </c>
      <c r="B7684" t="str">
        <f>T("   AUTRES")</f>
        <v xml:space="preserve">   AUTRES</v>
      </c>
      <c r="C7684" s="4">
        <v>5239632</v>
      </c>
      <c r="D7684" s="4">
        <v>1727738685</v>
      </c>
    </row>
    <row r="7685" spans="1:4" x14ac:dyDescent="0.25">
      <c r="A7685" t="str">
        <f>T("   300490")</f>
        <v xml:space="preserve">   300490</v>
      </c>
      <c r="B7685" t="str">
        <f>T("   AUTRES")</f>
        <v xml:space="preserve">   AUTRES</v>
      </c>
      <c r="C7685" s="4">
        <v>136</v>
      </c>
      <c r="D7685" s="4">
        <v>370000</v>
      </c>
    </row>
    <row r="7686" spans="1:4" x14ac:dyDescent="0.25">
      <c r="A7686" t="str">
        <f>T("   330690")</f>
        <v xml:space="preserve">   330690</v>
      </c>
      <c r="B7686" t="str">
        <f>T("   AUTRES")</f>
        <v xml:space="preserve">   AUTRES</v>
      </c>
      <c r="C7686" s="4">
        <v>60</v>
      </c>
      <c r="D7686" s="4">
        <v>20000</v>
      </c>
    </row>
    <row r="7687" spans="1:4" x14ac:dyDescent="0.25">
      <c r="A7687" t="str">
        <f>T("   382200")</f>
        <v xml:space="preserve">   382200</v>
      </c>
      <c r="B7687" t="str">
        <f>T("   REACTIFS DE DIAGNOSTIC OU DE LABORATOIRE SUR TOUT SUPPORT ET REACTIFS DE DIAGNOSTIC OU")</f>
        <v xml:space="preserve">   REACTIFS DE DIAGNOSTIC OU DE LABORATOIRE SUR TOUT SUPPORT ET REACTIFS DE DIAGNOSTIC OU</v>
      </c>
      <c r="C7687" s="4">
        <v>53.5</v>
      </c>
      <c r="D7687" s="4">
        <v>2688912</v>
      </c>
    </row>
    <row r="7688" spans="1:4" x14ac:dyDescent="0.25">
      <c r="A7688" t="str">
        <f>T("   540753")</f>
        <v xml:space="preserve">   540753</v>
      </c>
      <c r="B7688" t="str">
        <f>T("   EN FILS DE DIVERSES COULEURS")</f>
        <v xml:space="preserve">   EN FILS DE DIVERSES COULEURS</v>
      </c>
      <c r="C7688" s="4">
        <v>23.5</v>
      </c>
      <c r="D7688" s="4">
        <v>334540</v>
      </c>
    </row>
    <row r="7689" spans="1:4" x14ac:dyDescent="0.25">
      <c r="A7689" t="str">
        <f>T("   621139")</f>
        <v xml:space="preserve">   621139</v>
      </c>
      <c r="B7689" t="str">
        <f>T("   D'AUTRES MATIERES TEXTILES")</f>
        <v xml:space="preserve">   D'AUTRES MATIERES TEXTILES</v>
      </c>
      <c r="C7689" s="4">
        <v>10</v>
      </c>
      <c r="D7689" s="4">
        <v>40000</v>
      </c>
    </row>
    <row r="7690" spans="1:4" x14ac:dyDescent="0.25">
      <c r="A7690" t="str">
        <f>T("   621149")</f>
        <v xml:space="preserve">   621149</v>
      </c>
      <c r="B7690" t="str">
        <f>T("   D'AUTRES MATIERES TEXTILES")</f>
        <v xml:space="preserve">   D'AUTRES MATIERES TEXTILES</v>
      </c>
      <c r="C7690" s="4">
        <v>102</v>
      </c>
      <c r="D7690" s="4">
        <v>90000</v>
      </c>
    </row>
    <row r="7691" spans="1:4" x14ac:dyDescent="0.25">
      <c r="A7691" t="str">
        <f>T("   630900")</f>
        <v xml:space="preserve">   630900</v>
      </c>
      <c r="B7691" t="str">
        <f>T("   ARTICLES DE FRIPERIE.")</f>
        <v xml:space="preserve">   ARTICLES DE FRIPERIE.</v>
      </c>
      <c r="C7691" s="4">
        <v>22000</v>
      </c>
      <c r="D7691" s="4">
        <v>9763518</v>
      </c>
    </row>
    <row r="7692" spans="1:4" x14ac:dyDescent="0.25">
      <c r="A7692" t="str">
        <f>T("   841451")</f>
        <v xml:space="preserve">   841451</v>
      </c>
      <c r="B7692" t="str">
        <f>T("   VENTILATEURS DE TABLE, DE SOL, MURAUX, PLAFONNIERS, DE TOITURES OU DE FENETRES, A MO")</f>
        <v xml:space="preserve">   VENTILATEURS DE TABLE, DE SOL, MURAUX, PLAFONNIERS, DE TOITURES OU DE FENETRES, A MO</v>
      </c>
      <c r="C7692" s="4">
        <v>33.299999999999997</v>
      </c>
      <c r="D7692" s="4">
        <v>25000</v>
      </c>
    </row>
    <row r="7693" spans="1:4" x14ac:dyDescent="0.25">
      <c r="A7693" t="str">
        <f>T("   847180")</f>
        <v xml:space="preserve">   847180</v>
      </c>
      <c r="B7693" t="str">
        <f>T("   AUTRES UNITES DE MACHINES AUTOMATIQUES DE TRAITEMENT DE L'INFORMATION")</f>
        <v xml:space="preserve">   AUTRES UNITES DE MACHINES AUTOMATIQUES DE TRAITEMENT DE L'INFORMATION</v>
      </c>
      <c r="C7693" s="4">
        <v>336</v>
      </c>
      <c r="D7693" s="4">
        <v>1498890</v>
      </c>
    </row>
    <row r="7694" spans="1:4" x14ac:dyDescent="0.25">
      <c r="A7694" t="str">
        <f>T("   847290")</f>
        <v xml:space="preserve">   847290</v>
      </c>
      <c r="B7694" t="str">
        <f>T("   AUTRES")</f>
        <v xml:space="preserve">   AUTRES</v>
      </c>
      <c r="C7694" s="4">
        <v>95</v>
      </c>
      <c r="D7694" s="4">
        <v>240000</v>
      </c>
    </row>
    <row r="7695" spans="1:4" x14ac:dyDescent="0.25">
      <c r="A7695" t="str">
        <f>T("   850690")</f>
        <v xml:space="preserve">   850690</v>
      </c>
      <c r="B7695" t="str">
        <f>T("   PARTIES")</f>
        <v xml:space="preserve">   PARTIES</v>
      </c>
      <c r="C7695" s="4">
        <v>32</v>
      </c>
      <c r="D7695" s="4">
        <v>50000</v>
      </c>
    </row>
    <row r="7696" spans="1:4" x14ac:dyDescent="0.25">
      <c r="A7696" t="str">
        <f>T("   853630")</f>
        <v xml:space="preserve">   853630</v>
      </c>
      <c r="B7696" t="str">
        <f>T("   AUTRES APPAREILS POUR LA PROTECTION DES CIRCUITS ELECTRIQUES")</f>
        <v xml:space="preserve">   AUTRES APPAREILS POUR LA PROTECTION DES CIRCUITS ELECTRIQUES</v>
      </c>
      <c r="C7696" s="4">
        <v>235</v>
      </c>
      <c r="D7696" s="4">
        <v>184000</v>
      </c>
    </row>
    <row r="7697" spans="1:4" x14ac:dyDescent="0.25">
      <c r="A7697" t="str">
        <f>T("   902213")</f>
        <v xml:space="preserve">   902213</v>
      </c>
      <c r="B7697" t="str">
        <f>T("   AUTRES, POUR L'ART DENTAIRE")</f>
        <v xml:space="preserve">   AUTRES, POUR L'ART DENTAIRE</v>
      </c>
      <c r="C7697" s="4">
        <v>3</v>
      </c>
      <c r="D7697" s="4">
        <v>100000</v>
      </c>
    </row>
    <row r="7698" spans="1:4" s="5" customFormat="1" x14ac:dyDescent="0.25">
      <c r="A7698" s="5" t="str">
        <f>T("   ZZ_Total_Produit_SH6")</f>
        <v xml:space="preserve">   ZZ_Total_Produit_SH6</v>
      </c>
      <c r="B7698" s="5" t="str">
        <f>T("   ZZ_Total_Produit_SH6")</f>
        <v xml:space="preserve">   ZZ_Total_Produit_SH6</v>
      </c>
      <c r="C7698" s="1">
        <v>5262751.3</v>
      </c>
      <c r="D7698" s="1">
        <v>1743143545</v>
      </c>
    </row>
    <row r="7699" spans="1:4" s="5" customFormat="1" x14ac:dyDescent="0.25">
      <c r="B7699" s="5" t="str">
        <f>T("Corée, République de")</f>
        <v>Corée, République de</v>
      </c>
      <c r="C7699" s="1"/>
      <c r="D7699" s="1"/>
    </row>
    <row r="7700" spans="1:4" x14ac:dyDescent="0.25">
      <c r="A7700" t="str">
        <f>T("   030219")</f>
        <v xml:space="preserve">   030219</v>
      </c>
      <c r="B7700" t="str">
        <f>T("   AUTRES")</f>
        <v xml:space="preserve">   AUTRES</v>
      </c>
      <c r="C7700" s="4">
        <v>324120</v>
      </c>
      <c r="D7700" s="4">
        <v>129648000</v>
      </c>
    </row>
    <row r="7701" spans="1:4" x14ac:dyDescent="0.25">
      <c r="A7701" t="str">
        <f>T("   030264")</f>
        <v xml:space="preserve">   030264</v>
      </c>
      <c r="B7701" t="str">
        <f>T("   MAQUEREAUX ENTIERS,FRAIS OU REFRIGERES.(FOIES,OEUFS,LAITANCES EXCLUS)")</f>
        <v xml:space="preserve">   MAQUEREAUX ENTIERS,FRAIS OU REFRIGERES.(FOIES,OEUFS,LAITANCES EXCLUS)</v>
      </c>
      <c r="C7701" s="4">
        <v>54000</v>
      </c>
      <c r="D7701" s="4">
        <v>21600000</v>
      </c>
    </row>
    <row r="7702" spans="1:4" x14ac:dyDescent="0.25">
      <c r="A7702" t="str">
        <f>T("   030379")</f>
        <v xml:space="preserve">   030379</v>
      </c>
      <c r="B7702" t="str">
        <f>T("   AUTRES POISSONS ENTIERS CONGELES.(FOIES,OEUFS,LAITANCES EXCLUS)")</f>
        <v xml:space="preserve">   AUTRES POISSONS ENTIERS CONGELES.(FOIES,OEUFS,LAITANCES EXCLUS)</v>
      </c>
      <c r="C7702" s="4">
        <v>81000</v>
      </c>
      <c r="D7702" s="4">
        <v>18225849</v>
      </c>
    </row>
    <row r="7703" spans="1:4" x14ac:dyDescent="0.25">
      <c r="A7703" t="str">
        <f>T("   071490")</f>
        <v xml:space="preserve">   071490</v>
      </c>
      <c r="B7703" t="str">
        <f t="shared" ref="B7703:B7708" si="5">T("   AUTRES")</f>
        <v xml:space="preserve">   AUTRES</v>
      </c>
      <c r="C7703" s="4">
        <v>216</v>
      </c>
      <c r="D7703" s="4">
        <v>250000</v>
      </c>
    </row>
    <row r="7704" spans="1:4" x14ac:dyDescent="0.25">
      <c r="A7704" t="str">
        <f>T("   210690")</f>
        <v xml:space="preserve">   210690</v>
      </c>
      <c r="B7704" t="str">
        <f t="shared" si="5"/>
        <v xml:space="preserve">   AUTRES</v>
      </c>
      <c r="C7704" s="4">
        <v>5369</v>
      </c>
      <c r="D7704" s="4">
        <v>622003</v>
      </c>
    </row>
    <row r="7705" spans="1:4" x14ac:dyDescent="0.25">
      <c r="A7705" t="str">
        <f>T("   240399")</f>
        <v xml:space="preserve">   240399</v>
      </c>
      <c r="B7705" t="str">
        <f t="shared" si="5"/>
        <v xml:space="preserve">   AUTRES</v>
      </c>
      <c r="C7705" s="4">
        <v>289</v>
      </c>
      <c r="D7705" s="4">
        <v>55000</v>
      </c>
    </row>
    <row r="7706" spans="1:4" x14ac:dyDescent="0.25">
      <c r="A7706" t="str">
        <f>T("   300339")</f>
        <v xml:space="preserve">   300339</v>
      </c>
      <c r="B7706" t="str">
        <f t="shared" si="5"/>
        <v xml:space="preserve">   AUTRES</v>
      </c>
      <c r="C7706" s="4">
        <v>448</v>
      </c>
      <c r="D7706" s="4">
        <v>1180000</v>
      </c>
    </row>
    <row r="7707" spans="1:4" x14ac:dyDescent="0.25">
      <c r="A7707" t="str">
        <f>T("   300490")</f>
        <v xml:space="preserve">   300490</v>
      </c>
      <c r="B7707" t="str">
        <f t="shared" si="5"/>
        <v xml:space="preserve">   AUTRES</v>
      </c>
      <c r="C7707" s="4">
        <v>1755</v>
      </c>
      <c r="D7707" s="4">
        <v>2310638</v>
      </c>
    </row>
    <row r="7708" spans="1:4" x14ac:dyDescent="0.25">
      <c r="A7708" t="str">
        <f>T("   300590")</f>
        <v xml:space="preserve">   300590</v>
      </c>
      <c r="B7708" t="str">
        <f t="shared" si="5"/>
        <v xml:space="preserve">   AUTRES</v>
      </c>
      <c r="C7708" s="4">
        <v>950</v>
      </c>
      <c r="D7708" s="4">
        <v>3512980</v>
      </c>
    </row>
    <row r="7709" spans="1:4" x14ac:dyDescent="0.25">
      <c r="A7709" t="str">
        <f>T("   300620")</f>
        <v xml:space="preserve">   300620</v>
      </c>
      <c r="B7709" t="str">
        <f>T("   REACTIFS DESTINES A LA DETERMINATION DES GROUPES OU DES FACTEURS SANGUINS")</f>
        <v xml:space="preserve">   REACTIFS DESTINES A LA DETERMINATION DES GROUPES OU DES FACTEURS SANGUINS</v>
      </c>
      <c r="C7709" s="4">
        <v>134</v>
      </c>
      <c r="D7709" s="4">
        <v>4470110</v>
      </c>
    </row>
    <row r="7710" spans="1:4" x14ac:dyDescent="0.25">
      <c r="A7710" t="str">
        <f>T("   330610")</f>
        <v xml:space="preserve">   330610</v>
      </c>
      <c r="B7710" t="str">
        <f>T("   Dentifrices")</f>
        <v xml:space="preserve">   Dentifrices</v>
      </c>
      <c r="C7710" s="4">
        <v>21.1</v>
      </c>
      <c r="D7710" s="4">
        <v>89171</v>
      </c>
    </row>
    <row r="7711" spans="1:4" x14ac:dyDescent="0.25">
      <c r="A7711" t="str">
        <f>T("   340111")</f>
        <v xml:space="preserve">   340111</v>
      </c>
      <c r="B7711" t="str">
        <f>T("   DE TOILETTE (Y COMPRIS CEUX A USAGES MEDICAUX)")</f>
        <v xml:space="preserve">   DE TOILETTE (Y COMPRIS CEUX A USAGES MEDICAUX)</v>
      </c>
      <c r="C7711" s="4">
        <v>78000</v>
      </c>
      <c r="D7711" s="4">
        <v>13108048</v>
      </c>
    </row>
    <row r="7712" spans="1:4" x14ac:dyDescent="0.25">
      <c r="A7712" t="str">
        <f>T("   370310")</f>
        <v xml:space="preserve">   370310</v>
      </c>
      <c r="B7712" t="str">
        <f>T("   EN ROULEAUX, D'UNE LARGEUR EXCEDANT 610 MM")</f>
        <v xml:space="preserve">   EN ROULEAUX, D'UNE LARGEUR EXCEDANT 610 MM</v>
      </c>
      <c r="C7712" s="4">
        <v>132</v>
      </c>
      <c r="D7712" s="4">
        <v>433170</v>
      </c>
    </row>
    <row r="7713" spans="1:4" x14ac:dyDescent="0.25">
      <c r="A7713" t="str">
        <f>T("   370390")</f>
        <v xml:space="preserve">   370390</v>
      </c>
      <c r="B7713" t="str">
        <f>T("   AUTRES")</f>
        <v xml:space="preserve">   AUTRES</v>
      </c>
      <c r="C7713" s="4">
        <v>129</v>
      </c>
      <c r="D7713" s="4">
        <v>433170</v>
      </c>
    </row>
    <row r="7714" spans="1:4" x14ac:dyDescent="0.25">
      <c r="A7714" t="str">
        <f>T("   381230")</f>
        <v xml:space="preserve">   381230</v>
      </c>
      <c r="B7714" t="str">
        <f>T("   PREPARATIONS ANTIOXYDANTES ET AUTRES STABILISATEURS COMPOSITES POUR CAOUTCHOUC OU MAT")</f>
        <v xml:space="preserve">   PREPARATIONS ANTIOXYDANTES ET AUTRES STABILISATEURS COMPOSITES POUR CAOUTCHOUC OU MAT</v>
      </c>
      <c r="C7714" s="4">
        <v>20000</v>
      </c>
      <c r="D7714" s="4">
        <v>11111306</v>
      </c>
    </row>
    <row r="7715" spans="1:4" x14ac:dyDescent="0.25">
      <c r="A7715" t="str">
        <f>T("   382200")</f>
        <v xml:space="preserve">   382200</v>
      </c>
      <c r="B7715" t="str">
        <f>T("   REACTIFS DE DIAGNOSTIC OU DE LABORATOIRE SUR TOUT SUPPORT ET REACTIFS DE DIAGNOSTIC OU")</f>
        <v xml:space="preserve">   REACTIFS DE DIAGNOSTIC OU DE LABORATOIRE SUR TOUT SUPPORT ET REACTIFS DE DIAGNOSTIC OU</v>
      </c>
      <c r="C7715" s="4">
        <v>142.30000000000001</v>
      </c>
      <c r="D7715" s="4">
        <v>5638692</v>
      </c>
    </row>
    <row r="7716" spans="1:4" x14ac:dyDescent="0.25">
      <c r="A7716" t="str">
        <f>T("   390190")</f>
        <v xml:space="preserve">   390190</v>
      </c>
      <c r="B7716" t="str">
        <f>T("   AUTRES")</f>
        <v xml:space="preserve">   AUTRES</v>
      </c>
      <c r="C7716" s="4">
        <v>34068</v>
      </c>
      <c r="D7716" s="4">
        <v>28708228</v>
      </c>
    </row>
    <row r="7717" spans="1:4" x14ac:dyDescent="0.25">
      <c r="A7717" t="str">
        <f>T("   390720")</f>
        <v xml:space="preserve">   390720</v>
      </c>
      <c r="B7717" t="str">
        <f>T("   AUTRES POLYETHERS")</f>
        <v xml:space="preserve">   AUTRES POLYETHERS</v>
      </c>
      <c r="C7717" s="4">
        <v>33600</v>
      </c>
      <c r="D7717" s="4">
        <v>42895193</v>
      </c>
    </row>
    <row r="7718" spans="1:4" x14ac:dyDescent="0.25">
      <c r="A7718" t="str">
        <f>T("   390799")</f>
        <v xml:space="preserve">   390799</v>
      </c>
      <c r="B7718" t="str">
        <f>T("   AUTRES")</f>
        <v xml:space="preserve">   AUTRES</v>
      </c>
      <c r="C7718" s="4">
        <v>66000</v>
      </c>
      <c r="D7718" s="4">
        <v>49629278</v>
      </c>
    </row>
    <row r="7719" spans="1:4" x14ac:dyDescent="0.25">
      <c r="A7719" t="str">
        <f>T("   391990")</f>
        <v xml:space="preserve">   391990</v>
      </c>
      <c r="B7719" t="str">
        <f>T("   AUTRES")</f>
        <v xml:space="preserve">   AUTRES</v>
      </c>
      <c r="C7719" s="4">
        <v>133</v>
      </c>
      <c r="D7719" s="4">
        <v>218000</v>
      </c>
    </row>
    <row r="7720" spans="1:4" x14ac:dyDescent="0.25">
      <c r="A7720" t="str">
        <f>T("   392510")</f>
        <v xml:space="preserve">   392510</v>
      </c>
      <c r="B7720" t="str">
        <f>T("   RESERVOIRS, FOUDRES, CUVES ET RECIPIENTS ANALOGUES, D'UNE CONTENANCE EXCEDANT 300 L")</f>
        <v xml:space="preserve">   RESERVOIRS, FOUDRES, CUVES ET RECIPIENTS ANALOGUES, D'UNE CONTENANCE EXCEDANT 300 L</v>
      </c>
      <c r="C7720" s="4">
        <v>27575</v>
      </c>
      <c r="D7720" s="4">
        <v>420000</v>
      </c>
    </row>
    <row r="7721" spans="1:4" x14ac:dyDescent="0.25">
      <c r="A7721" t="str">
        <f>T("   401110")</f>
        <v xml:space="preserve">   401110</v>
      </c>
      <c r="B7721" t="str">
        <f>T("   DES TYPES UTILISES POUR LES VOITURES DE TOURISME (Y COMPRIS LES VOITURES DU TYPE «BRE")</f>
        <v xml:space="preserve">   DES TYPES UTILISES POUR LES VOITURES DE TOURISME (Y COMPRIS LES VOITURES DU TYPE «BRE</v>
      </c>
      <c r="C7721" s="4">
        <v>4330</v>
      </c>
      <c r="D7721" s="4">
        <v>11585000</v>
      </c>
    </row>
    <row r="7722" spans="1:4" x14ac:dyDescent="0.25">
      <c r="A7722" t="str">
        <f>T("   420229")</f>
        <v xml:space="preserve">   420229</v>
      </c>
      <c r="B7722" t="str">
        <f>T("   AUTRES")</f>
        <v xml:space="preserve">   AUTRES</v>
      </c>
      <c r="C7722" s="4">
        <v>75</v>
      </c>
      <c r="D7722" s="4">
        <v>51741</v>
      </c>
    </row>
    <row r="7723" spans="1:4" x14ac:dyDescent="0.25">
      <c r="A7723" t="str">
        <f>T("   480257")</f>
        <v xml:space="preserve">   480257</v>
      </c>
      <c r="B7723" t="str">
        <f>T("   AUTRES, D'UN POIDS AU M² DE 40 G OU PLUS MAIS N'EXCEDANT PAS 150 G")</f>
        <v xml:space="preserve">   AUTRES, D'UN POIDS AU M² DE 40 G OU PLUS MAIS N'EXCEDANT PAS 150 G</v>
      </c>
      <c r="C7723" s="4">
        <v>137062</v>
      </c>
      <c r="D7723" s="4">
        <v>55332375</v>
      </c>
    </row>
    <row r="7724" spans="1:4" x14ac:dyDescent="0.25">
      <c r="A7724" t="str">
        <f>T("   480258")</f>
        <v xml:space="preserve">   480258</v>
      </c>
      <c r="B7724" t="str">
        <f>T("   D'UN POIDS AU M² EXCEDANT 150 G")</f>
        <v xml:space="preserve">   D'UN POIDS AU M² EXCEDANT 150 G</v>
      </c>
      <c r="C7724" s="4">
        <v>17901</v>
      </c>
      <c r="D7724" s="4">
        <v>7486782</v>
      </c>
    </row>
    <row r="7725" spans="1:4" x14ac:dyDescent="0.25">
      <c r="A7725" t="str">
        <f>T("   480593")</f>
        <v xml:space="preserve">   480593</v>
      </c>
      <c r="B7725" t="str">
        <f>T("   D'UN POIDS AU M² EGAL OU SUPERIEUR A 225 G")</f>
        <v xml:space="preserve">   D'UN POIDS AU M² EGAL OU SUPERIEUR A 225 G</v>
      </c>
      <c r="C7725" s="4">
        <v>49956</v>
      </c>
      <c r="D7725" s="4">
        <v>18733420</v>
      </c>
    </row>
    <row r="7726" spans="1:4" x14ac:dyDescent="0.25">
      <c r="A7726" t="str">
        <f>T("   481940")</f>
        <v xml:space="preserve">   481940</v>
      </c>
      <c r="B7726" t="str">
        <f>T("   AUTRES SACS; SACHETS, POCHETTES (AUTRES QUE CELLES POUR DISQUES) ET CORNETS")</f>
        <v xml:space="preserve">   AUTRES SACS; SACHETS, POCHETTES (AUTRES QUE CELLES POUR DISQUES) ET CORNETS</v>
      </c>
      <c r="C7726" s="4">
        <v>60</v>
      </c>
      <c r="D7726" s="4">
        <v>110000</v>
      </c>
    </row>
    <row r="7727" spans="1:4" x14ac:dyDescent="0.25">
      <c r="A7727" t="str">
        <f>T("   490199")</f>
        <v xml:space="preserve">   490199</v>
      </c>
      <c r="B7727" t="str">
        <f>T("   AUTRES")</f>
        <v xml:space="preserve">   AUTRES</v>
      </c>
      <c r="C7727" s="4">
        <v>64871</v>
      </c>
      <c r="D7727" s="4">
        <v>65531643</v>
      </c>
    </row>
    <row r="7728" spans="1:4" x14ac:dyDescent="0.25">
      <c r="A7728" t="str">
        <f>T("   491110")</f>
        <v xml:space="preserve">   491110</v>
      </c>
      <c r="B7728" t="str">
        <f>T("   IMPRIMES PUBLICITAIRES, CATALOGUES COMMERCIAUX ET SIMILAIRES")</f>
        <v xml:space="preserve">   IMPRIMES PUBLICITAIRES, CATALOGUES COMMERCIAUX ET SIMILAIRES</v>
      </c>
      <c r="C7728" s="4">
        <v>50</v>
      </c>
      <c r="D7728" s="4">
        <v>25000</v>
      </c>
    </row>
    <row r="7729" spans="1:4" x14ac:dyDescent="0.25">
      <c r="A7729" t="str">
        <f>T("   581099")</f>
        <v xml:space="preserve">   581099</v>
      </c>
      <c r="B7729" t="str">
        <f>T("   D'AUTRES MATIERES TEXTILES")</f>
        <v xml:space="preserve">   D'AUTRES MATIERES TEXTILES</v>
      </c>
      <c r="C7729" s="4">
        <v>198</v>
      </c>
      <c r="D7729" s="4">
        <v>198000</v>
      </c>
    </row>
    <row r="7730" spans="1:4" x14ac:dyDescent="0.25">
      <c r="A7730" t="str">
        <f>T("   610990")</f>
        <v xml:space="preserve">   610990</v>
      </c>
      <c r="B7730" t="str">
        <f>T("   D'AUTRES MATIERES TEXTILES")</f>
        <v xml:space="preserve">   D'AUTRES MATIERES TEXTILES</v>
      </c>
      <c r="C7730" s="4">
        <v>27</v>
      </c>
      <c r="D7730" s="4">
        <v>6560</v>
      </c>
    </row>
    <row r="7731" spans="1:4" x14ac:dyDescent="0.25">
      <c r="A7731" t="str">
        <f>T("   611710")</f>
        <v xml:space="preserve">   611710</v>
      </c>
      <c r="B7731" t="str">
        <f>T("   CHALES, ECHARPES, FOULARDS, CACHENEZ, CACHECOL, MANTILLES, VOILES, VOILETTES ET ART")</f>
        <v xml:space="preserve">   CHALES, ECHARPES, FOULARDS, CACHENEZ, CACHECOL, MANTILLES, VOILES, VOILETTES ET ART</v>
      </c>
      <c r="C7731" s="4">
        <v>11000</v>
      </c>
      <c r="D7731" s="4">
        <v>6554000</v>
      </c>
    </row>
    <row r="7732" spans="1:4" x14ac:dyDescent="0.25">
      <c r="A7732" t="str">
        <f>T("   621020")</f>
        <v xml:space="preserve">   621020</v>
      </c>
      <c r="B7732" t="str">
        <f>T("   AUTRES VETEMENTS, DES TYPES VISES DANS LES N°S 6201.11 A 6201.19")</f>
        <v xml:space="preserve">   AUTRES VETEMENTS, DES TYPES VISES DANS LES N°S 6201.11 A 6201.19</v>
      </c>
      <c r="C7732" s="4">
        <v>100</v>
      </c>
      <c r="D7732" s="4">
        <v>100000</v>
      </c>
    </row>
    <row r="7733" spans="1:4" x14ac:dyDescent="0.25">
      <c r="A7733" t="str">
        <f>T("   621040")</f>
        <v xml:space="preserve">   621040</v>
      </c>
      <c r="B7733" t="str">
        <f>T("   AUTRES VETEMENTS POUR HOMMES OU GARCONNETS")</f>
        <v xml:space="preserve">   AUTRES VETEMENTS POUR HOMMES OU GARCONNETS</v>
      </c>
      <c r="C7733" s="4">
        <v>198</v>
      </c>
      <c r="D7733" s="4">
        <v>118800</v>
      </c>
    </row>
    <row r="7734" spans="1:4" x14ac:dyDescent="0.25">
      <c r="A7734" t="str">
        <f>T("   630900")</f>
        <v xml:space="preserve">   630900</v>
      </c>
      <c r="B7734" t="str">
        <f>T("   ARTICLES DE FRIPERIE.")</f>
        <v xml:space="preserve">   ARTICLES DE FRIPERIE.</v>
      </c>
      <c r="C7734" s="4">
        <v>712260</v>
      </c>
      <c r="D7734" s="4">
        <v>406314704</v>
      </c>
    </row>
    <row r="7735" spans="1:4" x14ac:dyDescent="0.25">
      <c r="A7735" t="str">
        <f>T("   640590")</f>
        <v xml:space="preserve">   640590</v>
      </c>
      <c r="B7735" t="str">
        <f>T("   AUTRES")</f>
        <v xml:space="preserve">   AUTRES</v>
      </c>
      <c r="C7735" s="4">
        <v>198</v>
      </c>
      <c r="D7735" s="4">
        <v>287268</v>
      </c>
    </row>
    <row r="7736" spans="1:4" x14ac:dyDescent="0.25">
      <c r="A7736" t="str">
        <f>T("   711790")</f>
        <v xml:space="preserve">   711790</v>
      </c>
      <c r="B7736" t="str">
        <f>T("   AUTRES")</f>
        <v xml:space="preserve">   AUTRES</v>
      </c>
      <c r="C7736" s="4">
        <v>264</v>
      </c>
      <c r="D7736" s="4">
        <v>530000</v>
      </c>
    </row>
    <row r="7737" spans="1:4" x14ac:dyDescent="0.25">
      <c r="A7737" t="str">
        <f>T("   830300")</f>
        <v xml:space="preserve">   830300</v>
      </c>
      <c r="B7737" t="str">
        <f>T("   COFFRESFORTS, PORTES BLINDEES ET COMPARTIMENTS POUR CHAMBRES FORTES, COFFRES ET CASSET")</f>
        <v xml:space="preserve">   COFFRESFORTS, PORTES BLINDEES ET COMPARTIMENTS POUR CHAMBRES FORTES, COFFRES ET CASSET</v>
      </c>
      <c r="C7737" s="4">
        <v>72864</v>
      </c>
      <c r="D7737" s="4">
        <v>43993623</v>
      </c>
    </row>
    <row r="7738" spans="1:4" x14ac:dyDescent="0.25">
      <c r="A7738" t="str">
        <f>T("   840910")</f>
        <v xml:space="preserve">   840910</v>
      </c>
      <c r="B7738" t="str">
        <f>T("   DE MOTEURS POUR L'AVIATION")</f>
        <v xml:space="preserve">   DE MOTEURS POUR L'AVIATION</v>
      </c>
      <c r="C7738" s="4">
        <v>137</v>
      </c>
      <c r="D7738" s="4">
        <v>224053</v>
      </c>
    </row>
    <row r="7739" spans="1:4" x14ac:dyDescent="0.25">
      <c r="A7739" t="str">
        <f>T("   841490")</f>
        <v xml:space="preserve">   841490</v>
      </c>
      <c r="B7739" t="str">
        <f>T("   PARTIES")</f>
        <v xml:space="preserve">   PARTIES</v>
      </c>
      <c r="C7739" s="4">
        <v>152</v>
      </c>
      <c r="D7739" s="4">
        <v>412258</v>
      </c>
    </row>
    <row r="7740" spans="1:4" x14ac:dyDescent="0.25">
      <c r="A7740" t="str">
        <f>T("   841510")</f>
        <v xml:space="preserve">   841510</v>
      </c>
      <c r="B7740" t="str">
        <f>T("   DU TYPE MURAL OU POUR FENETRES, FORMANT UN SEUL CORPS OU DU TYPE «SPLITSYSTEM» (SYST")</f>
        <v xml:space="preserve">   DU TYPE MURAL OU POUR FENETRES, FORMANT UN SEUL CORPS OU DU TYPE «SPLITSYSTEM» (SYST</v>
      </c>
      <c r="C7740" s="4">
        <v>2595</v>
      </c>
      <c r="D7740" s="4">
        <v>4359079</v>
      </c>
    </row>
    <row r="7741" spans="1:4" x14ac:dyDescent="0.25">
      <c r="A7741" t="str">
        <f>T("   841829")</f>
        <v xml:space="preserve">   841829</v>
      </c>
      <c r="B7741" t="str">
        <f>T("   AUTRES")</f>
        <v xml:space="preserve">   AUTRES</v>
      </c>
      <c r="C7741" s="4">
        <v>44790</v>
      </c>
      <c r="D7741" s="4">
        <v>51312013</v>
      </c>
    </row>
    <row r="7742" spans="1:4" x14ac:dyDescent="0.25">
      <c r="A7742" t="str">
        <f>T("   843143")</f>
        <v xml:space="preserve">   843143</v>
      </c>
      <c r="B7742" t="str">
        <f>T("   PARTIES DE MACHINES DE SONDAGE OU DE FORAGE DES N°S 8430.41 OU 8430.49")</f>
        <v xml:space="preserve">   PARTIES DE MACHINES DE SONDAGE OU DE FORAGE DES N°S 8430.41 OU 8430.49</v>
      </c>
      <c r="C7742" s="4">
        <v>22600</v>
      </c>
      <c r="D7742" s="4">
        <v>205917836</v>
      </c>
    </row>
    <row r="7743" spans="1:4" x14ac:dyDescent="0.25">
      <c r="A7743" t="str">
        <f>T("   847190")</f>
        <v xml:space="preserve">   847190</v>
      </c>
      <c r="B7743" t="str">
        <f>T("   AUTRES")</f>
        <v xml:space="preserve">   AUTRES</v>
      </c>
      <c r="C7743" s="4">
        <v>4</v>
      </c>
      <c r="D7743" s="4">
        <v>1085413</v>
      </c>
    </row>
    <row r="7744" spans="1:4" x14ac:dyDescent="0.25">
      <c r="A7744" t="str">
        <f>T("   847290")</f>
        <v xml:space="preserve">   847290</v>
      </c>
      <c r="B7744" t="str">
        <f>T("   AUTRES")</f>
        <v xml:space="preserve">   AUTRES</v>
      </c>
      <c r="C7744" s="4">
        <v>91</v>
      </c>
      <c r="D7744" s="4">
        <v>373000</v>
      </c>
    </row>
    <row r="7745" spans="1:4" x14ac:dyDescent="0.25">
      <c r="A7745" t="str">
        <f>T("   847330")</f>
        <v xml:space="preserve">   847330</v>
      </c>
      <c r="B7745" t="str">
        <f>T("   PARTIES ET ACCESSOIRES DES MACHINES DU N° 84.71")</f>
        <v xml:space="preserve">   PARTIES ET ACCESSOIRES DES MACHINES DU N° 84.71</v>
      </c>
      <c r="C7745" s="4">
        <v>200</v>
      </c>
      <c r="D7745" s="4">
        <v>250000</v>
      </c>
    </row>
    <row r="7746" spans="1:4" x14ac:dyDescent="0.25">
      <c r="A7746" t="str">
        <f>T("   850300")</f>
        <v xml:space="preserve">   850300</v>
      </c>
      <c r="B7746" t="str">
        <f>T("   PARTIES RECONNAISSABLES COMME ETANT EXCLUSIVEMENT OU PRINCIPALEMENT DESTINEES AUX MACHI")</f>
        <v xml:space="preserve">   PARTIES RECONNAISSABLES COMME ETANT EXCLUSIVEMENT OU PRINCIPALEMENT DESTINEES AUX MACHI</v>
      </c>
      <c r="C7746" s="4">
        <v>3800</v>
      </c>
      <c r="D7746" s="4">
        <v>9957920</v>
      </c>
    </row>
    <row r="7747" spans="1:4" x14ac:dyDescent="0.25">
      <c r="A7747" t="str">
        <f>T("   850680")</f>
        <v xml:space="preserve">   850680</v>
      </c>
      <c r="B7747" t="str">
        <f>T("   AUTRES PILES ET BATTERIES DE PILES")</f>
        <v xml:space="preserve">   AUTRES PILES ET BATTERIES DE PILES</v>
      </c>
      <c r="C7747" s="4">
        <v>1.8</v>
      </c>
      <c r="D7747" s="4">
        <v>170778</v>
      </c>
    </row>
    <row r="7748" spans="1:4" x14ac:dyDescent="0.25">
      <c r="A7748" t="str">
        <f>T("   850710")</f>
        <v xml:space="preserve">   850710</v>
      </c>
      <c r="B7748" t="str">
        <f>T("   AU PLOMB, DES TYPES UTILISES POUR LE DEMARRAGE DES MOTEURS A PISTON")</f>
        <v xml:space="preserve">   AU PLOMB, DES TYPES UTILISES POUR LE DEMARRAGE DES MOTEURS A PISTON</v>
      </c>
      <c r="C7748" s="4">
        <v>19800</v>
      </c>
      <c r="D7748" s="4">
        <v>11805600</v>
      </c>
    </row>
    <row r="7749" spans="1:4" x14ac:dyDescent="0.25">
      <c r="A7749" t="str">
        <f>T("   853669")</f>
        <v xml:space="preserve">   853669</v>
      </c>
      <c r="B7749" t="str">
        <f>T("   AUTRES")</f>
        <v xml:space="preserve">   AUTRES</v>
      </c>
      <c r="C7749" s="4">
        <v>478</v>
      </c>
      <c r="D7749" s="4">
        <v>1053548</v>
      </c>
    </row>
    <row r="7750" spans="1:4" x14ac:dyDescent="0.25">
      <c r="A7750" t="str">
        <f>T("   854449")</f>
        <v xml:space="preserve">   854449</v>
      </c>
      <c r="B7750" t="str">
        <f>T("   AUTRES")</f>
        <v xml:space="preserve">   AUTRES</v>
      </c>
      <c r="C7750" s="4">
        <v>1659</v>
      </c>
      <c r="D7750" s="4">
        <v>3655552</v>
      </c>
    </row>
    <row r="7751" spans="1:4" x14ac:dyDescent="0.25">
      <c r="A7751" t="str">
        <f>T("   870290")</f>
        <v xml:space="preserve">   870290</v>
      </c>
      <c r="B7751" t="str">
        <f>T("   AUTRES")</f>
        <v xml:space="preserve">   AUTRES</v>
      </c>
      <c r="C7751" s="4">
        <v>3402</v>
      </c>
      <c r="D7751" s="4">
        <v>17229194</v>
      </c>
    </row>
    <row r="7752" spans="1:4" x14ac:dyDescent="0.25">
      <c r="A7752" t="str">
        <f>T("   870321")</f>
        <v xml:space="preserve">   870321</v>
      </c>
      <c r="B7752" t="str">
        <f>T("   D’UNE CYLINDREE N’EXCEDANT PAS 1.000 CM³")</f>
        <v xml:space="preserve">   D’UNE CYLINDREE N’EXCEDANT PAS 1.000 CM³</v>
      </c>
      <c r="C7752" s="4">
        <v>1511</v>
      </c>
      <c r="D7752" s="4">
        <v>9511805</v>
      </c>
    </row>
    <row r="7753" spans="1:4" x14ac:dyDescent="0.25">
      <c r="A7753" t="str">
        <f>T("   870322")</f>
        <v xml:space="preserve">   870322</v>
      </c>
      <c r="B7753" t="str">
        <f>T("   D’UNE CYLINDREE EXCEDANT 1.000 CM³ MAIS N’EXCEDANT PAS 1.500 CM³")</f>
        <v xml:space="preserve">   D’UNE CYLINDREE EXCEDANT 1.000 CM³ MAIS N’EXCEDANT PAS 1.500 CM³</v>
      </c>
      <c r="C7753" s="4">
        <v>37224</v>
      </c>
      <c r="D7753" s="4">
        <v>198223066</v>
      </c>
    </row>
    <row r="7754" spans="1:4" x14ac:dyDescent="0.25">
      <c r="A7754" t="str">
        <f>T("   870323")</f>
        <v xml:space="preserve">   870323</v>
      </c>
      <c r="B7754" t="str">
        <f>T("   D’UNE CYLINDREE EXCEDANT 1.500 CM³ MAIS N’EXCEDANT PAS 3.000 CM³")</f>
        <v xml:space="preserve">   D’UNE CYLINDREE EXCEDANT 1.500 CM³ MAIS N’EXCEDANT PAS 3.000 CM³</v>
      </c>
      <c r="C7754" s="4">
        <v>19002</v>
      </c>
      <c r="D7754" s="4">
        <v>107736413</v>
      </c>
    </row>
    <row r="7755" spans="1:4" x14ac:dyDescent="0.25">
      <c r="A7755" t="str">
        <f>T("   870324")</f>
        <v xml:space="preserve">   870324</v>
      </c>
      <c r="B7755" t="str">
        <f>T("   D’UNE CYLINDREE EXCEDANT 3.000 CM³")</f>
        <v xml:space="preserve">   D’UNE CYLINDREE EXCEDANT 3.000 CM³</v>
      </c>
      <c r="C7755" s="4">
        <v>2400</v>
      </c>
      <c r="D7755" s="4">
        <v>13175016</v>
      </c>
    </row>
    <row r="7756" spans="1:4" x14ac:dyDescent="0.25">
      <c r="A7756" t="str">
        <f>T("   870332")</f>
        <v xml:space="preserve">   870332</v>
      </c>
      <c r="B7756" t="str">
        <f>T("   D'UNE CYLINDREE EXCEDANT 1.500 CM³ MAIS N'EXCEDANT PAS 2.500 CM³")</f>
        <v xml:space="preserve">   D'UNE CYLINDREE EXCEDANT 1.500 CM³ MAIS N'EXCEDANT PAS 2.500 CM³</v>
      </c>
      <c r="C7756" s="4">
        <v>2040</v>
      </c>
      <c r="D7756" s="4">
        <v>1861619</v>
      </c>
    </row>
    <row r="7757" spans="1:4" x14ac:dyDescent="0.25">
      <c r="A7757" t="str">
        <f>T("   870333")</f>
        <v xml:space="preserve">   870333</v>
      </c>
      <c r="B7757" t="str">
        <f>T("   D'UNE CYLINDREE EXCEDANT 2.500 CM³")</f>
        <v xml:space="preserve">   D'UNE CYLINDREE EXCEDANT 2.500 CM³</v>
      </c>
      <c r="C7757" s="4">
        <v>1500</v>
      </c>
      <c r="D7757" s="4">
        <v>1200000</v>
      </c>
    </row>
    <row r="7758" spans="1:4" x14ac:dyDescent="0.25">
      <c r="A7758" t="str">
        <f>T("   870899")</f>
        <v xml:space="preserve">   870899</v>
      </c>
      <c r="B7758" t="str">
        <f>T("   AUTRES")</f>
        <v xml:space="preserve">   AUTRES</v>
      </c>
      <c r="C7758" s="4">
        <v>1480.4</v>
      </c>
      <c r="D7758" s="4">
        <v>23308798</v>
      </c>
    </row>
    <row r="7759" spans="1:4" x14ac:dyDescent="0.25">
      <c r="A7759" t="str">
        <f>T("   901812")</f>
        <v xml:space="preserve">   901812</v>
      </c>
      <c r="B7759" t="str">
        <f>T("   APPAREILS DE DIAGNOSTIC PAR BALAYAGE ULTRASONIQUE (SCANNERS)")</f>
        <v xml:space="preserve">   APPAREILS DE DIAGNOSTIC PAR BALAYAGE ULTRASONIQUE (SCANNERS)</v>
      </c>
      <c r="C7759" s="4">
        <v>644.70000000000005</v>
      </c>
      <c r="D7759" s="4">
        <v>6276369</v>
      </c>
    </row>
    <row r="7760" spans="1:4" x14ac:dyDescent="0.25">
      <c r="A7760" t="str">
        <f>T("   901819")</f>
        <v xml:space="preserve">   901819</v>
      </c>
      <c r="B7760" t="str">
        <f>T("   AUTRES")</f>
        <v xml:space="preserve">   AUTRES</v>
      </c>
      <c r="C7760" s="4">
        <v>565</v>
      </c>
      <c r="D7760" s="4">
        <v>6979008</v>
      </c>
    </row>
    <row r="7761" spans="1:4" x14ac:dyDescent="0.25">
      <c r="A7761" t="str">
        <f>T("   901839")</f>
        <v xml:space="preserve">   901839</v>
      </c>
      <c r="B7761" t="str">
        <f>T("   AUTRES")</f>
        <v xml:space="preserve">   AUTRES</v>
      </c>
      <c r="C7761" s="4">
        <v>88</v>
      </c>
      <c r="D7761" s="4">
        <v>644775</v>
      </c>
    </row>
    <row r="7762" spans="1:4" x14ac:dyDescent="0.25">
      <c r="A7762" t="str">
        <f>T("   901890")</f>
        <v xml:space="preserve">   901890</v>
      </c>
      <c r="B7762" t="str">
        <f>T("   AUTRES INSTRUMENTS ET APPAREILS")</f>
        <v xml:space="preserve">   AUTRES INSTRUMENTS ET APPAREILS</v>
      </c>
      <c r="C7762" s="4">
        <v>189.2</v>
      </c>
      <c r="D7762" s="4">
        <v>4625664</v>
      </c>
    </row>
    <row r="7763" spans="1:4" x14ac:dyDescent="0.25">
      <c r="A7763" t="str">
        <f>T("   902190")</f>
        <v xml:space="preserve">   902190</v>
      </c>
      <c r="B7763" t="str">
        <f>T("   AUTRES")</f>
        <v xml:space="preserve">   AUTRES</v>
      </c>
      <c r="C7763" s="4">
        <v>354</v>
      </c>
      <c r="D7763" s="4">
        <v>1387079</v>
      </c>
    </row>
    <row r="7764" spans="1:4" x14ac:dyDescent="0.25">
      <c r="A7764" t="str">
        <f>T("   902213")</f>
        <v xml:space="preserve">   902213</v>
      </c>
      <c r="B7764" t="str">
        <f>T("   AUTRES, POUR L'ART DENTAIRE")</f>
        <v xml:space="preserve">   AUTRES, POUR L'ART DENTAIRE</v>
      </c>
      <c r="C7764" s="4">
        <v>4.5</v>
      </c>
      <c r="D7764" s="4">
        <v>50000</v>
      </c>
    </row>
    <row r="7765" spans="1:4" x14ac:dyDescent="0.25">
      <c r="A7765" t="str">
        <f>T("   902780")</f>
        <v xml:space="preserve">   902780</v>
      </c>
      <c r="B7765" t="str">
        <f>T("   AUTRES INSTRUMENTS ET APPAREILS")</f>
        <v xml:space="preserve">   AUTRES INSTRUMENTS ET APPAREILS</v>
      </c>
      <c r="C7765" s="4">
        <v>35</v>
      </c>
      <c r="D7765" s="4">
        <v>491921</v>
      </c>
    </row>
    <row r="7766" spans="1:4" x14ac:dyDescent="0.25">
      <c r="A7766" t="str">
        <f>T("   902830")</f>
        <v xml:space="preserve">   902830</v>
      </c>
      <c r="B7766" t="str">
        <f>T("   COMPTEURS D'ELECTRICITE")</f>
        <v xml:space="preserve">   COMPTEURS D'ELECTRICITE</v>
      </c>
      <c r="C7766" s="4">
        <v>30</v>
      </c>
      <c r="D7766" s="4">
        <v>1214866</v>
      </c>
    </row>
    <row r="7767" spans="1:4" x14ac:dyDescent="0.25">
      <c r="A7767" t="str">
        <f>T("   903289")</f>
        <v xml:space="preserve">   903289</v>
      </c>
      <c r="B7767" t="str">
        <f>T("   AUTRES")</f>
        <v xml:space="preserve">   AUTRES</v>
      </c>
      <c r="C7767" s="4">
        <v>679</v>
      </c>
      <c r="D7767" s="4">
        <v>1496675</v>
      </c>
    </row>
    <row r="7768" spans="1:4" x14ac:dyDescent="0.25">
      <c r="A7768" t="str">
        <f>T("   940180")</f>
        <v xml:space="preserve">   940180</v>
      </c>
      <c r="B7768" t="str">
        <f>T("   AUTRES SIEGES")</f>
        <v xml:space="preserve">   AUTRES SIEGES</v>
      </c>
      <c r="C7768" s="4">
        <v>1000</v>
      </c>
      <c r="D7768" s="4">
        <v>4677236</v>
      </c>
    </row>
    <row r="7769" spans="1:4" x14ac:dyDescent="0.25">
      <c r="A7769" t="str">
        <f>T("   940389")</f>
        <v xml:space="preserve">   940389</v>
      </c>
      <c r="B7769" t="str">
        <f>T("   AUTRES")</f>
        <v xml:space="preserve">   AUTRES</v>
      </c>
      <c r="C7769" s="4">
        <v>3000</v>
      </c>
      <c r="D7769" s="4">
        <v>9354470</v>
      </c>
    </row>
    <row r="7770" spans="1:4" x14ac:dyDescent="0.25">
      <c r="A7770" t="str">
        <f>T("   940540")</f>
        <v xml:space="preserve">   940540</v>
      </c>
      <c r="B7770" t="str">
        <f>T("   AUTRES APPAREILS D'ECLAIRAGE ELECTRIQUES")</f>
        <v xml:space="preserve">   AUTRES APPAREILS D'ECLAIRAGE ELECTRIQUES</v>
      </c>
      <c r="C7770" s="4">
        <v>7449</v>
      </c>
      <c r="D7770" s="4">
        <v>11188221</v>
      </c>
    </row>
    <row r="7771" spans="1:4" x14ac:dyDescent="0.25">
      <c r="A7771" t="str">
        <f>T("   960990")</f>
        <v xml:space="preserve">   960990</v>
      </c>
      <c r="B7771" t="str">
        <f>T("   AUTRES")</f>
        <v xml:space="preserve">   AUTRES</v>
      </c>
      <c r="C7771" s="4">
        <v>44953</v>
      </c>
      <c r="D7771" s="4">
        <v>11008616</v>
      </c>
    </row>
    <row r="7772" spans="1:4" s="5" customFormat="1" x14ac:dyDescent="0.25">
      <c r="A7772" s="5" t="str">
        <f>T("   ZZ_Total_Produit_SH6")</f>
        <v xml:space="preserve">   ZZ_Total_Produit_SH6</v>
      </c>
      <c r="B7772" s="5" t="str">
        <f>T("   ZZ_Total_Produit_SH6")</f>
        <v xml:space="preserve">   ZZ_Total_Produit_SH6</v>
      </c>
      <c r="C7772" s="1">
        <v>2023354</v>
      </c>
      <c r="D7772" s="1">
        <v>1673735613</v>
      </c>
    </row>
    <row r="7773" spans="1:4" s="5" customFormat="1" x14ac:dyDescent="0.25">
      <c r="B7773" s="5" t="str">
        <f>T("Koweit")</f>
        <v>Koweit</v>
      </c>
      <c r="C7773" s="1"/>
      <c r="D7773" s="1"/>
    </row>
    <row r="7774" spans="1:4" x14ac:dyDescent="0.25">
      <c r="A7774" t="str">
        <f>T("   300620")</f>
        <v xml:space="preserve">   300620</v>
      </c>
      <c r="B7774" t="str">
        <f>T("   REACTIFS DESTINES A LA DETERMINATION DES GROUPES OU DES FACTEURS SANGUINS")</f>
        <v xml:space="preserve">   REACTIFS DESTINES A LA DETERMINATION DES GROUPES OU DES FACTEURS SANGUINS</v>
      </c>
      <c r="C7774" s="4">
        <v>12</v>
      </c>
      <c r="D7774" s="4">
        <v>506952</v>
      </c>
    </row>
    <row r="7775" spans="1:4" x14ac:dyDescent="0.25">
      <c r="A7775" t="str">
        <f>T("   442090")</f>
        <v xml:space="preserve">   442090</v>
      </c>
      <c r="B7775" t="str">
        <f>T("   AUTRES")</f>
        <v xml:space="preserve">   AUTRES</v>
      </c>
      <c r="C7775" s="4">
        <v>2100</v>
      </c>
      <c r="D7775" s="4">
        <v>1500000</v>
      </c>
    </row>
    <row r="7776" spans="1:4" x14ac:dyDescent="0.25">
      <c r="A7776" t="str">
        <f>T("   481190")</f>
        <v xml:space="preserve">   481190</v>
      </c>
      <c r="B7776" t="str">
        <f>T("   AUTRES PAPIERS, CARTONS, OUATE DE CELLULOSE ET NAPPES DE FIBRES DE CELLULOSE")</f>
        <v xml:space="preserve">   AUTRES PAPIERS, CARTONS, OUATE DE CELLULOSE ET NAPPES DE FIBRES DE CELLULOSE</v>
      </c>
      <c r="C7776" s="4">
        <v>11</v>
      </c>
      <c r="D7776" s="4">
        <v>130880</v>
      </c>
    </row>
    <row r="7777" spans="1:4" x14ac:dyDescent="0.25">
      <c r="A7777" t="str">
        <f>T("   490199")</f>
        <v xml:space="preserve">   490199</v>
      </c>
      <c r="B7777" t="str">
        <f>T("   AUTRES")</f>
        <v xml:space="preserve">   AUTRES</v>
      </c>
      <c r="C7777" s="4">
        <v>2670</v>
      </c>
      <c r="D7777" s="4">
        <v>3983168</v>
      </c>
    </row>
    <row r="7778" spans="1:4" x14ac:dyDescent="0.25">
      <c r="A7778" t="str">
        <f>T("   611780")</f>
        <v xml:space="preserve">   611780</v>
      </c>
      <c r="B7778" t="str">
        <f>T("   AUTRES ACCESSOIRES")</f>
        <v xml:space="preserve">   AUTRES ACCESSOIRES</v>
      </c>
      <c r="C7778" s="4">
        <v>18600</v>
      </c>
      <c r="D7778" s="4">
        <v>4919700</v>
      </c>
    </row>
    <row r="7779" spans="1:4" x14ac:dyDescent="0.25">
      <c r="A7779" t="str">
        <f>T("   620319")</f>
        <v xml:space="preserve">   620319</v>
      </c>
      <c r="B7779" t="str">
        <f>T("   D'AUTRES MATIERES TEXTILES")</f>
        <v xml:space="preserve">   D'AUTRES MATIERES TEXTILES</v>
      </c>
      <c r="C7779" s="4">
        <v>55</v>
      </c>
      <c r="D7779" s="4">
        <v>200000</v>
      </c>
    </row>
    <row r="7780" spans="1:4" x14ac:dyDescent="0.25">
      <c r="A7780" t="str">
        <f>T("   732399")</f>
        <v xml:space="preserve">   732399</v>
      </c>
      <c r="B7780" t="str">
        <f>T("   AUTRES")</f>
        <v xml:space="preserve">   AUTRES</v>
      </c>
      <c r="C7780" s="4">
        <v>1000</v>
      </c>
      <c r="D7780" s="4">
        <v>995792</v>
      </c>
    </row>
    <row r="7781" spans="1:4" x14ac:dyDescent="0.25">
      <c r="A7781" t="str">
        <f>T("   840731")</f>
        <v xml:space="preserve">   840731</v>
      </c>
      <c r="B7781" t="str">
        <f>T("   D'UNE CYLINDREE N'EXCEDANT PAS 50 CM³")</f>
        <v xml:space="preserve">   D'UNE CYLINDREE N'EXCEDANT PAS 50 CM³</v>
      </c>
      <c r="C7781" s="4">
        <v>25</v>
      </c>
      <c r="D7781" s="4">
        <v>158000</v>
      </c>
    </row>
    <row r="7782" spans="1:4" x14ac:dyDescent="0.25">
      <c r="A7782" t="str">
        <f>T("   841510")</f>
        <v xml:space="preserve">   841510</v>
      </c>
      <c r="B7782" t="str">
        <f>T("   DU TYPE MURAL OU POUR FENETRES, FORMANT UN SEUL CORPS OU DU TYPE «SPLITSYSTEM» (SYST")</f>
        <v xml:space="preserve">   DU TYPE MURAL OU POUR FENETRES, FORMANT UN SEUL CORPS OU DU TYPE «SPLITSYSTEM» (SYST</v>
      </c>
      <c r="C7782" s="4">
        <v>30857</v>
      </c>
      <c r="D7782" s="4">
        <v>20951464</v>
      </c>
    </row>
    <row r="7783" spans="1:4" x14ac:dyDescent="0.25">
      <c r="A7783" t="str">
        <f>T("   841829")</f>
        <v xml:space="preserve">   841829</v>
      </c>
      <c r="B7783" t="str">
        <f>T("   AUTRES")</f>
        <v xml:space="preserve">   AUTRES</v>
      </c>
      <c r="C7783" s="4">
        <v>6664</v>
      </c>
      <c r="D7783" s="4">
        <v>6918763</v>
      </c>
    </row>
    <row r="7784" spans="1:4" x14ac:dyDescent="0.25">
      <c r="A7784" t="str">
        <f>T("   842131")</f>
        <v xml:space="preserve">   842131</v>
      </c>
      <c r="B7784" t="str">
        <f>T("   FILTRES D'ENTREE D'AIR POUR MOTEURS A ALLUMAGE PAR ETINCELLES OU PAR COMPRESSION")</f>
        <v xml:space="preserve">   FILTRES D'ENTREE D'AIR POUR MOTEURS A ALLUMAGE PAR ETINCELLES OU PAR COMPRESSION</v>
      </c>
      <c r="C7784" s="4">
        <v>3</v>
      </c>
      <c r="D7784" s="4">
        <v>86560</v>
      </c>
    </row>
    <row r="7785" spans="1:4" x14ac:dyDescent="0.25">
      <c r="A7785" t="str">
        <f>T("   843139")</f>
        <v xml:space="preserve">   843139</v>
      </c>
      <c r="B7785" t="str">
        <f>T("   AUTRES")</f>
        <v xml:space="preserve">   AUTRES</v>
      </c>
      <c r="C7785" s="4">
        <v>15</v>
      </c>
      <c r="D7785" s="4">
        <v>75000</v>
      </c>
    </row>
    <row r="7786" spans="1:4" x14ac:dyDescent="0.25">
      <c r="A7786" t="str">
        <f>T("   847190")</f>
        <v xml:space="preserve">   847190</v>
      </c>
      <c r="B7786" t="str">
        <f>T("   AUTRES")</f>
        <v xml:space="preserve">   AUTRES</v>
      </c>
      <c r="C7786" s="4">
        <v>10</v>
      </c>
      <c r="D7786" s="4">
        <v>10511214</v>
      </c>
    </row>
    <row r="7787" spans="1:4" x14ac:dyDescent="0.25">
      <c r="A7787" t="str">
        <f>T("   850300")</f>
        <v xml:space="preserve">   850300</v>
      </c>
      <c r="B7787" t="str">
        <f>T("   PARTIES RECONNAISSABLES COMME ETANT EXCLUSIVEMENT OU PRINCIPALEMENT DESTINEES AUX MACHI")</f>
        <v xml:space="preserve">   PARTIES RECONNAISSABLES COMME ETANT EXCLUSIVEMENT OU PRINCIPALEMENT DESTINEES AUX MACHI</v>
      </c>
      <c r="C7787" s="4">
        <v>29</v>
      </c>
      <c r="D7787" s="4">
        <v>243925</v>
      </c>
    </row>
    <row r="7788" spans="1:4" x14ac:dyDescent="0.25">
      <c r="A7788" t="str">
        <f>T("   852810")</f>
        <v xml:space="preserve">   852810</v>
      </c>
      <c r="B7788" t="str">
        <f>T("   RECEPTEURS TV COULEUR MEME AVEC ENREGISTREMENT,REPRODUCTION DES SON,IMAGES")</f>
        <v xml:space="preserve">   RECEPTEURS TV COULEUR MEME AVEC ENREGISTREMENT,REPRODUCTION DES SON,IMAGES</v>
      </c>
      <c r="C7788" s="4">
        <v>10</v>
      </c>
      <c r="D7788" s="4">
        <v>18000</v>
      </c>
    </row>
    <row r="7789" spans="1:4" x14ac:dyDescent="0.25">
      <c r="A7789" t="str">
        <f>T("   870322")</f>
        <v xml:space="preserve">   870322</v>
      </c>
      <c r="B7789" t="str">
        <f>T("   D’UNE CYLINDREE EXCEDANT 1.000 CM³ MAIS N’EXCEDANT PAS 1.500 CM³")</f>
        <v xml:space="preserve">   D’UNE CYLINDREE EXCEDANT 1.000 CM³ MAIS N’EXCEDANT PAS 1.500 CM³</v>
      </c>
      <c r="C7789" s="4">
        <v>2000</v>
      </c>
      <c r="D7789" s="4">
        <v>6000000</v>
      </c>
    </row>
    <row r="7790" spans="1:4" x14ac:dyDescent="0.25">
      <c r="A7790" t="str">
        <f>T("   870324")</f>
        <v xml:space="preserve">   870324</v>
      </c>
      <c r="B7790" t="str">
        <f>T("   D’UNE CYLINDREE EXCEDANT 3.000 CM³")</f>
        <v xml:space="preserve">   D’UNE CYLINDREE EXCEDANT 3.000 CM³</v>
      </c>
      <c r="C7790" s="4">
        <v>2270</v>
      </c>
      <c r="D7790" s="4">
        <v>5350000</v>
      </c>
    </row>
    <row r="7791" spans="1:4" x14ac:dyDescent="0.25">
      <c r="A7791" t="str">
        <f>T("   871130")</f>
        <v xml:space="preserve">   871130</v>
      </c>
      <c r="B7791" t="str">
        <f>T("   A MOTEUR A PISTON ALTERNATIF, D'UNE CYLINDREE EXCEDANT 250 CM³ MAIS N'EXCEDANT PAS 50")</f>
        <v xml:space="preserve">   A MOTEUR A PISTON ALTERNATIF, D'UNE CYLINDREE EXCEDANT 250 CM³ MAIS N'EXCEDANT PAS 50</v>
      </c>
      <c r="C7791" s="4">
        <v>2</v>
      </c>
      <c r="D7791" s="4">
        <v>306905</v>
      </c>
    </row>
    <row r="7792" spans="1:4" x14ac:dyDescent="0.25">
      <c r="A7792" t="str">
        <f>T("   940389")</f>
        <v xml:space="preserve">   940389</v>
      </c>
      <c r="B7792" t="str">
        <f>T("   AUTRES")</f>
        <v xml:space="preserve">   AUTRES</v>
      </c>
      <c r="C7792" s="4">
        <v>5750</v>
      </c>
      <c r="D7792" s="4">
        <v>1510000</v>
      </c>
    </row>
    <row r="7793" spans="1:4" s="5" customFormat="1" x14ac:dyDescent="0.25">
      <c r="A7793" s="5" t="str">
        <f>T("   ZZ_Total_Produit_SH6")</f>
        <v xml:space="preserve">   ZZ_Total_Produit_SH6</v>
      </c>
      <c r="B7793" s="5" t="str">
        <f>T("   ZZ_Total_Produit_SH6")</f>
        <v xml:space="preserve">   ZZ_Total_Produit_SH6</v>
      </c>
      <c r="C7793" s="1">
        <v>72083</v>
      </c>
      <c r="D7793" s="1">
        <v>64366323</v>
      </c>
    </row>
    <row r="7794" spans="1:4" s="5" customFormat="1" x14ac:dyDescent="0.25">
      <c r="B7794" s="5" t="str">
        <f>T("Caïmans, îles")</f>
        <v>Caïmans, îles</v>
      </c>
      <c r="C7794" s="1"/>
      <c r="D7794" s="1"/>
    </row>
    <row r="7795" spans="1:4" x14ac:dyDescent="0.25">
      <c r="A7795" t="str">
        <f>T("   382200")</f>
        <v xml:space="preserve">   382200</v>
      </c>
      <c r="B7795" t="str">
        <f>T("   REACTIFS DE DIAGNOSTIC OU DE LABORATOIRE SUR TOUT SUPPORT ET REACTIFS DE DIAGNOSTIC OU")</f>
        <v xml:space="preserve">   REACTIFS DE DIAGNOSTIC OU DE LABORATOIRE SUR TOUT SUPPORT ET REACTIFS DE DIAGNOSTIC OU</v>
      </c>
      <c r="C7795" s="4">
        <v>10</v>
      </c>
      <c r="D7795" s="4">
        <v>1838000</v>
      </c>
    </row>
    <row r="7796" spans="1:4" x14ac:dyDescent="0.25">
      <c r="A7796" t="str">
        <f>T("   490199")</f>
        <v xml:space="preserve">   490199</v>
      </c>
      <c r="B7796" t="str">
        <f>T("   AUTRES")</f>
        <v xml:space="preserve">   AUTRES</v>
      </c>
      <c r="C7796" s="4">
        <v>135</v>
      </c>
      <c r="D7796" s="4">
        <v>300000</v>
      </c>
    </row>
    <row r="7797" spans="1:4" s="5" customFormat="1" x14ac:dyDescent="0.25">
      <c r="A7797" s="5" t="str">
        <f>T("   ZZ_Total_Produit_SH6")</f>
        <v xml:space="preserve">   ZZ_Total_Produit_SH6</v>
      </c>
      <c r="B7797" s="5" t="str">
        <f>T("   ZZ_Total_Produit_SH6")</f>
        <v xml:space="preserve">   ZZ_Total_Produit_SH6</v>
      </c>
      <c r="C7797" s="1">
        <v>145</v>
      </c>
      <c r="D7797" s="1">
        <v>2138000</v>
      </c>
    </row>
    <row r="7798" spans="1:4" s="5" customFormat="1" x14ac:dyDescent="0.25">
      <c r="B7798" s="5" t="str">
        <f>T("Kazakstan")</f>
        <v>Kazakstan</v>
      </c>
      <c r="C7798" s="1"/>
      <c r="D7798" s="1"/>
    </row>
    <row r="7799" spans="1:4" x14ac:dyDescent="0.25">
      <c r="A7799" t="str">
        <f>T("   300440")</f>
        <v xml:space="preserve">   300440</v>
      </c>
      <c r="B7799" t="str">
        <f>T("   CONTENANT DES ALCALOIDES OU LEURS DERIVES, MAIS NE CONTENANT NI HORMONES, NI AUTRES P")</f>
        <v xml:space="preserve">   CONTENANT DES ALCALOIDES OU LEURS DERIVES, MAIS NE CONTENANT NI HORMONES, NI AUTRES P</v>
      </c>
      <c r="C7799" s="4">
        <v>3</v>
      </c>
      <c r="D7799" s="4">
        <v>182082</v>
      </c>
    </row>
    <row r="7800" spans="1:4" s="5" customFormat="1" x14ac:dyDescent="0.25">
      <c r="A7800" s="5" t="str">
        <f>T("   ZZ_Total_Produit_SH6")</f>
        <v xml:space="preserve">   ZZ_Total_Produit_SH6</v>
      </c>
      <c r="B7800" s="5" t="str">
        <f>T("   ZZ_Total_Produit_SH6")</f>
        <v xml:space="preserve">   ZZ_Total_Produit_SH6</v>
      </c>
      <c r="C7800" s="1">
        <v>3</v>
      </c>
      <c r="D7800" s="1">
        <v>182082</v>
      </c>
    </row>
    <row r="7801" spans="1:4" s="5" customFormat="1" x14ac:dyDescent="0.25">
      <c r="B7801" s="5" t="str">
        <f>T("Liban")</f>
        <v>Liban</v>
      </c>
      <c r="C7801" s="1"/>
      <c r="D7801" s="1"/>
    </row>
    <row r="7802" spans="1:4" x14ac:dyDescent="0.25">
      <c r="A7802" t="str">
        <f>T("   020712")</f>
        <v xml:space="preserve">   020712</v>
      </c>
      <c r="B7802" t="str">
        <f>T("   NON DECOUPES EN MORCEAUX, CONGELES")</f>
        <v xml:space="preserve">   NON DECOUPES EN MORCEAUX, CONGELES</v>
      </c>
      <c r="C7802" s="4">
        <v>27500</v>
      </c>
      <c r="D7802" s="4">
        <v>13110865</v>
      </c>
    </row>
    <row r="7803" spans="1:4" x14ac:dyDescent="0.25">
      <c r="A7803" t="str">
        <f>T("   020727")</f>
        <v xml:space="preserve">   020727</v>
      </c>
      <c r="B7803" t="str">
        <f>T("   MORCEAUX ET ABATS, CONGELES")</f>
        <v xml:space="preserve">   MORCEAUX ET ABATS, CONGELES</v>
      </c>
      <c r="C7803" s="4">
        <v>118000</v>
      </c>
      <c r="D7803" s="4">
        <v>70286000</v>
      </c>
    </row>
    <row r="7804" spans="1:4" x14ac:dyDescent="0.25">
      <c r="A7804" t="str">
        <f>T("   030269")</f>
        <v xml:space="preserve">   030269</v>
      </c>
      <c r="B7804" t="str">
        <f>T("   Autres poissons entiers,frais ou refrigeres.(foies,oeufs laitances exclus)")</f>
        <v xml:space="preserve">   Autres poissons entiers,frais ou refrigeres.(foies,oeufs laitances exclus)</v>
      </c>
      <c r="C7804" s="4">
        <v>250</v>
      </c>
      <c r="D7804" s="4">
        <v>100000</v>
      </c>
    </row>
    <row r="7805" spans="1:4" x14ac:dyDescent="0.25">
      <c r="A7805" t="str">
        <f>T("   030379")</f>
        <v xml:space="preserve">   030379</v>
      </c>
      <c r="B7805" t="str">
        <f>T("   AUTRES POISSONS ENTIERS CONGELES.(FOIES,OEUFS,LAITANCES EXCLUS)")</f>
        <v xml:space="preserve">   AUTRES POISSONS ENTIERS CONGELES.(FOIES,OEUFS,LAITANCES EXCLUS)</v>
      </c>
      <c r="C7805" s="4">
        <v>102690</v>
      </c>
      <c r="D7805" s="4">
        <v>23105250</v>
      </c>
    </row>
    <row r="7806" spans="1:4" x14ac:dyDescent="0.25">
      <c r="A7806" t="str">
        <f>T("   040390")</f>
        <v xml:space="preserve">   040390</v>
      </c>
      <c r="B7806" t="str">
        <f>T("   AUTRES")</f>
        <v xml:space="preserve">   AUTRES</v>
      </c>
      <c r="C7806" s="4">
        <v>525</v>
      </c>
      <c r="D7806" s="4">
        <v>268864</v>
      </c>
    </row>
    <row r="7807" spans="1:4" x14ac:dyDescent="0.25">
      <c r="A7807" t="str">
        <f>T("   040630")</f>
        <v xml:space="preserve">   040630</v>
      </c>
      <c r="B7807" t="str">
        <f>T("   FROMAGES FONDUS, AUTRES QUE RAPES OU EN POUDRE")</f>
        <v xml:space="preserve">   FROMAGES FONDUS, AUTRES QUE RAPES OU EN POUDRE</v>
      </c>
      <c r="C7807" s="4">
        <v>600</v>
      </c>
      <c r="D7807" s="4">
        <v>386865</v>
      </c>
    </row>
    <row r="7808" spans="1:4" x14ac:dyDescent="0.25">
      <c r="A7808" t="str">
        <f>T("   040690")</f>
        <v xml:space="preserve">   040690</v>
      </c>
      <c r="B7808" t="str">
        <f>T("   AUTRES FROMAGES")</f>
        <v xml:space="preserve">   AUTRES FROMAGES</v>
      </c>
      <c r="C7808" s="4">
        <v>1092</v>
      </c>
      <c r="D7808" s="4">
        <v>563663</v>
      </c>
    </row>
    <row r="7809" spans="1:4" x14ac:dyDescent="0.25">
      <c r="A7809" t="str">
        <f>T("   050400")</f>
        <v xml:space="preserve">   050400</v>
      </c>
      <c r="B7809" t="str">
        <f>T("   BOYAUX, VESSIES ET ESTOMACS D'ANIMAUX, ENTIERS OU EN MORCEAUX, AUTRES QUE CEUX DE POISS")</f>
        <v xml:space="preserve">   BOYAUX, VESSIES ET ESTOMACS D'ANIMAUX, ENTIERS OU EN MORCEAUX, AUTRES QUE CEUX DE POISS</v>
      </c>
      <c r="C7809" s="4">
        <v>7000</v>
      </c>
      <c r="D7809" s="4">
        <v>8400000</v>
      </c>
    </row>
    <row r="7810" spans="1:4" x14ac:dyDescent="0.25">
      <c r="A7810" t="str">
        <f>T("   070320")</f>
        <v xml:space="preserve">   070320</v>
      </c>
      <c r="B7810" t="str">
        <f>T("   AULX")</f>
        <v xml:space="preserve">   AULX</v>
      </c>
      <c r="C7810" s="4">
        <v>54000</v>
      </c>
      <c r="D7810" s="4">
        <v>7000000</v>
      </c>
    </row>
    <row r="7811" spans="1:4" x14ac:dyDescent="0.25">
      <c r="A7811" t="str">
        <f>T("   071320")</f>
        <v xml:space="preserve">   071320</v>
      </c>
      <c r="B7811" t="str">
        <f>T("   POIS CHICHES")</f>
        <v xml:space="preserve">   POIS CHICHES</v>
      </c>
      <c r="C7811" s="4">
        <v>11984</v>
      </c>
      <c r="D7811" s="4">
        <v>2976157</v>
      </c>
    </row>
    <row r="7812" spans="1:4" x14ac:dyDescent="0.25">
      <c r="A7812" t="str">
        <f>T("   071340")</f>
        <v xml:space="preserve">   071340</v>
      </c>
      <c r="B7812" t="str">
        <f>T("   LENTILLES")</f>
        <v xml:space="preserve">   LENTILLES</v>
      </c>
      <c r="C7812" s="4">
        <v>9300</v>
      </c>
      <c r="D7812" s="4">
        <v>6639189</v>
      </c>
    </row>
    <row r="7813" spans="1:4" x14ac:dyDescent="0.25">
      <c r="A7813" t="str">
        <f>T("   080450")</f>
        <v xml:space="preserve">   080450</v>
      </c>
      <c r="B7813" t="str">
        <f>T("   GOYAVES, MANGUES ET MANGOUSTANS")</f>
        <v xml:space="preserve">   GOYAVES, MANGUES ET MANGOUSTANS</v>
      </c>
      <c r="C7813" s="4">
        <v>1200</v>
      </c>
      <c r="D7813" s="4">
        <v>225049</v>
      </c>
    </row>
    <row r="7814" spans="1:4" x14ac:dyDescent="0.25">
      <c r="A7814" t="str">
        <f>T("   080620")</f>
        <v xml:space="preserve">   080620</v>
      </c>
      <c r="B7814" t="str">
        <f>T("   SECS")</f>
        <v xml:space="preserve">   SECS</v>
      </c>
      <c r="C7814" s="4">
        <v>450</v>
      </c>
      <c r="D7814" s="4">
        <v>204636</v>
      </c>
    </row>
    <row r="7815" spans="1:4" x14ac:dyDescent="0.25">
      <c r="A7815" t="str">
        <f>T("   090190")</f>
        <v xml:space="preserve">   090190</v>
      </c>
      <c r="B7815" t="str">
        <f>T("   AUTRES")</f>
        <v xml:space="preserve">   AUTRES</v>
      </c>
      <c r="C7815" s="4">
        <v>5350</v>
      </c>
      <c r="D7815" s="4">
        <v>1462549</v>
      </c>
    </row>
    <row r="7816" spans="1:4" x14ac:dyDescent="0.25">
      <c r="A7816" t="str">
        <f>T("   090220")</f>
        <v xml:space="preserve">   090220</v>
      </c>
      <c r="B7816" t="str">
        <f>T("   THE VERT (NON FERMENTE) PRESENTE AUTREMENT")</f>
        <v xml:space="preserve">   THE VERT (NON FERMENTE) PRESENTE AUTREMENT</v>
      </c>
      <c r="C7816" s="4">
        <v>2156</v>
      </c>
      <c r="D7816" s="4">
        <v>2061787</v>
      </c>
    </row>
    <row r="7817" spans="1:4" x14ac:dyDescent="0.25">
      <c r="A7817" t="str">
        <f>T("   090412")</f>
        <v xml:space="preserve">   090412</v>
      </c>
      <c r="B7817" t="str">
        <f>T("   BROYE OU PULVERISE")</f>
        <v xml:space="preserve">   BROYE OU PULVERISE</v>
      </c>
      <c r="C7817" s="4">
        <v>180</v>
      </c>
      <c r="D7817" s="4">
        <v>367448</v>
      </c>
    </row>
    <row r="7818" spans="1:4" x14ac:dyDescent="0.25">
      <c r="A7818" t="str">
        <f>T("   090420")</f>
        <v xml:space="preserve">   090420</v>
      </c>
      <c r="B7818" t="str">
        <f>T("   PIMENTS SECHES OU BROYES OU PULVERISES")</f>
        <v xml:space="preserve">   PIMENTS SECHES OU BROYES OU PULVERISES</v>
      </c>
      <c r="C7818" s="4">
        <v>562</v>
      </c>
      <c r="D7818" s="4">
        <v>337076</v>
      </c>
    </row>
    <row r="7819" spans="1:4" x14ac:dyDescent="0.25">
      <c r="A7819" t="str">
        <f>T("   091099")</f>
        <v xml:space="preserve">   091099</v>
      </c>
      <c r="B7819" t="str">
        <f>T("   AUTRES")</f>
        <v xml:space="preserve">   AUTRES</v>
      </c>
      <c r="C7819" s="4">
        <v>19105</v>
      </c>
      <c r="D7819" s="4">
        <v>5915245</v>
      </c>
    </row>
    <row r="7820" spans="1:4" x14ac:dyDescent="0.25">
      <c r="A7820" t="str">
        <f>T("   100190")</f>
        <v xml:space="preserve">   100190</v>
      </c>
      <c r="B7820" t="str">
        <f>T("   AUTRES FROMENT (BLE) ET METEIL")</f>
        <v xml:space="preserve">   AUTRES FROMENT (BLE) ET METEIL</v>
      </c>
      <c r="C7820" s="4">
        <v>48616</v>
      </c>
      <c r="D7820" s="4">
        <v>4850000</v>
      </c>
    </row>
    <row r="7821" spans="1:4" x14ac:dyDescent="0.25">
      <c r="A7821" t="str">
        <f>T("   110819")</f>
        <v xml:space="preserve">   110819</v>
      </c>
      <c r="B7821" t="str">
        <f>T("   Autres amidons et fecules")</f>
        <v xml:space="preserve">   Autres amidons et fecules</v>
      </c>
      <c r="C7821" s="4">
        <v>852</v>
      </c>
      <c r="D7821" s="4">
        <v>139411</v>
      </c>
    </row>
    <row r="7822" spans="1:4" x14ac:dyDescent="0.25">
      <c r="A7822" t="str">
        <f>T("   150910")</f>
        <v xml:space="preserve">   150910</v>
      </c>
      <c r="B7822" t="str">
        <f>T("   VIERGES")</f>
        <v xml:space="preserve">   VIERGES</v>
      </c>
      <c r="C7822" s="4">
        <v>2042</v>
      </c>
      <c r="D7822" s="4">
        <v>404993</v>
      </c>
    </row>
    <row r="7823" spans="1:4" x14ac:dyDescent="0.25">
      <c r="A7823" t="str">
        <f>T("   150990")</f>
        <v xml:space="preserve">   150990</v>
      </c>
      <c r="B7823" t="str">
        <f>T("   AUTRES")</f>
        <v xml:space="preserve">   AUTRES</v>
      </c>
      <c r="C7823" s="4">
        <v>7740</v>
      </c>
      <c r="D7823" s="4">
        <v>1040812</v>
      </c>
    </row>
    <row r="7824" spans="1:4" x14ac:dyDescent="0.25">
      <c r="A7824" t="str">
        <f>T("   151790")</f>
        <v xml:space="preserve">   151790</v>
      </c>
      <c r="B7824" t="str">
        <f>T("   AUTRES")</f>
        <v xml:space="preserve">   AUTRES</v>
      </c>
      <c r="C7824" s="4">
        <v>20298</v>
      </c>
      <c r="D7824" s="4">
        <v>7320000</v>
      </c>
    </row>
    <row r="7825" spans="1:4" x14ac:dyDescent="0.25">
      <c r="A7825" t="str">
        <f>T("   170191")</f>
        <v xml:space="preserve">   170191</v>
      </c>
      <c r="B7825" t="str">
        <f>T("   ADDITIONNES D'AROMATISANTS OU DE COLORANTS")</f>
        <v xml:space="preserve">   ADDITIONNES D'AROMATISANTS OU DE COLORANTS</v>
      </c>
      <c r="C7825" s="4">
        <v>1200</v>
      </c>
      <c r="D7825" s="4">
        <v>144000</v>
      </c>
    </row>
    <row r="7826" spans="1:4" x14ac:dyDescent="0.25">
      <c r="A7826" t="str">
        <f>T("   170199")</f>
        <v xml:space="preserve">   170199</v>
      </c>
      <c r="B7826" t="str">
        <f>T("   AUTRES")</f>
        <v xml:space="preserve">   AUTRES</v>
      </c>
      <c r="C7826" s="4">
        <v>400</v>
      </c>
      <c r="D7826" s="4">
        <v>174264</v>
      </c>
    </row>
    <row r="7827" spans="1:4" x14ac:dyDescent="0.25">
      <c r="A7827" t="str">
        <f>T("   170490")</f>
        <v xml:space="preserve">   170490</v>
      </c>
      <c r="B7827" t="str">
        <f>T("   AUTRES")</f>
        <v xml:space="preserve">   AUTRES</v>
      </c>
      <c r="C7827" s="4">
        <v>1461201</v>
      </c>
      <c r="D7827" s="4">
        <v>478815415</v>
      </c>
    </row>
    <row r="7828" spans="1:4" x14ac:dyDescent="0.25">
      <c r="A7828" t="str">
        <f>T("   180690")</f>
        <v xml:space="preserve">   180690</v>
      </c>
      <c r="B7828" t="str">
        <f>T("   AUTRES")</f>
        <v xml:space="preserve">   AUTRES</v>
      </c>
      <c r="C7828" s="4">
        <v>6093</v>
      </c>
      <c r="D7828" s="4">
        <v>2457117</v>
      </c>
    </row>
    <row r="7829" spans="1:4" x14ac:dyDescent="0.25">
      <c r="A7829" t="str">
        <f>T("   190230")</f>
        <v xml:space="preserve">   190230</v>
      </c>
      <c r="B7829" t="str">
        <f>T("   AUTRES PATES ALIMENTAIRES")</f>
        <v xml:space="preserve">   AUTRES PATES ALIMENTAIRES</v>
      </c>
      <c r="C7829" s="4">
        <v>82400</v>
      </c>
      <c r="D7829" s="4">
        <v>19496000</v>
      </c>
    </row>
    <row r="7830" spans="1:4" x14ac:dyDescent="0.25">
      <c r="A7830" t="str">
        <f>T("   190410")</f>
        <v xml:space="preserve">   190410</v>
      </c>
      <c r="B7830" t="str">
        <f>T("   PRODUITS A BASE DE CEREALES OBTENUS PAR SOUFFLAGE OU GRILLAGE")</f>
        <v xml:space="preserve">   PRODUITS A BASE DE CEREALES OBTENUS PAR SOUFFLAGE OU GRILLAGE</v>
      </c>
      <c r="C7830" s="4">
        <v>16300</v>
      </c>
      <c r="D7830" s="4">
        <v>3883589</v>
      </c>
    </row>
    <row r="7831" spans="1:4" x14ac:dyDescent="0.25">
      <c r="A7831" t="str">
        <f>T("   190531")</f>
        <v xml:space="preserve">   190531</v>
      </c>
      <c r="B7831" t="str">
        <f>T("   BISCUITS ADDITIONNES D’EDULCORANTS")</f>
        <v xml:space="preserve">   BISCUITS ADDITIONNES D’EDULCORANTS</v>
      </c>
      <c r="C7831" s="4">
        <v>699540</v>
      </c>
      <c r="D7831" s="4">
        <v>301586796</v>
      </c>
    </row>
    <row r="7832" spans="1:4" x14ac:dyDescent="0.25">
      <c r="A7832" t="str">
        <f>T("   190532")</f>
        <v xml:space="preserve">   190532</v>
      </c>
      <c r="B7832" t="str">
        <f>T("   GAUFRES ET GAUFRETTES")</f>
        <v xml:space="preserve">   GAUFRES ET GAUFRETTES</v>
      </c>
      <c r="C7832" s="4">
        <v>5979</v>
      </c>
      <c r="D7832" s="4">
        <v>2319697</v>
      </c>
    </row>
    <row r="7833" spans="1:4" x14ac:dyDescent="0.25">
      <c r="A7833" t="str">
        <f>T("   190590")</f>
        <v xml:space="preserve">   190590</v>
      </c>
      <c r="B7833" t="str">
        <f>T("   AUTRES")</f>
        <v xml:space="preserve">   AUTRES</v>
      </c>
      <c r="C7833" s="4">
        <v>179036</v>
      </c>
      <c r="D7833" s="4">
        <v>35875849</v>
      </c>
    </row>
    <row r="7834" spans="1:4" x14ac:dyDescent="0.25">
      <c r="A7834" t="str">
        <f>T("   200190")</f>
        <v xml:space="preserve">   200190</v>
      </c>
      <c r="B7834" t="str">
        <f>T("   AUTRES")</f>
        <v xml:space="preserve">   AUTRES</v>
      </c>
      <c r="C7834" s="4">
        <v>1500</v>
      </c>
      <c r="D7834" s="4">
        <v>422713</v>
      </c>
    </row>
    <row r="7835" spans="1:4" x14ac:dyDescent="0.25">
      <c r="A7835" t="str">
        <f>T("   200290")</f>
        <v xml:space="preserve">   200290</v>
      </c>
      <c r="B7835" t="str">
        <f>T("   AUTRES")</f>
        <v xml:space="preserve">   AUTRES</v>
      </c>
      <c r="C7835" s="4">
        <v>135063</v>
      </c>
      <c r="D7835" s="4">
        <v>38896460</v>
      </c>
    </row>
    <row r="7836" spans="1:4" x14ac:dyDescent="0.25">
      <c r="A7836" t="str">
        <f>T("   200490")</f>
        <v xml:space="preserve">   200490</v>
      </c>
      <c r="B7836" t="str">
        <f>T("   AUTRES LEGUMES ET MELANGES DE LEGUMES")</f>
        <v xml:space="preserve">   AUTRES LEGUMES ET MELANGES DE LEGUMES</v>
      </c>
      <c r="C7836" s="4">
        <v>2800</v>
      </c>
      <c r="D7836" s="4">
        <v>747840</v>
      </c>
    </row>
    <row r="7837" spans="1:4" x14ac:dyDescent="0.25">
      <c r="A7837" t="str">
        <f>T("   200520")</f>
        <v xml:space="preserve">   200520</v>
      </c>
      <c r="B7837" t="str">
        <f>T("   POMMES DE TERRE")</f>
        <v xml:space="preserve">   POMMES DE TERRE</v>
      </c>
      <c r="C7837" s="4">
        <v>16596</v>
      </c>
      <c r="D7837" s="4">
        <v>2745000</v>
      </c>
    </row>
    <row r="7838" spans="1:4" x14ac:dyDescent="0.25">
      <c r="A7838" t="str">
        <f>T("   200559")</f>
        <v xml:space="preserve">   200559</v>
      </c>
      <c r="B7838" t="str">
        <f>T("   AUTRES")</f>
        <v xml:space="preserve">   AUTRES</v>
      </c>
      <c r="C7838" s="4">
        <v>1500</v>
      </c>
      <c r="D7838" s="4">
        <v>321641</v>
      </c>
    </row>
    <row r="7839" spans="1:4" x14ac:dyDescent="0.25">
      <c r="A7839" t="str">
        <f>T("   200570")</f>
        <v xml:space="preserve">   200570</v>
      </c>
      <c r="B7839" t="str">
        <f>T("   OLIVES")</f>
        <v xml:space="preserve">   OLIVES</v>
      </c>
      <c r="C7839" s="4">
        <v>515</v>
      </c>
      <c r="D7839" s="4">
        <v>187209</v>
      </c>
    </row>
    <row r="7840" spans="1:4" x14ac:dyDescent="0.25">
      <c r="A7840" t="str">
        <f>T("   200599")</f>
        <v xml:space="preserve">   200599</v>
      </c>
      <c r="B7840" t="str">
        <f>T("   AUTRES")</f>
        <v xml:space="preserve">   AUTRES</v>
      </c>
      <c r="C7840" s="4">
        <v>44491</v>
      </c>
      <c r="D7840" s="4">
        <v>18248998</v>
      </c>
    </row>
    <row r="7841" spans="1:4" x14ac:dyDescent="0.25">
      <c r="A7841" t="str">
        <f>T("   200919")</f>
        <v xml:space="preserve">   200919</v>
      </c>
      <c r="B7841" t="str">
        <f>T("   AUTRES")</f>
        <v xml:space="preserve">   AUTRES</v>
      </c>
      <c r="C7841" s="4">
        <v>7920</v>
      </c>
      <c r="D7841" s="4">
        <v>1781809</v>
      </c>
    </row>
    <row r="7842" spans="1:4" x14ac:dyDescent="0.25">
      <c r="A7842" t="str">
        <f>T("   200949")</f>
        <v xml:space="preserve">   200949</v>
      </c>
      <c r="B7842" t="str">
        <f>T("   AUTRES")</f>
        <v xml:space="preserve">   AUTRES</v>
      </c>
      <c r="C7842" s="4">
        <v>176</v>
      </c>
      <c r="D7842" s="4">
        <v>678368</v>
      </c>
    </row>
    <row r="7843" spans="1:4" x14ac:dyDescent="0.25">
      <c r="A7843" t="str">
        <f>T("   200980")</f>
        <v xml:space="preserve">   200980</v>
      </c>
      <c r="B7843" t="str">
        <f>T("   AUTRES JUS DE FRUITS OU DE LEGUMES,SANS ALCOOL,SUCRES OU NON")</f>
        <v xml:space="preserve">   AUTRES JUS DE FRUITS OU DE LEGUMES,SANS ALCOOL,SUCRES OU NON</v>
      </c>
      <c r="C7843" s="4">
        <v>339343.3</v>
      </c>
      <c r="D7843" s="4">
        <v>47568388</v>
      </c>
    </row>
    <row r="7844" spans="1:4" x14ac:dyDescent="0.25">
      <c r="A7844" t="str">
        <f>T("   200990")</f>
        <v xml:space="preserve">   200990</v>
      </c>
      <c r="B7844" t="str">
        <f>T("   MELANGES DE JUS")</f>
        <v xml:space="preserve">   MELANGES DE JUS</v>
      </c>
      <c r="C7844" s="4">
        <v>74006.25</v>
      </c>
      <c r="D7844" s="4">
        <v>16940067</v>
      </c>
    </row>
    <row r="7845" spans="1:4" x14ac:dyDescent="0.25">
      <c r="A7845" t="str">
        <f>T("   210320")</f>
        <v xml:space="preserve">   210320</v>
      </c>
      <c r="B7845" t="str">
        <f>T("   «TOMATOKETCHUP» ET AUTRES SAUCES TOMATES")</f>
        <v xml:space="preserve">   «TOMATOKETCHUP» ET AUTRES SAUCES TOMATES</v>
      </c>
      <c r="C7845" s="4">
        <v>4398</v>
      </c>
      <c r="D7845" s="4">
        <v>1130223</v>
      </c>
    </row>
    <row r="7846" spans="1:4" x14ac:dyDescent="0.25">
      <c r="A7846" t="str">
        <f>T("   210390")</f>
        <v xml:space="preserve">   210390</v>
      </c>
      <c r="B7846" t="str">
        <f>T("   AUTRES")</f>
        <v xml:space="preserve">   AUTRES</v>
      </c>
      <c r="C7846" s="4">
        <v>126503</v>
      </c>
      <c r="D7846" s="4">
        <v>47460666</v>
      </c>
    </row>
    <row r="7847" spans="1:4" x14ac:dyDescent="0.25">
      <c r="A7847" t="str">
        <f>T("   210420")</f>
        <v xml:space="preserve">   210420</v>
      </c>
      <c r="B7847" t="str">
        <f>T("   PREPARATIONS ALIMENTAIRES COMPOSITES HOMOGENEISEES")</f>
        <v xml:space="preserve">   PREPARATIONS ALIMENTAIRES COMPOSITES HOMOGENEISEES</v>
      </c>
      <c r="C7847" s="4">
        <v>24833.3</v>
      </c>
      <c r="D7847" s="4">
        <v>10450449</v>
      </c>
    </row>
    <row r="7848" spans="1:4" x14ac:dyDescent="0.25">
      <c r="A7848" t="str">
        <f>T("   210690")</f>
        <v xml:space="preserve">   210690</v>
      </c>
      <c r="B7848" t="str">
        <f>T("   AUTRES")</f>
        <v xml:space="preserve">   AUTRES</v>
      </c>
      <c r="C7848" s="4">
        <v>17419</v>
      </c>
      <c r="D7848" s="4">
        <v>4320153</v>
      </c>
    </row>
    <row r="7849" spans="1:4" x14ac:dyDescent="0.25">
      <c r="A7849" t="str">
        <f>T("   220110")</f>
        <v xml:space="preserve">   220110</v>
      </c>
      <c r="B7849" t="str">
        <f>T("   EAUX MINERALES ET EAUX GAZEIFIEES")</f>
        <v xml:space="preserve">   EAUX MINERALES ET EAUX GAZEIFIEES</v>
      </c>
      <c r="C7849" s="4">
        <v>527902</v>
      </c>
      <c r="D7849" s="4">
        <v>46458590</v>
      </c>
    </row>
    <row r="7850" spans="1:4" x14ac:dyDescent="0.25">
      <c r="A7850" t="str">
        <f>T("   220190")</f>
        <v xml:space="preserve">   220190</v>
      </c>
      <c r="B7850" t="str">
        <f>T("   AUTRES")</f>
        <v xml:space="preserve">   AUTRES</v>
      </c>
      <c r="C7850" s="4">
        <v>88100</v>
      </c>
      <c r="D7850" s="4">
        <v>12498061</v>
      </c>
    </row>
    <row r="7851" spans="1:4" x14ac:dyDescent="0.25">
      <c r="A7851" t="str">
        <f>T("   220210")</f>
        <v xml:space="preserve">   220210</v>
      </c>
      <c r="B7851" t="str">
        <f>T("   EAUX, Y COMPRIS LES EAUX MINERALES ET LES EAUX GAZEIFIEES, ADDITIONNEES DE SUCRE OU D")</f>
        <v xml:space="preserve">   EAUX, Y COMPRIS LES EAUX MINERALES ET LES EAUX GAZEIFIEES, ADDITIONNEES DE SUCRE OU D</v>
      </c>
      <c r="C7851" s="4">
        <v>700</v>
      </c>
      <c r="D7851" s="4">
        <v>226543</v>
      </c>
    </row>
    <row r="7852" spans="1:4" x14ac:dyDescent="0.25">
      <c r="A7852" t="str">
        <f>T("   220290")</f>
        <v xml:space="preserve">   220290</v>
      </c>
      <c r="B7852" t="str">
        <f>T("   AUTRES")</f>
        <v xml:space="preserve">   AUTRES</v>
      </c>
      <c r="C7852" s="4">
        <v>145681.25</v>
      </c>
      <c r="D7852" s="4">
        <v>34411213</v>
      </c>
    </row>
    <row r="7853" spans="1:4" x14ac:dyDescent="0.25">
      <c r="A7853" t="str">
        <f>T("   220300")</f>
        <v xml:space="preserve">   220300</v>
      </c>
      <c r="B7853" t="str">
        <f>T("   BIERES DE MALT.")</f>
        <v xml:space="preserve">   BIERES DE MALT.</v>
      </c>
      <c r="C7853" s="4">
        <v>1025</v>
      </c>
      <c r="D7853" s="4">
        <v>233513</v>
      </c>
    </row>
    <row r="7854" spans="1:4" x14ac:dyDescent="0.25">
      <c r="A7854" t="str">
        <f>T("   220410")</f>
        <v xml:space="preserve">   220410</v>
      </c>
      <c r="B7854" t="str">
        <f>T("   Vins mousseux")</f>
        <v xml:space="preserve">   Vins mousseux</v>
      </c>
      <c r="C7854" s="4">
        <v>2031</v>
      </c>
      <c r="D7854" s="4">
        <v>4933429</v>
      </c>
    </row>
    <row r="7855" spans="1:4" x14ac:dyDescent="0.25">
      <c r="A7855" t="str">
        <f>T("   220421")</f>
        <v xml:space="preserve">   220421</v>
      </c>
      <c r="B7855" t="str">
        <f>T("   EN RECIPIENTS D'UNE CONTENANCE N'EXCEDANT PAS 2 L")</f>
        <v xml:space="preserve">   EN RECIPIENTS D'UNE CONTENANCE N'EXCEDANT PAS 2 L</v>
      </c>
      <c r="C7855" s="4">
        <v>417</v>
      </c>
      <c r="D7855" s="4">
        <v>722705</v>
      </c>
    </row>
    <row r="7856" spans="1:4" x14ac:dyDescent="0.25">
      <c r="A7856" t="str">
        <f>T("   220429")</f>
        <v xml:space="preserve">   220429</v>
      </c>
      <c r="B7856" t="str">
        <f>T("   AUTRES")</f>
        <v xml:space="preserve">   AUTRES</v>
      </c>
      <c r="C7856" s="4">
        <v>38730</v>
      </c>
      <c r="D7856" s="4">
        <v>5356846</v>
      </c>
    </row>
    <row r="7857" spans="1:4" x14ac:dyDescent="0.25">
      <c r="A7857" t="str">
        <f>T("   220600")</f>
        <v xml:space="preserve">   220600</v>
      </c>
      <c r="B7857" t="str">
        <f>T("   AUTRES BOISSONS FERMENTEES (CIDRE, POIRE, HYDROMEL, PAR EXEMPLE); MELANGES DE BOISSONS")</f>
        <v xml:space="preserve">   AUTRES BOISSONS FERMENTEES (CIDRE, POIRE, HYDROMEL, PAR EXEMPLE); MELANGES DE BOISSONS</v>
      </c>
      <c r="C7857" s="4">
        <v>13000</v>
      </c>
      <c r="D7857" s="4">
        <v>1970000</v>
      </c>
    </row>
    <row r="7858" spans="1:4" x14ac:dyDescent="0.25">
      <c r="A7858" t="str">
        <f>T("   240220")</f>
        <v xml:space="preserve">   240220</v>
      </c>
      <c r="B7858" t="str">
        <f>T("   Cigarettes contenant du tabac")</f>
        <v xml:space="preserve">   Cigarettes contenant du tabac</v>
      </c>
      <c r="C7858" s="4">
        <v>15</v>
      </c>
      <c r="D7858" s="4">
        <v>139171</v>
      </c>
    </row>
    <row r="7859" spans="1:4" x14ac:dyDescent="0.25">
      <c r="A7859" t="str">
        <f>T("   240310")</f>
        <v xml:space="preserve">   240310</v>
      </c>
      <c r="B7859" t="str">
        <f>T("   TABACS A FUMER,MEME CONTENANT DES SUCCEDANES DU TABAC,EN TOUTE PROPORTION")</f>
        <v xml:space="preserve">   TABACS A FUMER,MEME CONTENANT DES SUCCEDANES DU TABAC,EN TOUTE PROPORTION</v>
      </c>
      <c r="C7859" s="4">
        <v>90</v>
      </c>
      <c r="D7859" s="4">
        <v>101200</v>
      </c>
    </row>
    <row r="7860" spans="1:4" x14ac:dyDescent="0.25">
      <c r="A7860" t="str">
        <f>T("   250840")</f>
        <v xml:space="preserve">   250840</v>
      </c>
      <c r="B7860" t="str">
        <f>T("   AUTRES ARGILES")</f>
        <v xml:space="preserve">   AUTRES ARGILES</v>
      </c>
      <c r="C7860" s="4">
        <v>3209</v>
      </c>
      <c r="D7860" s="4">
        <v>560860</v>
      </c>
    </row>
    <row r="7861" spans="1:4" x14ac:dyDescent="0.25">
      <c r="A7861" t="str">
        <f>T("   271019")</f>
        <v xml:space="preserve">   271019</v>
      </c>
      <c r="B7861" t="str">
        <f>T("   AUTRES")</f>
        <v xml:space="preserve">   AUTRES</v>
      </c>
      <c r="C7861" s="4">
        <v>20675</v>
      </c>
      <c r="D7861" s="4">
        <v>8288738</v>
      </c>
    </row>
    <row r="7862" spans="1:4" x14ac:dyDescent="0.25">
      <c r="A7862" t="str">
        <f>T("   282890")</f>
        <v xml:space="preserve">   282890</v>
      </c>
      <c r="B7862" t="str">
        <f>T("   AUTRES")</f>
        <v xml:space="preserve">   AUTRES</v>
      </c>
      <c r="C7862" s="4">
        <v>2000</v>
      </c>
      <c r="D7862" s="4">
        <v>86465</v>
      </c>
    </row>
    <row r="7863" spans="1:4" x14ac:dyDescent="0.25">
      <c r="A7863" t="str">
        <f>T("   291560")</f>
        <v xml:space="preserve">   291560</v>
      </c>
      <c r="B7863" t="str">
        <f>T("   ACIDES BUTANOIQUES, ACIDES PENTANOIQUES, LEURS SELS ET LEURS ESTERS")</f>
        <v xml:space="preserve">   ACIDES BUTANOIQUES, ACIDES PENTANOIQUES, LEURS SELS ET LEURS ESTERS</v>
      </c>
      <c r="C7863" s="4">
        <v>3205</v>
      </c>
      <c r="D7863" s="4">
        <v>2451456</v>
      </c>
    </row>
    <row r="7864" spans="1:4" x14ac:dyDescent="0.25">
      <c r="A7864" t="str">
        <f>T("   291632")</f>
        <v xml:space="preserve">   291632</v>
      </c>
      <c r="B7864" t="str">
        <f>T("   Peroxyde de benzoyle et chlorure de benzoyle")</f>
        <v xml:space="preserve">   Peroxyde de benzoyle et chlorure de benzoyle</v>
      </c>
      <c r="C7864" s="4">
        <v>12723</v>
      </c>
      <c r="D7864" s="4">
        <v>3874994</v>
      </c>
    </row>
    <row r="7865" spans="1:4" x14ac:dyDescent="0.25">
      <c r="A7865" t="str">
        <f>T("   291830")</f>
        <v xml:space="preserve">   291830</v>
      </c>
      <c r="B7865" t="str">
        <f>T("   ACIDES CARBOXYLIQUES A FONCTION ALDEHYDE OU CETONE MAIS SANS AUTRE FONCTION OXYGENEE,")</f>
        <v xml:space="preserve">   ACIDES CARBOXYLIQUES A FONCTION ALDEHYDE OU CETONE MAIS SANS AUTRE FONCTION OXYGENEE,</v>
      </c>
      <c r="C7865" s="4">
        <v>4822</v>
      </c>
      <c r="D7865" s="4">
        <v>1509770</v>
      </c>
    </row>
    <row r="7866" spans="1:4" x14ac:dyDescent="0.25">
      <c r="A7866" t="str">
        <f>T("   292159")</f>
        <v xml:space="preserve">   292159</v>
      </c>
      <c r="B7866" t="str">
        <f>T("   AUTRES")</f>
        <v xml:space="preserve">   AUTRES</v>
      </c>
      <c r="C7866" s="4">
        <v>3914</v>
      </c>
      <c r="D7866" s="4">
        <v>4031016</v>
      </c>
    </row>
    <row r="7867" spans="1:4" x14ac:dyDescent="0.25">
      <c r="A7867" t="str">
        <f>T("   320417")</f>
        <v xml:space="preserve">   320417</v>
      </c>
      <c r="B7867" t="str">
        <f>T("   Colorants pigmentaires et preparations a base de ces colorants")</f>
        <v xml:space="preserve">   Colorants pigmentaires et preparations a base de ces colorants</v>
      </c>
      <c r="C7867" s="4">
        <v>3205</v>
      </c>
      <c r="D7867" s="4">
        <v>3803612</v>
      </c>
    </row>
    <row r="7868" spans="1:4" x14ac:dyDescent="0.25">
      <c r="A7868" t="str">
        <f>T("   320649")</f>
        <v xml:space="preserve">   320649</v>
      </c>
      <c r="B7868" t="str">
        <f>T("   AUTRES")</f>
        <v xml:space="preserve">   AUTRES</v>
      </c>
      <c r="C7868" s="4">
        <v>1175</v>
      </c>
      <c r="D7868" s="4">
        <v>468519</v>
      </c>
    </row>
    <row r="7869" spans="1:4" x14ac:dyDescent="0.25">
      <c r="A7869" t="str">
        <f>T("   320890")</f>
        <v xml:space="preserve">   320890</v>
      </c>
      <c r="B7869" t="str">
        <f>T("   AUTRES")</f>
        <v xml:space="preserve">   AUTRES</v>
      </c>
      <c r="C7869" s="4">
        <v>56600</v>
      </c>
      <c r="D7869" s="4">
        <v>16963582</v>
      </c>
    </row>
    <row r="7870" spans="1:4" x14ac:dyDescent="0.25">
      <c r="A7870" t="str">
        <f>T("   321000")</f>
        <v xml:space="preserve">   321000</v>
      </c>
      <c r="B7870" t="str">
        <f>T("   AUTRES PEINTURES ET VERNIS; PIGMENTS A L'EAU PREPARES DES TYPES UTILISES POUR LE FINISS")</f>
        <v xml:space="preserve">   AUTRES PEINTURES ET VERNIS; PIGMENTS A L'EAU PREPARES DES TYPES UTILISES POUR LE FINISS</v>
      </c>
      <c r="C7870" s="4">
        <v>882</v>
      </c>
      <c r="D7870" s="4">
        <v>75998</v>
      </c>
    </row>
    <row r="7871" spans="1:4" x14ac:dyDescent="0.25">
      <c r="A7871" t="str">
        <f>T("   321410")</f>
        <v xml:space="preserve">   321410</v>
      </c>
      <c r="B7871" t="str">
        <f>T("   MASTIC DE VITRIER, CIMENTS DE RESINE ET AUTRES MASTICS; ENDUITS UTILISES EN PEINTURE")</f>
        <v xml:space="preserve">   MASTIC DE VITRIER, CIMENTS DE RESINE ET AUTRES MASTICS; ENDUITS UTILISES EN PEINTURE</v>
      </c>
      <c r="C7871" s="4">
        <v>12425</v>
      </c>
      <c r="D7871" s="4">
        <v>3170745</v>
      </c>
    </row>
    <row r="7872" spans="1:4" x14ac:dyDescent="0.25">
      <c r="A7872" t="str">
        <f>T("   321519")</f>
        <v xml:space="preserve">   321519</v>
      </c>
      <c r="B7872" t="str">
        <f>T("   AUTRES")</f>
        <v xml:space="preserve">   AUTRES</v>
      </c>
      <c r="C7872" s="4">
        <v>660</v>
      </c>
      <c r="D7872" s="4">
        <v>4342295</v>
      </c>
    </row>
    <row r="7873" spans="1:4" x14ac:dyDescent="0.25">
      <c r="A7873" t="str">
        <f>T("   330290")</f>
        <v xml:space="preserve">   330290</v>
      </c>
      <c r="B7873" t="str">
        <f>T("   AUTRES")</f>
        <v xml:space="preserve">   AUTRES</v>
      </c>
      <c r="C7873" s="4">
        <v>80</v>
      </c>
      <c r="D7873" s="4">
        <v>311533</v>
      </c>
    </row>
    <row r="7874" spans="1:4" x14ac:dyDescent="0.25">
      <c r="A7874" t="str">
        <f>T("   330499")</f>
        <v xml:space="preserve">   330499</v>
      </c>
      <c r="B7874" t="str">
        <f>T("   AUTRES")</f>
        <v xml:space="preserve">   AUTRES</v>
      </c>
      <c r="C7874" s="4">
        <v>1702</v>
      </c>
      <c r="D7874" s="4">
        <v>640792</v>
      </c>
    </row>
    <row r="7875" spans="1:4" x14ac:dyDescent="0.25">
      <c r="A7875" t="str">
        <f>T("   330510")</f>
        <v xml:space="preserve">   330510</v>
      </c>
      <c r="B7875" t="str">
        <f>T("   Shampooings")</f>
        <v xml:space="preserve">   Shampooings</v>
      </c>
      <c r="C7875" s="4">
        <v>5866.4</v>
      </c>
      <c r="D7875" s="4">
        <v>1105902</v>
      </c>
    </row>
    <row r="7876" spans="1:4" x14ac:dyDescent="0.25">
      <c r="A7876" t="str">
        <f>T("   340120")</f>
        <v xml:space="preserve">   340120</v>
      </c>
      <c r="B7876" t="str">
        <f>T("   SAVONS SOUS AUTRES FORMES")</f>
        <v xml:space="preserve">   SAVONS SOUS AUTRES FORMES</v>
      </c>
      <c r="C7876" s="4">
        <v>4650</v>
      </c>
      <c r="D7876" s="4">
        <v>1088436</v>
      </c>
    </row>
    <row r="7877" spans="1:4" x14ac:dyDescent="0.25">
      <c r="A7877" t="str">
        <f>T("   340220")</f>
        <v xml:space="preserve">   340220</v>
      </c>
      <c r="B7877" t="str">
        <f>T("   PREPARATIONS CONDITIONNEES POUR LA VENTE AU DETAIL")</f>
        <v xml:space="preserve">   PREPARATIONS CONDITIONNEES POUR LA VENTE AU DETAIL</v>
      </c>
      <c r="C7877" s="4">
        <v>3600</v>
      </c>
      <c r="D7877" s="4">
        <v>1071473</v>
      </c>
    </row>
    <row r="7878" spans="1:4" x14ac:dyDescent="0.25">
      <c r="A7878" t="str">
        <f>T("   340290")</f>
        <v xml:space="preserve">   340290</v>
      </c>
      <c r="B7878" t="str">
        <f>T("   AUTRES")</f>
        <v xml:space="preserve">   AUTRES</v>
      </c>
      <c r="C7878" s="4">
        <v>12100</v>
      </c>
      <c r="D7878" s="4">
        <v>2883759</v>
      </c>
    </row>
    <row r="7879" spans="1:4" x14ac:dyDescent="0.25">
      <c r="A7879" t="str">
        <f>T("   340590")</f>
        <v xml:space="preserve">   340590</v>
      </c>
      <c r="B7879" t="str">
        <f>T("   AUTRES")</f>
        <v xml:space="preserve">   AUTRES</v>
      </c>
      <c r="C7879" s="4">
        <v>703</v>
      </c>
      <c r="D7879" s="4">
        <v>277487</v>
      </c>
    </row>
    <row r="7880" spans="1:4" x14ac:dyDescent="0.25">
      <c r="A7880" t="str">
        <f>T("   350520")</f>
        <v xml:space="preserve">   350520</v>
      </c>
      <c r="B7880" t="str">
        <f>T("   Colles")</f>
        <v xml:space="preserve">   Colles</v>
      </c>
      <c r="C7880" s="4">
        <v>8732</v>
      </c>
      <c r="D7880" s="4">
        <v>13224338</v>
      </c>
    </row>
    <row r="7881" spans="1:4" x14ac:dyDescent="0.25">
      <c r="A7881" t="str">
        <f>T("   370320")</f>
        <v xml:space="preserve">   370320</v>
      </c>
      <c r="B7881" t="str">
        <f>T("   AUTRES, POUR LA PHOTOGRAPHIE EN COULEURS (POLYCHROME)")</f>
        <v xml:space="preserve">   AUTRES, POUR LA PHOTOGRAPHIE EN COULEURS (POLYCHROME)</v>
      </c>
      <c r="C7881" s="4">
        <v>17114</v>
      </c>
      <c r="D7881" s="4">
        <v>3050306</v>
      </c>
    </row>
    <row r="7882" spans="1:4" x14ac:dyDescent="0.25">
      <c r="A7882" t="str">
        <f>T("   370790")</f>
        <v xml:space="preserve">   370790</v>
      </c>
      <c r="B7882" t="str">
        <f>T("   AUTRES")</f>
        <v xml:space="preserve">   AUTRES</v>
      </c>
      <c r="C7882" s="4">
        <v>6717</v>
      </c>
      <c r="D7882" s="4">
        <v>3060913</v>
      </c>
    </row>
    <row r="7883" spans="1:4" x14ac:dyDescent="0.25">
      <c r="A7883" t="str">
        <f>T("   381400")</f>
        <v xml:space="preserve">   381400</v>
      </c>
      <c r="B7883" t="str">
        <f>T("   SOLVANTS ET DILUANTS ORGANIQUES COMPOSITES, NON DENOMMES NI COMPRIS AILLEURS; PREPARATI")</f>
        <v xml:space="preserve">   SOLVANTS ET DILUANTS ORGANIQUES COMPOSITES, NON DENOMMES NI COMPRIS AILLEURS; PREPARATI</v>
      </c>
      <c r="C7883" s="4">
        <v>25156</v>
      </c>
      <c r="D7883" s="4">
        <v>9405480</v>
      </c>
    </row>
    <row r="7884" spans="1:4" x14ac:dyDescent="0.25">
      <c r="A7884" t="str">
        <f>T("   382490")</f>
        <v xml:space="preserve">   382490</v>
      </c>
      <c r="B7884" t="str">
        <f>T("   AUTRES")</f>
        <v xml:space="preserve">   AUTRES</v>
      </c>
      <c r="C7884" s="4">
        <v>270</v>
      </c>
      <c r="D7884" s="4">
        <v>124345</v>
      </c>
    </row>
    <row r="7885" spans="1:4" x14ac:dyDescent="0.25">
      <c r="A7885" t="str">
        <f>T("   390319")</f>
        <v xml:space="preserve">   390319</v>
      </c>
      <c r="B7885" t="str">
        <f>T("   AUTRES")</f>
        <v xml:space="preserve">   AUTRES</v>
      </c>
      <c r="C7885" s="4">
        <v>9547</v>
      </c>
      <c r="D7885" s="4">
        <v>76944</v>
      </c>
    </row>
    <row r="7886" spans="1:4" x14ac:dyDescent="0.25">
      <c r="A7886" t="str">
        <f>T("   390390")</f>
        <v xml:space="preserve">   390390</v>
      </c>
      <c r="B7886" t="str">
        <f>T("   AUTRES")</f>
        <v xml:space="preserve">   AUTRES</v>
      </c>
      <c r="C7886" s="4">
        <v>2995</v>
      </c>
      <c r="D7886" s="4">
        <v>9292602</v>
      </c>
    </row>
    <row r="7887" spans="1:4" x14ac:dyDescent="0.25">
      <c r="A7887" t="str">
        <f>T("   390690")</f>
        <v xml:space="preserve">   390690</v>
      </c>
      <c r="B7887" t="str">
        <f>T("   AUTRES")</f>
        <v xml:space="preserve">   AUTRES</v>
      </c>
      <c r="C7887" s="4">
        <v>18392</v>
      </c>
      <c r="D7887" s="4">
        <v>9523755</v>
      </c>
    </row>
    <row r="7888" spans="1:4" x14ac:dyDescent="0.25">
      <c r="A7888" t="str">
        <f>T("   390750")</f>
        <v xml:space="preserve">   390750</v>
      </c>
      <c r="B7888" t="str">
        <f>T("   RESINES ALKYDES")</f>
        <v xml:space="preserve">   RESINES ALKYDES</v>
      </c>
      <c r="C7888" s="4">
        <v>16640</v>
      </c>
      <c r="D7888" s="4">
        <v>3869837</v>
      </c>
    </row>
    <row r="7889" spans="1:4" x14ac:dyDescent="0.25">
      <c r="A7889" t="str">
        <f>T("   391000")</f>
        <v xml:space="preserve">   391000</v>
      </c>
      <c r="B7889" t="str">
        <f>T("   SILICONES SOUS FORMES PRIMAIRES.")</f>
        <v xml:space="preserve">   SILICONES SOUS FORMES PRIMAIRES.</v>
      </c>
      <c r="C7889" s="4">
        <v>72</v>
      </c>
      <c r="D7889" s="4">
        <v>223395</v>
      </c>
    </row>
    <row r="7890" spans="1:4" x14ac:dyDescent="0.25">
      <c r="A7890" t="str">
        <f>T("   391729")</f>
        <v xml:space="preserve">   391729</v>
      </c>
      <c r="B7890" t="str">
        <f>T("   EN AUTRES MATIERES PLASTIQUES")</f>
        <v xml:space="preserve">   EN AUTRES MATIERES PLASTIQUES</v>
      </c>
      <c r="C7890" s="4">
        <v>19</v>
      </c>
      <c r="D7890" s="4">
        <v>58951</v>
      </c>
    </row>
    <row r="7891" spans="1:4" x14ac:dyDescent="0.25">
      <c r="A7891" t="str">
        <f>T("   391990")</f>
        <v xml:space="preserve">   391990</v>
      </c>
      <c r="B7891" t="str">
        <f>T("   AUTRES")</f>
        <v xml:space="preserve">   AUTRES</v>
      </c>
      <c r="C7891" s="4">
        <v>7544</v>
      </c>
      <c r="D7891" s="4">
        <v>6198805</v>
      </c>
    </row>
    <row r="7892" spans="1:4" x14ac:dyDescent="0.25">
      <c r="A7892" t="str">
        <f>T("   392329")</f>
        <v xml:space="preserve">   392329</v>
      </c>
      <c r="B7892" t="str">
        <f>T("   EN AUTRES MATIERES PLASTIQUES")</f>
        <v xml:space="preserve">   EN AUTRES MATIERES PLASTIQUES</v>
      </c>
      <c r="C7892" s="4">
        <v>1100</v>
      </c>
      <c r="D7892" s="4">
        <v>348527</v>
      </c>
    </row>
    <row r="7893" spans="1:4" x14ac:dyDescent="0.25">
      <c r="A7893" t="str">
        <f>T("   392410")</f>
        <v xml:space="preserve">   392410</v>
      </c>
      <c r="B7893" t="str">
        <f>T("   VAISSELLE ET AUTRES ARTICLES POUR LE SERVICE DE LA TABLE OU DE LA CUISINE")</f>
        <v xml:space="preserve">   VAISSELLE ET AUTRES ARTICLES POUR LE SERVICE DE LA TABLE OU DE LA CUISINE</v>
      </c>
      <c r="C7893" s="4">
        <v>3900</v>
      </c>
      <c r="D7893" s="4">
        <v>1413029</v>
      </c>
    </row>
    <row r="7894" spans="1:4" x14ac:dyDescent="0.25">
      <c r="A7894" t="str">
        <f>T("   392490")</f>
        <v xml:space="preserve">   392490</v>
      </c>
      <c r="B7894" t="str">
        <f>T("   AUTRES")</f>
        <v xml:space="preserve">   AUTRES</v>
      </c>
      <c r="C7894" s="4">
        <v>6655</v>
      </c>
      <c r="D7894" s="4">
        <v>3927570</v>
      </c>
    </row>
    <row r="7895" spans="1:4" x14ac:dyDescent="0.25">
      <c r="A7895" t="str">
        <f>T("   392610")</f>
        <v xml:space="preserve">   392610</v>
      </c>
      <c r="B7895" t="str">
        <f>T("   ARTICLES DE BUREAU ET ARTICLES SCOLAIRES")</f>
        <v xml:space="preserve">   ARTICLES DE BUREAU ET ARTICLES SCOLAIRES</v>
      </c>
      <c r="C7895" s="4">
        <v>700</v>
      </c>
      <c r="D7895" s="4">
        <v>626000</v>
      </c>
    </row>
    <row r="7896" spans="1:4" x14ac:dyDescent="0.25">
      <c r="A7896" t="str">
        <f>T("   392620")</f>
        <v xml:space="preserve">   392620</v>
      </c>
      <c r="B7896" t="str">
        <f>T("   VETEMENTS ET ACCESSOIRES DU VETEMENT (Y COMPRIS LES GANTS, MITAINES ET MOUFLES)")</f>
        <v xml:space="preserve">   VETEMENTS ET ACCESSOIRES DU VETEMENT (Y COMPRIS LES GANTS, MITAINES ET MOUFLES)</v>
      </c>
      <c r="C7896" s="4">
        <v>25</v>
      </c>
      <c r="D7896" s="4">
        <v>71454</v>
      </c>
    </row>
    <row r="7897" spans="1:4" x14ac:dyDescent="0.25">
      <c r="A7897" t="str">
        <f>T("   392690")</f>
        <v xml:space="preserve">   392690</v>
      </c>
      <c r="B7897" t="str">
        <f>T("   AUTRES")</f>
        <v xml:space="preserve">   AUTRES</v>
      </c>
      <c r="C7897" s="4">
        <v>3001</v>
      </c>
      <c r="D7897" s="4">
        <v>3090720</v>
      </c>
    </row>
    <row r="7898" spans="1:4" x14ac:dyDescent="0.25">
      <c r="A7898" t="str">
        <f>T("   400932")</f>
        <v xml:space="preserve">   400932</v>
      </c>
      <c r="B7898" t="str">
        <f>T("   AVEC ACCESSOIRES")</f>
        <v xml:space="preserve">   AVEC ACCESSOIRES</v>
      </c>
      <c r="C7898" s="4">
        <v>75</v>
      </c>
      <c r="D7898" s="4">
        <v>66252</v>
      </c>
    </row>
    <row r="7899" spans="1:4" x14ac:dyDescent="0.25">
      <c r="A7899" t="str">
        <f>T("   400942")</f>
        <v xml:space="preserve">   400942</v>
      </c>
      <c r="B7899" t="str">
        <f>T("   AVEC ACCESSOIRES")</f>
        <v xml:space="preserve">   AVEC ACCESSOIRES</v>
      </c>
      <c r="C7899" s="4">
        <v>458</v>
      </c>
      <c r="D7899" s="4">
        <v>71190</v>
      </c>
    </row>
    <row r="7900" spans="1:4" x14ac:dyDescent="0.25">
      <c r="A7900" t="str">
        <f>T("   401039")</f>
        <v xml:space="preserve">   401039</v>
      </c>
      <c r="B7900" t="str">
        <f>T("   AUTRES")</f>
        <v xml:space="preserve">   AUTRES</v>
      </c>
      <c r="C7900" s="4">
        <v>90</v>
      </c>
      <c r="D7900" s="4">
        <v>36734</v>
      </c>
    </row>
    <row r="7901" spans="1:4" x14ac:dyDescent="0.25">
      <c r="A7901" t="str">
        <f>T("   401110")</f>
        <v xml:space="preserve">   401110</v>
      </c>
      <c r="B7901" t="str">
        <f>T("   DES TYPES UTILISES POUR LES VOITURES DE TOURISME (Y COMPRIS LES VOITURES DU TYPE «BRE")</f>
        <v xml:space="preserve">   DES TYPES UTILISES POUR LES VOITURES DE TOURISME (Y COMPRIS LES VOITURES DU TYPE «BRE</v>
      </c>
      <c r="C7901" s="4">
        <v>8000</v>
      </c>
      <c r="D7901" s="4">
        <v>4700000</v>
      </c>
    </row>
    <row r="7902" spans="1:4" x14ac:dyDescent="0.25">
      <c r="A7902" t="str">
        <f>T("   401169")</f>
        <v xml:space="preserve">   401169</v>
      </c>
      <c r="B7902" t="str">
        <f>T("   AUTRES")</f>
        <v xml:space="preserve">   AUTRES</v>
      </c>
      <c r="C7902" s="4">
        <v>520</v>
      </c>
      <c r="D7902" s="4">
        <v>35743</v>
      </c>
    </row>
    <row r="7903" spans="1:4" x14ac:dyDescent="0.25">
      <c r="A7903" t="str">
        <f>T("   401199")</f>
        <v xml:space="preserve">   401199</v>
      </c>
      <c r="B7903" t="str">
        <f>T("   AUTRES")</f>
        <v xml:space="preserve">   AUTRES</v>
      </c>
      <c r="C7903" s="4">
        <v>10934</v>
      </c>
      <c r="D7903" s="4">
        <v>2457117</v>
      </c>
    </row>
    <row r="7904" spans="1:4" x14ac:dyDescent="0.25">
      <c r="A7904" t="str">
        <f>T("   401310")</f>
        <v xml:space="preserve">   401310</v>
      </c>
      <c r="B7904" t="str">
        <f>T("   DES TYPES UTILISES POUR LES VOITURES DE TOURISME (Y COMPRIS LES VOITURES DU TYPE «BRE")</f>
        <v xml:space="preserve">   DES TYPES UTILISES POUR LES VOITURES DE TOURISME (Y COMPRIS LES VOITURES DU TYPE «BRE</v>
      </c>
      <c r="C7904" s="4">
        <v>20</v>
      </c>
      <c r="D7904" s="4">
        <v>14431</v>
      </c>
    </row>
    <row r="7905" spans="1:4" x14ac:dyDescent="0.25">
      <c r="A7905" t="str">
        <f>T("   420229")</f>
        <v xml:space="preserve">   420229</v>
      </c>
      <c r="B7905" t="str">
        <f>T("   AUTRES")</f>
        <v xml:space="preserve">   AUTRES</v>
      </c>
      <c r="C7905" s="4">
        <v>3000</v>
      </c>
      <c r="D7905" s="4">
        <v>546500</v>
      </c>
    </row>
    <row r="7906" spans="1:4" x14ac:dyDescent="0.25">
      <c r="A7906" t="str">
        <f>T("   420239")</f>
        <v xml:space="preserve">   420239</v>
      </c>
      <c r="B7906" t="str">
        <f>T("   AUTRES")</f>
        <v xml:space="preserve">   AUTRES</v>
      </c>
      <c r="C7906" s="4">
        <v>110</v>
      </c>
      <c r="D7906" s="4">
        <v>93291</v>
      </c>
    </row>
    <row r="7907" spans="1:4" x14ac:dyDescent="0.25">
      <c r="A7907" t="str">
        <f>T("   480300")</f>
        <v xml:space="preserve">   480300</v>
      </c>
      <c r="B7907" t="str">
        <f>T("   PAPIERS DES TYPES UTILISES POUR PAPIERS DE TOILETTE, POUR SERVIETTES A DEMAQUILLER, POU")</f>
        <v xml:space="preserve">   PAPIERS DES TYPES UTILISES POUR PAPIERS DE TOILETTE, POUR SERVIETTES A DEMAQUILLER, POU</v>
      </c>
      <c r="C7907" s="4">
        <v>165040</v>
      </c>
      <c r="D7907" s="4">
        <v>43793186</v>
      </c>
    </row>
    <row r="7908" spans="1:4" x14ac:dyDescent="0.25">
      <c r="A7908" t="str">
        <f>T("   481810")</f>
        <v xml:space="preserve">   481810</v>
      </c>
      <c r="B7908" t="str">
        <f>T("   Papier hygienique")</f>
        <v xml:space="preserve">   Papier hygienique</v>
      </c>
      <c r="C7908" s="4">
        <v>11479</v>
      </c>
      <c r="D7908" s="4">
        <v>2316710</v>
      </c>
    </row>
    <row r="7909" spans="1:4" x14ac:dyDescent="0.25">
      <c r="A7909" t="str">
        <f>T("   481820")</f>
        <v xml:space="preserve">   481820</v>
      </c>
      <c r="B7909" t="str">
        <f>T("   MOUCHOIRS, SERVIETTES A DEMAQUILLER ET ESSUIEMAINS")</f>
        <v xml:space="preserve">   MOUCHOIRS, SERVIETTES A DEMAQUILLER ET ESSUIEMAINS</v>
      </c>
      <c r="C7909" s="4">
        <v>1558</v>
      </c>
      <c r="D7909" s="4">
        <v>1218350</v>
      </c>
    </row>
    <row r="7910" spans="1:4" x14ac:dyDescent="0.25">
      <c r="A7910" t="str">
        <f>T("   481840")</f>
        <v xml:space="preserve">   481840</v>
      </c>
      <c r="B7910" t="str">
        <f>T("   SERVIETTES,TAMPONS HYGIENIQUES,COUCHES POUR BEBES ET SIMILAIRES EN PAPIER")</f>
        <v xml:space="preserve">   SERVIETTES,TAMPONS HYGIENIQUES,COUCHES POUR BEBES ET SIMILAIRES EN PAPIER</v>
      </c>
      <c r="C7910" s="4">
        <v>10473</v>
      </c>
      <c r="D7910" s="4">
        <v>8013344</v>
      </c>
    </row>
    <row r="7911" spans="1:4" x14ac:dyDescent="0.25">
      <c r="A7911" t="str">
        <f>T("   482290")</f>
        <v xml:space="preserve">   482290</v>
      </c>
      <c r="B7911" t="str">
        <f>T("   AUTRES")</f>
        <v xml:space="preserve">   AUTRES</v>
      </c>
      <c r="C7911" s="4">
        <v>25570</v>
      </c>
      <c r="D7911" s="4">
        <v>2954101</v>
      </c>
    </row>
    <row r="7912" spans="1:4" x14ac:dyDescent="0.25">
      <c r="A7912" t="str">
        <f>T("   491110")</f>
        <v xml:space="preserve">   491110</v>
      </c>
      <c r="B7912" t="str">
        <f>T("   IMPRIMES PUBLICITAIRES, CATALOGUES COMMERCIAUX ET SIMILAIRES")</f>
        <v xml:space="preserve">   IMPRIMES PUBLICITAIRES, CATALOGUES COMMERCIAUX ET SIMILAIRES</v>
      </c>
      <c r="C7912" s="4">
        <v>3218</v>
      </c>
      <c r="D7912" s="4">
        <v>1497173</v>
      </c>
    </row>
    <row r="7913" spans="1:4" x14ac:dyDescent="0.25">
      <c r="A7913" t="str">
        <f>T("   530720")</f>
        <v xml:space="preserve">   530720</v>
      </c>
      <c r="B7913" t="str">
        <f>T("   RETORS OU CABLES")</f>
        <v xml:space="preserve">   RETORS OU CABLES</v>
      </c>
      <c r="C7913" s="4">
        <v>1500</v>
      </c>
      <c r="D7913" s="4">
        <v>148637</v>
      </c>
    </row>
    <row r="7914" spans="1:4" x14ac:dyDescent="0.25">
      <c r="A7914" t="str">
        <f>T("   610332")</f>
        <v xml:space="preserve">   610332</v>
      </c>
      <c r="B7914" t="str">
        <f>T("   DE COTON")</f>
        <v xml:space="preserve">   DE COTON</v>
      </c>
      <c r="C7914" s="4">
        <v>525</v>
      </c>
      <c r="D7914" s="4">
        <v>3856022</v>
      </c>
    </row>
    <row r="7915" spans="1:4" x14ac:dyDescent="0.25">
      <c r="A7915" t="str">
        <f>T("   610910")</f>
        <v xml:space="preserve">   610910</v>
      </c>
      <c r="B7915" t="str">
        <f>T("   DE COTON")</f>
        <v xml:space="preserve">   DE COTON</v>
      </c>
      <c r="C7915" s="4">
        <v>97</v>
      </c>
      <c r="D7915" s="4">
        <v>316579</v>
      </c>
    </row>
    <row r="7916" spans="1:4" x14ac:dyDescent="0.25">
      <c r="A7916" t="str">
        <f>T("   610990")</f>
        <v xml:space="preserve">   610990</v>
      </c>
      <c r="B7916" t="str">
        <f>T("   D'AUTRES MATIERES TEXTILES")</f>
        <v xml:space="preserve">   D'AUTRES MATIERES TEXTILES</v>
      </c>
      <c r="C7916" s="4">
        <v>576</v>
      </c>
      <c r="D7916" s="4">
        <v>1454995</v>
      </c>
    </row>
    <row r="7917" spans="1:4" x14ac:dyDescent="0.25">
      <c r="A7917" t="str">
        <f>T("   611190")</f>
        <v xml:space="preserve">   611190</v>
      </c>
      <c r="B7917" t="str">
        <f>T("   D'AUTRES MATIERES TEXTILES")</f>
        <v xml:space="preserve">   D'AUTRES MATIERES TEXTILES</v>
      </c>
      <c r="C7917" s="4">
        <v>325</v>
      </c>
      <c r="D7917" s="4">
        <v>445039</v>
      </c>
    </row>
    <row r="7918" spans="1:4" x14ac:dyDescent="0.25">
      <c r="A7918" t="str">
        <f>T("   611599")</f>
        <v xml:space="preserve">   611599</v>
      </c>
      <c r="B7918" t="str">
        <f>T("   D'AUTRES MATIERES TEXTILES")</f>
        <v xml:space="preserve">   D'AUTRES MATIERES TEXTILES</v>
      </c>
      <c r="C7918" s="4">
        <v>146</v>
      </c>
      <c r="D7918" s="4">
        <v>380761</v>
      </c>
    </row>
    <row r="7919" spans="1:4" x14ac:dyDescent="0.25">
      <c r="A7919" t="str">
        <f>T("   620469")</f>
        <v xml:space="preserve">   620469</v>
      </c>
      <c r="B7919" t="str">
        <f>T("   D'AUTRES MATIERES TEXTILES")</f>
        <v xml:space="preserve">   D'AUTRES MATIERES TEXTILES</v>
      </c>
      <c r="C7919" s="4">
        <v>9500</v>
      </c>
      <c r="D7919" s="4">
        <v>1667952</v>
      </c>
    </row>
    <row r="7920" spans="1:4" x14ac:dyDescent="0.25">
      <c r="A7920" t="str">
        <f>T("   620590")</f>
        <v xml:space="preserve">   620590</v>
      </c>
      <c r="B7920" t="str">
        <f>T("   D'AUTRES MATIERES TEXTILES")</f>
        <v xml:space="preserve">   D'AUTRES MATIERES TEXTILES</v>
      </c>
      <c r="C7920" s="4">
        <v>1112.2</v>
      </c>
      <c r="D7920" s="4">
        <v>4171527</v>
      </c>
    </row>
    <row r="7921" spans="1:4" x14ac:dyDescent="0.25">
      <c r="A7921" t="str">
        <f>T("   620920")</f>
        <v xml:space="preserve">   620920</v>
      </c>
      <c r="B7921" t="str">
        <f>T("   DE COTON")</f>
        <v xml:space="preserve">   DE COTON</v>
      </c>
      <c r="C7921" s="4">
        <v>7</v>
      </c>
      <c r="D7921" s="4">
        <v>20000</v>
      </c>
    </row>
    <row r="7922" spans="1:4" x14ac:dyDescent="0.25">
      <c r="A7922" t="str">
        <f>T("   620990")</f>
        <v xml:space="preserve">   620990</v>
      </c>
      <c r="B7922" t="str">
        <f>T("   D'AUTRES MATIERES TEXTILES")</f>
        <v xml:space="preserve">   D'AUTRES MATIERES TEXTILES</v>
      </c>
      <c r="C7922" s="4">
        <v>1550</v>
      </c>
      <c r="D7922" s="4">
        <v>2311742</v>
      </c>
    </row>
    <row r="7923" spans="1:4" x14ac:dyDescent="0.25">
      <c r="A7923" t="str">
        <f>T("   621030")</f>
        <v xml:space="preserve">   621030</v>
      </c>
      <c r="B7923" t="str">
        <f>T("   AUTRES VETEMENTS, DES TYPES VISES DANS LES N°S 6202.11 A 6202.19")</f>
        <v xml:space="preserve">   AUTRES VETEMENTS, DES TYPES VISES DANS LES N°S 6202.11 A 6202.19</v>
      </c>
      <c r="C7923" s="4">
        <v>50</v>
      </c>
      <c r="D7923" s="4">
        <v>178630</v>
      </c>
    </row>
    <row r="7924" spans="1:4" x14ac:dyDescent="0.25">
      <c r="A7924" t="str">
        <f>T("   621040")</f>
        <v xml:space="preserve">   621040</v>
      </c>
      <c r="B7924" t="str">
        <f>T("   AUTRES VETEMENTS POUR HOMMES OU GARCONNETS")</f>
        <v xml:space="preserve">   AUTRES VETEMENTS POUR HOMMES OU GARCONNETS</v>
      </c>
      <c r="C7924" s="4">
        <v>1674</v>
      </c>
      <c r="D7924" s="4">
        <v>1276498</v>
      </c>
    </row>
    <row r="7925" spans="1:4" x14ac:dyDescent="0.25">
      <c r="A7925" t="str">
        <f>T("   621050")</f>
        <v xml:space="preserve">   621050</v>
      </c>
      <c r="B7925" t="str">
        <f>T("   AUTRES VETEMENTS POUR FEMMES OU FILLETTES")</f>
        <v xml:space="preserve">   AUTRES VETEMENTS POUR FEMMES OU FILLETTES</v>
      </c>
      <c r="C7925" s="4">
        <v>40</v>
      </c>
      <c r="D7925" s="4">
        <v>50000</v>
      </c>
    </row>
    <row r="7926" spans="1:4" x14ac:dyDescent="0.25">
      <c r="A7926" t="str">
        <f>T("   621133")</f>
        <v xml:space="preserve">   621133</v>
      </c>
      <c r="B7926" t="str">
        <f>T("   DE FIBRES SYNTHETIQUES OU ARTIFICIELLES")</f>
        <v xml:space="preserve">   DE FIBRES SYNTHETIQUES OU ARTIFICIELLES</v>
      </c>
      <c r="C7926" s="4">
        <v>1474</v>
      </c>
      <c r="D7926" s="4">
        <v>1016738</v>
      </c>
    </row>
    <row r="7927" spans="1:4" x14ac:dyDescent="0.25">
      <c r="A7927" t="str">
        <f>T("   630790")</f>
        <v xml:space="preserve">   630790</v>
      </c>
      <c r="B7927" t="str">
        <f>T("   AUTRES")</f>
        <v xml:space="preserve">   AUTRES</v>
      </c>
      <c r="C7927" s="4">
        <v>25</v>
      </c>
      <c r="D7927" s="4">
        <v>114321</v>
      </c>
    </row>
    <row r="7928" spans="1:4" x14ac:dyDescent="0.25">
      <c r="A7928" t="str">
        <f>T("   630900")</f>
        <v xml:space="preserve">   630900</v>
      </c>
      <c r="B7928" t="str">
        <f>T("   ARTICLES DE FRIPERIE.")</f>
        <v xml:space="preserve">   ARTICLES DE FRIPERIE.</v>
      </c>
      <c r="C7928" s="4">
        <v>674648</v>
      </c>
      <c r="D7928" s="4">
        <v>418211150</v>
      </c>
    </row>
    <row r="7929" spans="1:4" x14ac:dyDescent="0.25">
      <c r="A7929" t="str">
        <f>T("   631090")</f>
        <v xml:space="preserve">   631090</v>
      </c>
      <c r="B7929" t="str">
        <f>T("   AUTRES")</f>
        <v xml:space="preserve">   AUTRES</v>
      </c>
      <c r="C7929" s="4">
        <v>600</v>
      </c>
      <c r="D7929" s="4">
        <v>99579</v>
      </c>
    </row>
    <row r="7930" spans="1:4" x14ac:dyDescent="0.25">
      <c r="A7930" t="str">
        <f>T("   640419")</f>
        <v xml:space="preserve">   640419</v>
      </c>
      <c r="B7930" t="str">
        <f>T("   AUTRES")</f>
        <v xml:space="preserve">   AUTRES</v>
      </c>
      <c r="C7930" s="4">
        <v>224</v>
      </c>
      <c r="D7930" s="4">
        <v>334581</v>
      </c>
    </row>
    <row r="7931" spans="1:4" x14ac:dyDescent="0.25">
      <c r="A7931" t="str">
        <f>T("   660310")</f>
        <v xml:space="preserve">   660310</v>
      </c>
      <c r="B7931" t="str">
        <f>T("   Poignees et pommeaux")</f>
        <v xml:space="preserve">   Poignees et pommeaux</v>
      </c>
      <c r="C7931" s="4">
        <v>6168</v>
      </c>
      <c r="D7931" s="4">
        <v>3311934</v>
      </c>
    </row>
    <row r="7932" spans="1:4" x14ac:dyDescent="0.25">
      <c r="A7932" t="str">
        <f>T("   680520")</f>
        <v xml:space="preserve">   680520</v>
      </c>
      <c r="B7932" t="str">
        <f>T("   APPLIQUES SUR PAPIER OU CARTON SEULEMENT")</f>
        <v xml:space="preserve">   APPLIQUES SUR PAPIER OU CARTON SEULEMENT</v>
      </c>
      <c r="C7932" s="4">
        <v>632</v>
      </c>
      <c r="D7932" s="4">
        <v>217366</v>
      </c>
    </row>
    <row r="7933" spans="1:4" x14ac:dyDescent="0.25">
      <c r="A7933" t="str">
        <f>T("   680620")</f>
        <v xml:space="preserve">   680620</v>
      </c>
      <c r="B7933" t="str">
        <f>T("   VERMICULITE EXPANSEE, ARGILES EXPANSEES, MOUSSE DE SCORIES ET PRODUITS MINERAUX SIMIL")</f>
        <v xml:space="preserve">   VERMICULITE EXPANSEE, ARGILES EXPANSEES, MOUSSE DE SCORIES ET PRODUITS MINERAUX SIMIL</v>
      </c>
      <c r="C7933" s="4">
        <v>3205</v>
      </c>
      <c r="D7933" s="4">
        <v>264507</v>
      </c>
    </row>
    <row r="7934" spans="1:4" x14ac:dyDescent="0.25">
      <c r="A7934" t="str">
        <f>T("   680800")</f>
        <v xml:space="preserve">   680800</v>
      </c>
      <c r="B7934" t="str">
        <f>T("   PANNEAUX, PLANCHES, CARREAUX, BLOCS ET ARTICLES SIMILAIRES, EN FIBRES VEGETALES, EN PAI")</f>
        <v xml:space="preserve">   PANNEAUX, PLANCHES, CARREAUX, BLOCS ET ARTICLES SIMILAIRES, EN FIBRES VEGETALES, EN PAI</v>
      </c>
      <c r="C7934" s="4">
        <v>261</v>
      </c>
      <c r="D7934" s="4">
        <v>1135341</v>
      </c>
    </row>
    <row r="7935" spans="1:4" x14ac:dyDescent="0.25">
      <c r="A7935" t="str">
        <f>T("   681381")</f>
        <v xml:space="preserve">   681381</v>
      </c>
      <c r="B7935" t="str">
        <f>T("   GARNITURES DE FREINS")</f>
        <v xml:space="preserve">   GARNITURES DE FREINS</v>
      </c>
      <c r="C7935" s="4">
        <v>412</v>
      </c>
      <c r="D7935" s="4">
        <v>1959156</v>
      </c>
    </row>
    <row r="7936" spans="1:4" x14ac:dyDescent="0.25">
      <c r="A7936" t="str">
        <f>T("   701349")</f>
        <v xml:space="preserve">   701349</v>
      </c>
      <c r="B7936" t="str">
        <f>T("   AUTRES")</f>
        <v xml:space="preserve">   AUTRES</v>
      </c>
      <c r="C7936" s="4">
        <v>34</v>
      </c>
      <c r="D7936" s="4">
        <v>124613</v>
      </c>
    </row>
    <row r="7937" spans="1:4" x14ac:dyDescent="0.25">
      <c r="A7937" t="str">
        <f>T("   701399")</f>
        <v xml:space="preserve">   701399</v>
      </c>
      <c r="B7937" t="str">
        <f>T("   AUTRES")</f>
        <v xml:space="preserve">   AUTRES</v>
      </c>
      <c r="C7937" s="4">
        <v>30739.4</v>
      </c>
      <c r="D7937" s="4">
        <v>15517342</v>
      </c>
    </row>
    <row r="7938" spans="1:4" x14ac:dyDescent="0.25">
      <c r="A7938" t="str">
        <f>T("   720390")</f>
        <v xml:space="preserve">   720390</v>
      </c>
      <c r="B7938" t="str">
        <f>T("   AUTRES")</f>
        <v xml:space="preserve">   AUTRES</v>
      </c>
      <c r="C7938" s="4">
        <v>54</v>
      </c>
      <c r="D7938" s="4">
        <v>68400</v>
      </c>
    </row>
    <row r="7939" spans="1:4" x14ac:dyDescent="0.25">
      <c r="A7939" t="str">
        <f>T("   730890")</f>
        <v xml:space="preserve">   730890</v>
      </c>
      <c r="B7939" t="str">
        <f>T("   AUTRES")</f>
        <v xml:space="preserve">   AUTRES</v>
      </c>
      <c r="C7939" s="4">
        <v>2932</v>
      </c>
      <c r="D7939" s="4">
        <v>438837</v>
      </c>
    </row>
    <row r="7940" spans="1:4" x14ac:dyDescent="0.25">
      <c r="A7940" t="str">
        <f>T("   730900")</f>
        <v xml:space="preserve">   730900</v>
      </c>
      <c r="B7940" t="str">
        <f>T("   RESERVOIRS, FOUDRES, CUVES ET RECIPIENTS SIMILAIRES POUR TOUTES MATIERES (A L'EXCEPTION")</f>
        <v xml:space="preserve">   RESERVOIRS, FOUDRES, CUVES ET RECIPIENTS SIMILAIRES POUR TOUTES MATIERES (A L'EXCEPTION</v>
      </c>
      <c r="C7940" s="4">
        <v>98</v>
      </c>
      <c r="D7940" s="4">
        <v>233015</v>
      </c>
    </row>
    <row r="7941" spans="1:4" x14ac:dyDescent="0.25">
      <c r="A7941" t="str">
        <f>T("   731029")</f>
        <v xml:space="preserve">   731029</v>
      </c>
      <c r="B7941" t="str">
        <f>T("   AUTRES")</f>
        <v xml:space="preserve">   AUTRES</v>
      </c>
      <c r="C7941" s="4">
        <v>6200</v>
      </c>
      <c r="D7941" s="4">
        <v>5269731</v>
      </c>
    </row>
    <row r="7942" spans="1:4" x14ac:dyDescent="0.25">
      <c r="A7942" t="str">
        <f>T("   731589")</f>
        <v xml:space="preserve">   731589</v>
      </c>
      <c r="B7942" t="str">
        <f>T("   AUTRES")</f>
        <v xml:space="preserve">   AUTRES</v>
      </c>
      <c r="C7942" s="4">
        <v>178</v>
      </c>
      <c r="D7942" s="4">
        <v>47229</v>
      </c>
    </row>
    <row r="7943" spans="1:4" x14ac:dyDescent="0.25">
      <c r="A7943" t="str">
        <f>T("   731590")</f>
        <v xml:space="preserve">   731590</v>
      </c>
      <c r="B7943" t="str">
        <f>T("   AUTRES PARTIES")</f>
        <v xml:space="preserve">   AUTRES PARTIES</v>
      </c>
      <c r="C7943" s="4">
        <v>1211</v>
      </c>
      <c r="D7943" s="4">
        <v>647190</v>
      </c>
    </row>
    <row r="7944" spans="1:4" x14ac:dyDescent="0.25">
      <c r="A7944" t="str">
        <f>T("   731815")</f>
        <v xml:space="preserve">   731815</v>
      </c>
      <c r="B7944" t="str">
        <f>T("   AUTRES VIS ET BOULONS, MEME AVEC LEURS ECROUS OU RONDELLES")</f>
        <v xml:space="preserve">   AUTRES VIS ET BOULONS, MEME AVEC LEURS ECROUS OU RONDELLES</v>
      </c>
      <c r="C7944" s="4">
        <v>150</v>
      </c>
      <c r="D7944" s="4">
        <v>185420</v>
      </c>
    </row>
    <row r="7945" spans="1:4" x14ac:dyDescent="0.25">
      <c r="A7945" t="str">
        <f>T("   732090")</f>
        <v xml:space="preserve">   732090</v>
      </c>
      <c r="B7945" t="str">
        <f>T("   AUTRES")</f>
        <v xml:space="preserve">   AUTRES</v>
      </c>
      <c r="C7945" s="4">
        <v>1000</v>
      </c>
      <c r="D7945" s="4">
        <v>18940</v>
      </c>
    </row>
    <row r="7946" spans="1:4" x14ac:dyDescent="0.25">
      <c r="A7946" t="str">
        <f>T("   732394")</f>
        <v xml:space="preserve">   732394</v>
      </c>
      <c r="B7946" t="str">
        <f>T("   EN FER OU EN ACIER, EMAILLES")</f>
        <v xml:space="preserve">   EN FER OU EN ACIER, EMAILLES</v>
      </c>
      <c r="C7946" s="4">
        <v>6440</v>
      </c>
      <c r="D7946" s="4">
        <v>5443001</v>
      </c>
    </row>
    <row r="7947" spans="1:4" x14ac:dyDescent="0.25">
      <c r="A7947" t="str">
        <f>T("   732399")</f>
        <v xml:space="preserve">   732399</v>
      </c>
      <c r="B7947" t="str">
        <f>T("   AUTRES")</f>
        <v xml:space="preserve">   AUTRES</v>
      </c>
      <c r="C7947" s="4">
        <v>18750</v>
      </c>
      <c r="D7947" s="4">
        <v>12533039</v>
      </c>
    </row>
    <row r="7948" spans="1:4" x14ac:dyDescent="0.25">
      <c r="A7948" t="str">
        <f>T("   732619")</f>
        <v xml:space="preserve">   732619</v>
      </c>
      <c r="B7948" t="str">
        <f>T("   AUTRES")</f>
        <v xml:space="preserve">   AUTRES</v>
      </c>
      <c r="C7948" s="4">
        <v>3</v>
      </c>
      <c r="D7948" s="4">
        <v>6358</v>
      </c>
    </row>
    <row r="7949" spans="1:4" x14ac:dyDescent="0.25">
      <c r="A7949" t="str">
        <f>T("   732690")</f>
        <v xml:space="preserve">   732690</v>
      </c>
      <c r="B7949" t="str">
        <f>T("   AUTRES")</f>
        <v xml:space="preserve">   AUTRES</v>
      </c>
      <c r="C7949" s="4">
        <v>118231</v>
      </c>
      <c r="D7949" s="4">
        <v>124408565</v>
      </c>
    </row>
    <row r="7950" spans="1:4" x14ac:dyDescent="0.25">
      <c r="A7950" t="str">
        <f>T("   741999")</f>
        <v xml:space="preserve">   741999</v>
      </c>
      <c r="B7950" t="str">
        <f>T("   AUTRES")</f>
        <v xml:space="preserve">   AUTRES</v>
      </c>
      <c r="C7950" s="4">
        <v>1377</v>
      </c>
      <c r="D7950" s="4">
        <v>1658614</v>
      </c>
    </row>
    <row r="7951" spans="1:4" x14ac:dyDescent="0.25">
      <c r="A7951" t="str">
        <f>T("   760429")</f>
        <v xml:space="preserve">   760429</v>
      </c>
      <c r="B7951" t="str">
        <f>T("   AUTRES")</f>
        <v xml:space="preserve">   AUTRES</v>
      </c>
      <c r="C7951" s="4">
        <v>71718</v>
      </c>
      <c r="D7951" s="4">
        <v>33357934</v>
      </c>
    </row>
    <row r="7952" spans="1:4" x14ac:dyDescent="0.25">
      <c r="A7952" t="str">
        <f>T("   760611")</f>
        <v xml:space="preserve">   760611</v>
      </c>
      <c r="B7952" t="str">
        <f>T("   EN ALUMINIUM NON ALLIE")</f>
        <v xml:space="preserve">   EN ALUMINIUM NON ALLIE</v>
      </c>
      <c r="C7952" s="4">
        <v>22882</v>
      </c>
      <c r="D7952" s="4">
        <v>11459574</v>
      </c>
    </row>
    <row r="7953" spans="1:4" x14ac:dyDescent="0.25">
      <c r="A7953" t="str">
        <f>T("   820559")</f>
        <v xml:space="preserve">   820559</v>
      </c>
      <c r="B7953" t="str">
        <f>T("   AUTRES")</f>
        <v xml:space="preserve">   AUTRES</v>
      </c>
      <c r="C7953" s="4">
        <v>125</v>
      </c>
      <c r="D7953" s="4">
        <v>487378</v>
      </c>
    </row>
    <row r="7954" spans="1:4" x14ac:dyDescent="0.25">
      <c r="A7954" t="str">
        <f>T("   830110")</f>
        <v xml:space="preserve">   830110</v>
      </c>
      <c r="B7954" t="str">
        <f>T("   CADENAS")</f>
        <v xml:space="preserve">   CADENAS</v>
      </c>
      <c r="C7954" s="4">
        <v>50</v>
      </c>
      <c r="D7954" s="4">
        <v>9839</v>
      </c>
    </row>
    <row r="7955" spans="1:4" x14ac:dyDescent="0.25">
      <c r="A7955" t="str">
        <f>T("   830160")</f>
        <v xml:space="preserve">   830160</v>
      </c>
      <c r="B7955" t="str">
        <f>T("   PARTIES")</f>
        <v xml:space="preserve">   PARTIES</v>
      </c>
      <c r="C7955" s="4">
        <v>1</v>
      </c>
      <c r="D7955" s="4">
        <v>149369</v>
      </c>
    </row>
    <row r="7956" spans="1:4" x14ac:dyDescent="0.25">
      <c r="A7956" t="str">
        <f>T("   830249")</f>
        <v xml:space="preserve">   830249</v>
      </c>
      <c r="B7956" t="str">
        <f>T("   AUTRES")</f>
        <v xml:space="preserve">   AUTRES</v>
      </c>
      <c r="C7956" s="4">
        <v>435</v>
      </c>
      <c r="D7956" s="4">
        <v>448005</v>
      </c>
    </row>
    <row r="7957" spans="1:4" x14ac:dyDescent="0.25">
      <c r="A7957" t="str">
        <f>T("   830710")</f>
        <v xml:space="preserve">   830710</v>
      </c>
      <c r="B7957" t="str">
        <f>T("   EN FER OU EN ACIER")</f>
        <v xml:space="preserve">   EN FER OU EN ACIER</v>
      </c>
      <c r="C7957" s="4">
        <v>4792</v>
      </c>
      <c r="D7957" s="4">
        <v>32861136</v>
      </c>
    </row>
    <row r="7958" spans="1:4" x14ac:dyDescent="0.25">
      <c r="A7958" t="str">
        <f>T("   840721")</f>
        <v xml:space="preserve">   840721</v>
      </c>
      <c r="B7958" t="str">
        <f>T("   DU TYPE HORSBORD")</f>
        <v xml:space="preserve">   DU TYPE HORSBORD</v>
      </c>
      <c r="C7958" s="4">
        <v>200</v>
      </c>
      <c r="D7958" s="4">
        <v>300000</v>
      </c>
    </row>
    <row r="7959" spans="1:4" x14ac:dyDescent="0.25">
      <c r="A7959" t="str">
        <f>T("   841440")</f>
        <v xml:space="preserve">   841440</v>
      </c>
      <c r="B7959" t="str">
        <f>T("   COMPRESSEURS D'AIR MONTES SUR CHASSIS A ROUES ET REMORQUABLES")</f>
        <v xml:space="preserve">   COMPRESSEURS D'AIR MONTES SUR CHASSIS A ROUES ET REMORQUABLES</v>
      </c>
      <c r="C7959" s="4">
        <v>2000</v>
      </c>
      <c r="D7959" s="4">
        <v>750000</v>
      </c>
    </row>
    <row r="7960" spans="1:4" x14ac:dyDescent="0.25">
      <c r="A7960" t="str">
        <f>T("   841459")</f>
        <v xml:space="preserve">   841459</v>
      </c>
      <c r="B7960" t="str">
        <f>T("   AUTRES")</f>
        <v xml:space="preserve">   AUTRES</v>
      </c>
      <c r="C7960" s="4">
        <v>204</v>
      </c>
      <c r="D7960" s="4">
        <v>929725</v>
      </c>
    </row>
    <row r="7961" spans="1:4" x14ac:dyDescent="0.25">
      <c r="A7961" t="str">
        <f>T("   841480")</f>
        <v xml:space="preserve">   841480</v>
      </c>
      <c r="B7961" t="str">
        <f>T("   AUTRES")</f>
        <v xml:space="preserve">   AUTRES</v>
      </c>
      <c r="C7961" s="4">
        <v>44</v>
      </c>
      <c r="D7961" s="4">
        <v>45316</v>
      </c>
    </row>
    <row r="7962" spans="1:4" x14ac:dyDescent="0.25">
      <c r="A7962" t="str">
        <f>T("   841510")</f>
        <v xml:space="preserve">   841510</v>
      </c>
      <c r="B7962" t="str">
        <f>T("   DU TYPE MURAL OU POUR FENETRES, FORMANT UN SEUL CORPS OU DU TYPE «SPLITSYSTEM» (SYST")</f>
        <v xml:space="preserve">   DU TYPE MURAL OU POUR FENETRES, FORMANT UN SEUL CORPS OU DU TYPE «SPLITSYSTEM» (SYST</v>
      </c>
      <c r="C7962" s="4">
        <v>10056</v>
      </c>
      <c r="D7962" s="4">
        <v>89229662</v>
      </c>
    </row>
    <row r="7963" spans="1:4" x14ac:dyDescent="0.25">
      <c r="A7963" t="str">
        <f>T("   841582")</f>
        <v xml:space="preserve">   841582</v>
      </c>
      <c r="B7963" t="str">
        <f>T("   AUTRES, AVEC DISPOSITIF DE REFRIGERATION")</f>
        <v xml:space="preserve">   AUTRES, AVEC DISPOSITIF DE REFRIGERATION</v>
      </c>
      <c r="C7963" s="4">
        <v>28026</v>
      </c>
      <c r="D7963" s="4">
        <v>23052259</v>
      </c>
    </row>
    <row r="7964" spans="1:4" x14ac:dyDescent="0.25">
      <c r="A7964" t="str">
        <f>T("   841821")</f>
        <v xml:space="preserve">   841821</v>
      </c>
      <c r="B7964" t="str">
        <f>T("   A COMPRESSION")</f>
        <v xml:space="preserve">   A COMPRESSION</v>
      </c>
      <c r="C7964" s="4">
        <v>13987</v>
      </c>
      <c r="D7964" s="4">
        <v>18257335</v>
      </c>
    </row>
    <row r="7965" spans="1:4" x14ac:dyDescent="0.25">
      <c r="A7965" t="str">
        <f>T("   841829")</f>
        <v xml:space="preserve">   841829</v>
      </c>
      <c r="B7965" t="str">
        <f>T("   AUTRES")</f>
        <v xml:space="preserve">   AUTRES</v>
      </c>
      <c r="C7965" s="4">
        <v>22285</v>
      </c>
      <c r="D7965" s="4">
        <v>13694427</v>
      </c>
    </row>
    <row r="7966" spans="1:4" x14ac:dyDescent="0.25">
      <c r="A7966" t="str">
        <f>T("   841830")</f>
        <v xml:space="preserve">   841830</v>
      </c>
      <c r="B7966" t="str">
        <f>T("   MEUBLES CONGELATEURSCONSERVATEURS DU TYPE COFFRE, D'UNE CAPACITE N'EXCEDANT PAS 800 ")</f>
        <v xml:space="preserve">   MEUBLES CONGELATEURSCONSERVATEURS DU TYPE COFFRE, D'UNE CAPACITE N'EXCEDANT PAS 800 </v>
      </c>
      <c r="C7966" s="4">
        <v>6002</v>
      </c>
      <c r="D7966" s="4">
        <v>6532018</v>
      </c>
    </row>
    <row r="7967" spans="1:4" x14ac:dyDescent="0.25">
      <c r="A7967" t="str">
        <f>T("   841840")</f>
        <v xml:space="preserve">   841840</v>
      </c>
      <c r="B7967" t="str">
        <f>T("   MEUBLES CONGELATEURSCONSERVATEURS DU TYPE ARMOIRE, D'UNE CAPACITE N'EXCEDANT PAS 900")</f>
        <v xml:space="preserve">   MEUBLES CONGELATEURSCONSERVATEURS DU TYPE ARMOIRE, D'UNE CAPACITE N'EXCEDANT PAS 900</v>
      </c>
      <c r="C7967" s="4">
        <v>621</v>
      </c>
      <c r="D7967" s="4">
        <v>4171657</v>
      </c>
    </row>
    <row r="7968" spans="1:4" x14ac:dyDescent="0.25">
      <c r="A7968" t="str">
        <f>T("   841850")</f>
        <v xml:space="preserve">   841850</v>
      </c>
      <c r="B7968" t="str">
        <f>T("   AUTRES MEUBLES (COFFRES, ARMOIRES, VITRINES, COMPTOIRS ET SIMILAIRES), POUR LA CONSER")</f>
        <v xml:space="preserve">   AUTRES MEUBLES (COFFRES, ARMOIRES, VITRINES, COMPTOIRS ET SIMILAIRES), POUR LA CONSER</v>
      </c>
      <c r="C7968" s="4">
        <v>49790</v>
      </c>
      <c r="D7968" s="4">
        <v>64685155</v>
      </c>
    </row>
    <row r="7969" spans="1:4" x14ac:dyDescent="0.25">
      <c r="A7969" t="str">
        <f>T("   841891")</f>
        <v xml:space="preserve">   841891</v>
      </c>
      <c r="B7969" t="str">
        <f>T("   Meubles concus pour recevoir un equipement pour la production du froid")</f>
        <v xml:space="preserve">   Meubles concus pour recevoir un equipement pour la production du froid</v>
      </c>
      <c r="C7969" s="4">
        <v>89420</v>
      </c>
      <c r="D7969" s="4">
        <v>143317695</v>
      </c>
    </row>
    <row r="7970" spans="1:4" x14ac:dyDescent="0.25">
      <c r="A7970" t="str">
        <f>T("   841899")</f>
        <v xml:space="preserve">   841899</v>
      </c>
      <c r="B7970" t="str">
        <f>T("   AUTRES")</f>
        <v xml:space="preserve">   AUTRES</v>
      </c>
      <c r="C7970" s="4">
        <v>188</v>
      </c>
      <c r="D7970" s="4">
        <v>800332</v>
      </c>
    </row>
    <row r="7971" spans="1:4" x14ac:dyDescent="0.25">
      <c r="A7971" t="str">
        <f>T("   841989")</f>
        <v xml:space="preserve">   841989</v>
      </c>
      <c r="B7971" t="str">
        <f>T("   AUTRES")</f>
        <v xml:space="preserve">   AUTRES</v>
      </c>
      <c r="C7971" s="4">
        <v>20</v>
      </c>
      <c r="D7971" s="4">
        <v>449333</v>
      </c>
    </row>
    <row r="7972" spans="1:4" x14ac:dyDescent="0.25">
      <c r="A7972" t="str">
        <f>T("   842121")</f>
        <v xml:space="preserve">   842121</v>
      </c>
      <c r="B7972" t="str">
        <f>T("   POUR LA FILTRATION OU L'EPURATION DES EAUX")</f>
        <v xml:space="preserve">   POUR LA FILTRATION OU L'EPURATION DES EAUX</v>
      </c>
      <c r="C7972" s="4">
        <v>20</v>
      </c>
      <c r="D7972" s="4">
        <v>27633</v>
      </c>
    </row>
    <row r="7973" spans="1:4" x14ac:dyDescent="0.25">
      <c r="A7973" t="str">
        <f>T("   842129")</f>
        <v xml:space="preserve">   842129</v>
      </c>
      <c r="B7973" t="str">
        <f>T("   AUTRES")</f>
        <v xml:space="preserve">   AUTRES</v>
      </c>
      <c r="C7973" s="4">
        <v>36</v>
      </c>
      <c r="D7973" s="4">
        <v>424517</v>
      </c>
    </row>
    <row r="7974" spans="1:4" x14ac:dyDescent="0.25">
      <c r="A7974" t="str">
        <f>T("   842810")</f>
        <v xml:space="preserve">   842810</v>
      </c>
      <c r="B7974" t="str">
        <f>T("   ASCENSEURS ET MONTECHARGE")</f>
        <v xml:space="preserve">   ASCENSEURS ET MONTECHARGE</v>
      </c>
      <c r="C7974" s="4">
        <v>2800</v>
      </c>
      <c r="D7974" s="4">
        <v>16532303</v>
      </c>
    </row>
    <row r="7975" spans="1:4" x14ac:dyDescent="0.25">
      <c r="A7975" t="str">
        <f>T("   843139")</f>
        <v xml:space="preserve">   843139</v>
      </c>
      <c r="B7975" t="str">
        <f>T("   AUTRES")</f>
        <v xml:space="preserve">   AUTRES</v>
      </c>
      <c r="C7975" s="4">
        <v>1000</v>
      </c>
      <c r="D7975" s="4">
        <v>497896</v>
      </c>
    </row>
    <row r="7976" spans="1:4" x14ac:dyDescent="0.25">
      <c r="A7976" t="str">
        <f>T("   843420")</f>
        <v xml:space="preserve">   843420</v>
      </c>
      <c r="B7976" t="str">
        <f>T("   Machines et appareils de laiterie")</f>
        <v xml:space="preserve">   Machines et appareils de laiterie</v>
      </c>
      <c r="C7976" s="4">
        <v>11480</v>
      </c>
      <c r="D7976" s="4">
        <v>162399953</v>
      </c>
    </row>
    <row r="7977" spans="1:4" x14ac:dyDescent="0.25">
      <c r="A7977" t="str">
        <f>T("   843510")</f>
        <v xml:space="preserve">   843510</v>
      </c>
      <c r="B7977" t="str">
        <f>T("   MACHINES ET APPAREILS")</f>
        <v xml:space="preserve">   MACHINES ET APPAREILS</v>
      </c>
      <c r="C7977" s="4">
        <v>97370</v>
      </c>
      <c r="D7977" s="4">
        <v>29873760</v>
      </c>
    </row>
    <row r="7978" spans="1:4" x14ac:dyDescent="0.25">
      <c r="A7978" t="str">
        <f>T("   843590")</f>
        <v xml:space="preserve">   843590</v>
      </c>
      <c r="B7978" t="str">
        <f>T("   PARTIES")</f>
        <v xml:space="preserve">   PARTIES</v>
      </c>
      <c r="C7978" s="4">
        <v>15705</v>
      </c>
      <c r="D7978" s="4">
        <v>54270664</v>
      </c>
    </row>
    <row r="7979" spans="1:4" x14ac:dyDescent="0.25">
      <c r="A7979" t="str">
        <f>T("   843880")</f>
        <v xml:space="preserve">   843880</v>
      </c>
      <c r="B7979" t="str">
        <f>T("   AUTRES MACHINES ET APPAREILS")</f>
        <v xml:space="preserve">   AUTRES MACHINES ET APPAREILS</v>
      </c>
      <c r="C7979" s="4">
        <v>7855</v>
      </c>
      <c r="D7979" s="4">
        <v>97181333</v>
      </c>
    </row>
    <row r="7980" spans="1:4" x14ac:dyDescent="0.25">
      <c r="A7980" t="str">
        <f>T("   843890")</f>
        <v xml:space="preserve">   843890</v>
      </c>
      <c r="B7980" t="str">
        <f>T("   PARTIES")</f>
        <v xml:space="preserve">   PARTIES</v>
      </c>
      <c r="C7980" s="4">
        <v>111</v>
      </c>
      <c r="D7980" s="4">
        <v>200005</v>
      </c>
    </row>
    <row r="7981" spans="1:4" x14ac:dyDescent="0.25">
      <c r="A7981" t="str">
        <f>T("   844140")</f>
        <v xml:space="preserve">   844140</v>
      </c>
      <c r="B7981" t="str">
        <f>T("   Machines a mouler les articles en pate a papier, papier ou carton")</f>
        <v xml:space="preserve">   Machines a mouler les articles en pate a papier, papier ou carton</v>
      </c>
      <c r="C7981" s="4">
        <v>10930</v>
      </c>
      <c r="D7981" s="4">
        <v>29678087</v>
      </c>
    </row>
    <row r="7982" spans="1:4" x14ac:dyDescent="0.25">
      <c r="A7982" t="str">
        <f>T("   846420")</f>
        <v xml:space="preserve">   846420</v>
      </c>
      <c r="B7982" t="str">
        <f>T("   MACHINES A MEULER OU A POLIR")</f>
        <v xml:space="preserve">   MACHINES A MEULER OU A POLIR</v>
      </c>
      <c r="C7982" s="4">
        <v>3</v>
      </c>
      <c r="D7982" s="4">
        <v>18418</v>
      </c>
    </row>
    <row r="7983" spans="1:4" x14ac:dyDescent="0.25">
      <c r="A7983" t="str">
        <f>T("   846490")</f>
        <v xml:space="preserve">   846490</v>
      </c>
      <c r="B7983" t="str">
        <f>T("   AUTRES")</f>
        <v xml:space="preserve">   AUTRES</v>
      </c>
      <c r="C7983" s="4">
        <v>9000</v>
      </c>
      <c r="D7983" s="4">
        <v>4032958</v>
      </c>
    </row>
    <row r="7984" spans="1:4" x14ac:dyDescent="0.25">
      <c r="A7984" t="str">
        <f>T("   846599")</f>
        <v xml:space="preserve">   846599</v>
      </c>
      <c r="B7984" t="str">
        <f>T("   AUTRES")</f>
        <v xml:space="preserve">   AUTRES</v>
      </c>
      <c r="C7984" s="4">
        <v>3739</v>
      </c>
      <c r="D7984" s="4">
        <v>9460024</v>
      </c>
    </row>
    <row r="7985" spans="1:4" x14ac:dyDescent="0.25">
      <c r="A7985" t="str">
        <f>T("   847149")</f>
        <v xml:space="preserve">   847149</v>
      </c>
      <c r="B7985" t="str">
        <f>T("   AUTRES, SE PRESENTANT SOUS FORME DE SYSTEMES")</f>
        <v xml:space="preserve">   AUTRES, SE PRESENTANT SOUS FORME DE SYSTEMES</v>
      </c>
      <c r="C7985" s="4">
        <v>101</v>
      </c>
      <c r="D7985" s="4">
        <v>998281</v>
      </c>
    </row>
    <row r="7986" spans="1:4" x14ac:dyDescent="0.25">
      <c r="A7986" t="str">
        <f>T("   847180")</f>
        <v xml:space="preserve">   847180</v>
      </c>
      <c r="B7986" t="str">
        <f>T("   AUTRES UNITES DE MACHINES AUTOMATIQUES DE TRAITEMENT DE L'INFORMATION")</f>
        <v xml:space="preserve">   AUTRES UNITES DE MACHINES AUTOMATIQUES DE TRAITEMENT DE L'INFORMATION</v>
      </c>
      <c r="C7986" s="4">
        <v>320</v>
      </c>
      <c r="D7986" s="4">
        <v>28410539</v>
      </c>
    </row>
    <row r="7987" spans="1:4" x14ac:dyDescent="0.25">
      <c r="A7987" t="str">
        <f>T("   847190")</f>
        <v xml:space="preserve">   847190</v>
      </c>
      <c r="B7987" t="str">
        <f>T("   AUTRES")</f>
        <v xml:space="preserve">   AUTRES</v>
      </c>
      <c r="C7987" s="4">
        <v>167.5</v>
      </c>
      <c r="D7987" s="4">
        <v>16336536</v>
      </c>
    </row>
    <row r="7988" spans="1:4" x14ac:dyDescent="0.25">
      <c r="A7988" t="str">
        <f>T("   847431")</f>
        <v xml:space="preserve">   847431</v>
      </c>
      <c r="B7988" t="str">
        <f>T("   BETONNIERES ET APPAREILS A GACHER LE CIMENT")</f>
        <v xml:space="preserve">   BETONNIERES ET APPAREILS A GACHER LE CIMENT</v>
      </c>
      <c r="C7988" s="4">
        <v>145105</v>
      </c>
      <c r="D7988" s="4">
        <v>128180179</v>
      </c>
    </row>
    <row r="7989" spans="1:4" x14ac:dyDescent="0.25">
      <c r="A7989" t="str">
        <f>T("   847439")</f>
        <v xml:space="preserve">   847439</v>
      </c>
      <c r="B7989" t="str">
        <f>T("   AUTRES")</f>
        <v xml:space="preserve">   AUTRES</v>
      </c>
      <c r="C7989" s="4">
        <v>32174</v>
      </c>
      <c r="D7989" s="4">
        <v>32370724</v>
      </c>
    </row>
    <row r="7990" spans="1:4" x14ac:dyDescent="0.25">
      <c r="A7990" t="str">
        <f>T("   847480")</f>
        <v xml:space="preserve">   847480</v>
      </c>
      <c r="B7990" t="str">
        <f>T("   AUTRES MACHINES ET APPAREILS")</f>
        <v xml:space="preserve">   AUTRES MACHINES ET APPAREILS</v>
      </c>
      <c r="C7990" s="4">
        <v>973</v>
      </c>
      <c r="D7990" s="4">
        <v>90009</v>
      </c>
    </row>
    <row r="7991" spans="1:4" x14ac:dyDescent="0.25">
      <c r="A7991" t="str">
        <f>T("   847790")</f>
        <v xml:space="preserve">   847790</v>
      </c>
      <c r="B7991" t="str">
        <f>T("   PARTIES")</f>
        <v xml:space="preserve">   PARTIES</v>
      </c>
      <c r="C7991" s="4">
        <v>13</v>
      </c>
      <c r="D7991" s="4">
        <v>812023</v>
      </c>
    </row>
    <row r="7992" spans="1:4" x14ac:dyDescent="0.25">
      <c r="A7992" t="str">
        <f>T("   847910")</f>
        <v xml:space="preserve">   847910</v>
      </c>
      <c r="B7992" t="str">
        <f>T("   MACHINES ET APPAREILS POUR LES TRAVAUX PUBLICS, LE BATIMENT OU LES TRAVAUX ANALOGUES")</f>
        <v xml:space="preserve">   MACHINES ET APPAREILS POUR LES TRAVAUX PUBLICS, LE BATIMENT OU LES TRAVAUX ANALOGUES</v>
      </c>
      <c r="C7992" s="4">
        <v>2300</v>
      </c>
      <c r="D7992" s="4">
        <v>2041439</v>
      </c>
    </row>
    <row r="7993" spans="1:4" x14ac:dyDescent="0.25">
      <c r="A7993" t="str">
        <f>T("   847990")</f>
        <v xml:space="preserve">   847990</v>
      </c>
      <c r="B7993" t="str">
        <f>T("   PARTIES")</f>
        <v xml:space="preserve">   PARTIES</v>
      </c>
      <c r="C7993" s="4">
        <v>600</v>
      </c>
      <c r="D7993" s="4">
        <v>734675</v>
      </c>
    </row>
    <row r="7994" spans="1:4" x14ac:dyDescent="0.25">
      <c r="A7994" t="str">
        <f>T("   848060")</f>
        <v xml:space="preserve">   848060</v>
      </c>
      <c r="B7994" t="str">
        <f>T("   MOULES POUR LES MATIERES MINERALES")</f>
        <v xml:space="preserve">   MOULES POUR LES MATIERES MINERALES</v>
      </c>
      <c r="C7994" s="4">
        <v>5169</v>
      </c>
      <c r="D7994" s="4">
        <v>1247921</v>
      </c>
    </row>
    <row r="7995" spans="1:4" x14ac:dyDescent="0.25">
      <c r="A7995" t="str">
        <f>T("   848210")</f>
        <v xml:space="preserve">   848210</v>
      </c>
      <c r="B7995" t="str">
        <f>T("   ROULEMENTS A BILLES")</f>
        <v xml:space="preserve">   ROULEMENTS A BILLES</v>
      </c>
      <c r="C7995" s="4">
        <v>55</v>
      </c>
      <c r="D7995" s="4">
        <v>2404120</v>
      </c>
    </row>
    <row r="7996" spans="1:4" x14ac:dyDescent="0.25">
      <c r="A7996" t="str">
        <f>T("   850152")</f>
        <v xml:space="preserve">   850152</v>
      </c>
      <c r="B7996" t="str">
        <f>T("   D'UNE PUISSANCE EXCEDANT 750 W MAIS N'EXCEDANT PAS 75 KW")</f>
        <v xml:space="preserve">   D'UNE PUISSANCE EXCEDANT 750 W MAIS N'EXCEDANT PAS 75 KW</v>
      </c>
      <c r="C7996" s="4">
        <v>679</v>
      </c>
      <c r="D7996" s="4">
        <v>225025</v>
      </c>
    </row>
    <row r="7997" spans="1:4" x14ac:dyDescent="0.25">
      <c r="A7997" t="str">
        <f>T("   850162")</f>
        <v xml:space="preserve">   850162</v>
      </c>
      <c r="B7997" t="str">
        <f>T("   D'UNE PUISSANCE EXCEDANT 75 KVA MAIS N'EXCEDANT PAS 375 KVA")</f>
        <v xml:space="preserve">   D'UNE PUISSANCE EXCEDANT 75 KVA MAIS N'EXCEDANT PAS 375 KVA</v>
      </c>
      <c r="C7997" s="4">
        <v>25037</v>
      </c>
      <c r="D7997" s="4">
        <v>19789374</v>
      </c>
    </row>
    <row r="7998" spans="1:4" x14ac:dyDescent="0.25">
      <c r="A7998" t="str">
        <f>T("   850163")</f>
        <v xml:space="preserve">   850163</v>
      </c>
      <c r="B7998" t="str">
        <f>T("   D'UNE PUISSANCE EXCEDANT 375 KVA MAIS N'EXCEDANT PAS 750 KVA")</f>
        <v xml:space="preserve">   D'UNE PUISSANCE EXCEDANT 375 KVA MAIS N'EXCEDANT PAS 750 KVA</v>
      </c>
      <c r="C7998" s="4">
        <v>3660</v>
      </c>
      <c r="D7998" s="4">
        <v>10897490</v>
      </c>
    </row>
    <row r="7999" spans="1:4" x14ac:dyDescent="0.25">
      <c r="A7999" t="str">
        <f>T("   850211")</f>
        <v xml:space="preserve">   850211</v>
      </c>
      <c r="B7999" t="str">
        <f>T("   D'UNE PUISSANCE N'EXCEDANT PAS 75 KVA")</f>
        <v xml:space="preserve">   D'UNE PUISSANCE N'EXCEDANT PAS 75 KVA</v>
      </c>
      <c r="C7999" s="4">
        <v>104801</v>
      </c>
      <c r="D7999" s="4">
        <v>167673040</v>
      </c>
    </row>
    <row r="8000" spans="1:4" x14ac:dyDescent="0.25">
      <c r="A8000" t="str">
        <f>T("   850212")</f>
        <v xml:space="preserve">   850212</v>
      </c>
      <c r="B8000" t="str">
        <f>T("   D'UNE PUISSANCE EXCEDANT 75 KVA MAIS N'EXCEDANT PAS 375 KVA")</f>
        <v xml:space="preserve">   D'UNE PUISSANCE EXCEDANT 75 KVA MAIS N'EXCEDANT PAS 375 KVA</v>
      </c>
      <c r="C8000" s="4">
        <v>15020</v>
      </c>
      <c r="D8000" s="4">
        <v>67813132</v>
      </c>
    </row>
    <row r="8001" spans="1:4" x14ac:dyDescent="0.25">
      <c r="A8001" t="str">
        <f>T("   850239")</f>
        <v xml:space="preserve">   850239</v>
      </c>
      <c r="B8001" t="str">
        <f>T("   AUTRES")</f>
        <v xml:space="preserve">   AUTRES</v>
      </c>
      <c r="C8001" s="4">
        <v>56853</v>
      </c>
      <c r="D8001" s="4">
        <v>80287802</v>
      </c>
    </row>
    <row r="8002" spans="1:4" x14ac:dyDescent="0.25">
      <c r="A8002" t="str">
        <f>T("   850240")</f>
        <v xml:space="preserve">   850240</v>
      </c>
      <c r="B8002" t="str">
        <f>T("   CONVERTISSEURS ROTATIFS ELECTRIQUES")</f>
        <v xml:space="preserve">   CONVERTISSEURS ROTATIFS ELECTRIQUES</v>
      </c>
      <c r="C8002" s="4">
        <v>21</v>
      </c>
      <c r="D8002" s="4">
        <v>11591</v>
      </c>
    </row>
    <row r="8003" spans="1:4" x14ac:dyDescent="0.25">
      <c r="A8003" t="str">
        <f>T("   850300")</f>
        <v xml:space="preserve">   850300</v>
      </c>
      <c r="B8003" t="str">
        <f>T("   PARTIES RECONNAISSABLES COMME ETANT EXCLUSIVEMENT OU PRINCIPALEMENT DESTINEES AUX MACHI")</f>
        <v xml:space="preserve">   PARTIES RECONNAISSABLES COMME ETANT EXCLUSIVEMENT OU PRINCIPALEMENT DESTINEES AUX MACHI</v>
      </c>
      <c r="C8003" s="4">
        <v>45</v>
      </c>
      <c r="D8003" s="4">
        <v>2798176</v>
      </c>
    </row>
    <row r="8004" spans="1:4" x14ac:dyDescent="0.25">
      <c r="A8004" t="str">
        <f>T("   850520")</f>
        <v xml:space="preserve">   850520</v>
      </c>
      <c r="B8004" t="str">
        <f>T("   ACCOUPLEMENTS, EMBRAYAGES, VARIATEURS DE VITESSE ET FREINS ELECTROMAGNETIQUES")</f>
        <v xml:space="preserve">   ACCOUPLEMENTS, EMBRAYAGES, VARIATEURS DE VITESSE ET FREINS ELECTROMAGNETIQUES</v>
      </c>
      <c r="C8004" s="4">
        <v>37.4</v>
      </c>
      <c r="D8004" s="4">
        <v>2177100</v>
      </c>
    </row>
    <row r="8005" spans="1:4" x14ac:dyDescent="0.25">
      <c r="A8005" t="str">
        <f>T("   850680")</f>
        <v xml:space="preserve">   850680</v>
      </c>
      <c r="B8005" t="str">
        <f>T("   AUTRES PILES ET BATTERIES DE PILES")</f>
        <v xml:space="preserve">   AUTRES PILES ET BATTERIES DE PILES</v>
      </c>
      <c r="C8005" s="4">
        <v>1500</v>
      </c>
      <c r="D8005" s="4">
        <v>2653630</v>
      </c>
    </row>
    <row r="8006" spans="1:4" x14ac:dyDescent="0.25">
      <c r="A8006" t="str">
        <f>T("   850780")</f>
        <v xml:space="preserve">   850780</v>
      </c>
      <c r="B8006" t="str">
        <f>T("   AUTRES ACCUMULATEURS")</f>
        <v xml:space="preserve">   AUTRES ACCUMULATEURS</v>
      </c>
      <c r="C8006" s="4">
        <v>2</v>
      </c>
      <c r="D8006" s="4">
        <v>86205</v>
      </c>
    </row>
    <row r="8007" spans="1:4" x14ac:dyDescent="0.25">
      <c r="A8007" t="str">
        <f>T("   850870")</f>
        <v xml:space="preserve">   850870</v>
      </c>
      <c r="B8007" t="str">
        <f>T("   PARTIES")</f>
        <v xml:space="preserve">   PARTIES</v>
      </c>
      <c r="C8007" s="4">
        <v>150</v>
      </c>
      <c r="D8007" s="4">
        <v>350000</v>
      </c>
    </row>
    <row r="8008" spans="1:4" x14ac:dyDescent="0.25">
      <c r="A8008" t="str">
        <f>T("   851180")</f>
        <v xml:space="preserve">   851180</v>
      </c>
      <c r="B8008" t="str">
        <f>T("   AUTRES APPAREILS ET DISPOSITIFS")</f>
        <v xml:space="preserve">   AUTRES APPAREILS ET DISPOSITIFS</v>
      </c>
      <c r="C8008" s="4">
        <v>2000</v>
      </c>
      <c r="D8008" s="4">
        <v>15615179</v>
      </c>
    </row>
    <row r="8009" spans="1:4" x14ac:dyDescent="0.25">
      <c r="A8009" t="str">
        <f>T("   851310")</f>
        <v xml:space="preserve">   851310</v>
      </c>
      <c r="B8009" t="str">
        <f>T("   LAMPES")</f>
        <v xml:space="preserve">   LAMPES</v>
      </c>
      <c r="C8009" s="4">
        <v>400</v>
      </c>
      <c r="D8009" s="4">
        <v>99579</v>
      </c>
    </row>
    <row r="8010" spans="1:4" x14ac:dyDescent="0.25">
      <c r="A8010" t="str">
        <f>T("   851660")</f>
        <v xml:space="preserve">   851660</v>
      </c>
      <c r="B8010" t="str">
        <f>T("   AUTRES FOURS; CUISINIERES, RECHAUDS (Y COMPRIS LES TABLES DE CUISSON), GRILS ET ROTIS")</f>
        <v xml:space="preserve">   AUTRES FOURS; CUISINIERES, RECHAUDS (Y COMPRIS LES TABLES DE CUISSON), GRILS ET ROTIS</v>
      </c>
      <c r="C8010" s="4">
        <v>7573</v>
      </c>
      <c r="D8010" s="4">
        <v>8241364</v>
      </c>
    </row>
    <row r="8011" spans="1:4" x14ac:dyDescent="0.25">
      <c r="A8011" t="str">
        <f>T("   851679")</f>
        <v xml:space="preserve">   851679</v>
      </c>
      <c r="B8011" t="str">
        <f>T("   AUTRES")</f>
        <v xml:space="preserve">   AUTRES</v>
      </c>
      <c r="C8011" s="4">
        <v>75</v>
      </c>
      <c r="D8011" s="4">
        <v>448106</v>
      </c>
    </row>
    <row r="8012" spans="1:4" x14ac:dyDescent="0.25">
      <c r="A8012" t="str">
        <f>T("   851712")</f>
        <v xml:space="preserve">   851712</v>
      </c>
      <c r="B8012" t="str">
        <f>T("   TELEPHONES POUR RESEAUX CELLULAIRES ET POUR AUTRES RESEAUX SANS FIL")</f>
        <v xml:space="preserve">   TELEPHONES POUR RESEAUX CELLULAIRES ET POUR AUTRES RESEAUX SANS FIL</v>
      </c>
      <c r="C8012" s="4">
        <v>1908</v>
      </c>
      <c r="D8012" s="4">
        <v>235030468</v>
      </c>
    </row>
    <row r="8013" spans="1:4" x14ac:dyDescent="0.25">
      <c r="A8013" t="str">
        <f>T("   851769")</f>
        <v xml:space="preserve">   851769</v>
      </c>
      <c r="B8013" t="str">
        <f>T("   AUTRES")</f>
        <v xml:space="preserve">   AUTRES</v>
      </c>
      <c r="C8013" s="4">
        <v>25</v>
      </c>
      <c r="D8013" s="4">
        <v>1286237</v>
      </c>
    </row>
    <row r="8014" spans="1:4" x14ac:dyDescent="0.25">
      <c r="A8014" t="str">
        <f>T("   851840")</f>
        <v xml:space="preserve">   851840</v>
      </c>
      <c r="B8014" t="str">
        <f>T("   AMPLIFICATEURS ELECTRIQUES D'AUDIOFREQUENCE")</f>
        <v xml:space="preserve">   AMPLIFICATEURS ELECTRIQUES D'AUDIOFREQUENCE</v>
      </c>
      <c r="C8014" s="4">
        <v>153</v>
      </c>
      <c r="D8014" s="4">
        <v>201202</v>
      </c>
    </row>
    <row r="8015" spans="1:4" x14ac:dyDescent="0.25">
      <c r="A8015" t="str">
        <f>T("   852560")</f>
        <v xml:space="preserve">   852560</v>
      </c>
      <c r="B8015" t="str">
        <f>T("   APPAREILS D'EMISSION INCORPORANT UN APPAREIL DE RECEPTION")</f>
        <v xml:space="preserve">   APPAREILS D'EMISSION INCORPORANT UN APPAREIL DE RECEPTION</v>
      </c>
      <c r="C8015" s="4">
        <v>9930</v>
      </c>
      <c r="D8015" s="4">
        <v>19694889</v>
      </c>
    </row>
    <row r="8016" spans="1:4" x14ac:dyDescent="0.25">
      <c r="A8016" t="str">
        <f>T("   852719")</f>
        <v xml:space="preserve">   852719</v>
      </c>
      <c r="B8016" t="str">
        <f>T("   AUTRES")</f>
        <v xml:space="preserve">   AUTRES</v>
      </c>
      <c r="C8016" s="4">
        <v>263</v>
      </c>
      <c r="D8016" s="4">
        <v>32328332</v>
      </c>
    </row>
    <row r="8017" spans="1:4" x14ac:dyDescent="0.25">
      <c r="A8017" t="str">
        <f>T("   853110")</f>
        <v xml:space="preserve">   853110</v>
      </c>
      <c r="B8017" t="str">
        <f>T("   AVERTISSEURS ELECTRIQUES POUR LA PROTECTION CONTRE LE VOL OU L'INCENDIE ET APPAREILS")</f>
        <v xml:space="preserve">   AVERTISSEURS ELECTRIQUES POUR LA PROTECTION CONTRE LE VOL OU L'INCENDIE ET APPAREILS</v>
      </c>
      <c r="C8017" s="4">
        <v>16</v>
      </c>
      <c r="D8017" s="4">
        <v>2056435</v>
      </c>
    </row>
    <row r="8018" spans="1:4" x14ac:dyDescent="0.25">
      <c r="A8018" t="str">
        <f>T("   853510")</f>
        <v xml:space="preserve">   853510</v>
      </c>
      <c r="B8018" t="str">
        <f>T("   FUSIBLES ET COUPECIRCUIT A FUSIBLES")</f>
        <v xml:space="preserve">   FUSIBLES ET COUPECIRCUIT A FUSIBLES</v>
      </c>
      <c r="C8018" s="4">
        <v>14.1</v>
      </c>
      <c r="D8018" s="4">
        <v>1117777</v>
      </c>
    </row>
    <row r="8019" spans="1:4" x14ac:dyDescent="0.25">
      <c r="A8019" t="str">
        <f>T("   853530")</f>
        <v xml:space="preserve">   853530</v>
      </c>
      <c r="B8019" t="str">
        <f>T("   SECTIONNEURS ET INTERRUPTEURS")</f>
        <v xml:space="preserve">   SECTIONNEURS ET INTERRUPTEURS</v>
      </c>
      <c r="C8019" s="4">
        <v>2</v>
      </c>
      <c r="D8019" s="4">
        <v>11807</v>
      </c>
    </row>
    <row r="8020" spans="1:4" x14ac:dyDescent="0.25">
      <c r="A8020" t="str">
        <f>T("   853590")</f>
        <v xml:space="preserve">   853590</v>
      </c>
      <c r="B8020" t="str">
        <f>T("   AUTRES")</f>
        <v xml:space="preserve">   AUTRES</v>
      </c>
      <c r="C8020" s="4">
        <v>13.5</v>
      </c>
      <c r="D8020" s="4">
        <v>1474270</v>
      </c>
    </row>
    <row r="8021" spans="1:4" x14ac:dyDescent="0.25">
      <c r="A8021" t="str">
        <f>T("   853620")</f>
        <v xml:space="preserve">   853620</v>
      </c>
      <c r="B8021" t="str">
        <f>T("   DISJONCTEURS")</f>
        <v xml:space="preserve">   DISJONCTEURS</v>
      </c>
      <c r="C8021" s="4">
        <v>800</v>
      </c>
      <c r="D8021" s="4">
        <v>1918709</v>
      </c>
    </row>
    <row r="8022" spans="1:4" x14ac:dyDescent="0.25">
      <c r="A8022" t="str">
        <f>T("   853669")</f>
        <v xml:space="preserve">   853669</v>
      </c>
      <c r="B8022" t="str">
        <f>T("   AUTRES")</f>
        <v xml:space="preserve">   AUTRES</v>
      </c>
      <c r="C8022" s="4">
        <v>14</v>
      </c>
      <c r="D8022" s="4">
        <v>2201696</v>
      </c>
    </row>
    <row r="8023" spans="1:4" x14ac:dyDescent="0.25">
      <c r="A8023" t="str">
        <f>T("   853690")</f>
        <v xml:space="preserve">   853690</v>
      </c>
      <c r="B8023" t="str">
        <f>T("   AUTRES APPAREILS")</f>
        <v xml:space="preserve">   AUTRES APPAREILS</v>
      </c>
      <c r="C8023" s="4">
        <v>200</v>
      </c>
      <c r="D8023" s="4">
        <v>532475</v>
      </c>
    </row>
    <row r="8024" spans="1:4" x14ac:dyDescent="0.25">
      <c r="A8024" t="str">
        <f>T("   853720")</f>
        <v xml:space="preserve">   853720</v>
      </c>
      <c r="B8024" t="str">
        <f>T("   POUR UNE TENSION EXCEDANT 1.000 V")</f>
        <v xml:space="preserve">   POUR UNE TENSION EXCEDANT 1.000 V</v>
      </c>
      <c r="C8024" s="4">
        <v>468</v>
      </c>
      <c r="D8024" s="4">
        <v>2000546</v>
      </c>
    </row>
    <row r="8025" spans="1:4" x14ac:dyDescent="0.25">
      <c r="A8025" t="str">
        <f>T("   854420")</f>
        <v xml:space="preserve">   854420</v>
      </c>
      <c r="B8025" t="str">
        <f>T("   Cables coaxiaux et autres conducteurs electriques coaxiaux")</f>
        <v xml:space="preserve">   Cables coaxiaux et autres conducteurs electriques coaxiaux</v>
      </c>
      <c r="C8025" s="4">
        <v>39</v>
      </c>
      <c r="D8025" s="4">
        <v>121006</v>
      </c>
    </row>
    <row r="8026" spans="1:4" x14ac:dyDescent="0.25">
      <c r="A8026" t="str">
        <f>T("   854449")</f>
        <v xml:space="preserve">   854449</v>
      </c>
      <c r="B8026" t="str">
        <f>T("   AUTRES")</f>
        <v xml:space="preserve">   AUTRES</v>
      </c>
      <c r="C8026" s="4">
        <v>35571</v>
      </c>
      <c r="D8026" s="4">
        <v>13623431</v>
      </c>
    </row>
    <row r="8027" spans="1:4" x14ac:dyDescent="0.25">
      <c r="A8027" t="str">
        <f>T("   870322")</f>
        <v xml:space="preserve">   870322</v>
      </c>
      <c r="B8027" t="str">
        <f>T("   D’UNE CYLINDREE EXCEDANT 1.000 CM³ MAIS N’EXCEDANT PAS 1.500 CM³")</f>
        <v xml:space="preserve">   D’UNE CYLINDREE EXCEDANT 1.000 CM³ MAIS N’EXCEDANT PAS 1.500 CM³</v>
      </c>
      <c r="C8027" s="4">
        <v>1050</v>
      </c>
      <c r="D8027" s="4">
        <v>2616626</v>
      </c>
    </row>
    <row r="8028" spans="1:4" x14ac:dyDescent="0.25">
      <c r="A8028" t="str">
        <f>T("   870323")</f>
        <v xml:space="preserve">   870323</v>
      </c>
      <c r="B8028" t="str">
        <f>T("   D’UNE CYLINDREE EXCEDANT 1.500 CM³ MAIS N’EXCEDANT PAS 3.000 CM³")</f>
        <v xml:space="preserve">   D’UNE CYLINDREE EXCEDANT 1.500 CM³ MAIS N’EXCEDANT PAS 3.000 CM³</v>
      </c>
      <c r="C8028" s="4">
        <v>1000</v>
      </c>
      <c r="D8028" s="4">
        <v>1991584</v>
      </c>
    </row>
    <row r="8029" spans="1:4" x14ac:dyDescent="0.25">
      <c r="A8029" t="str">
        <f>T("   870421")</f>
        <v xml:space="preserve">   870421</v>
      </c>
      <c r="B8029" t="str">
        <f>T("   D'UN POIDS EN CHARGE MAXIMAL N'EXCEDANT PAS 5 TONNES")</f>
        <v xml:space="preserve">   D'UN POIDS EN CHARGE MAXIMAL N'EXCEDANT PAS 5 TONNES</v>
      </c>
      <c r="C8029" s="4">
        <v>11000</v>
      </c>
      <c r="D8029" s="4">
        <v>15076129</v>
      </c>
    </row>
    <row r="8030" spans="1:4" x14ac:dyDescent="0.25">
      <c r="A8030" t="str">
        <f>T("   870899")</f>
        <v xml:space="preserve">   870899</v>
      </c>
      <c r="B8030" t="str">
        <f>T("   AUTRES")</f>
        <v xml:space="preserve">   AUTRES</v>
      </c>
      <c r="C8030" s="4">
        <v>3360</v>
      </c>
      <c r="D8030" s="4">
        <v>4800160</v>
      </c>
    </row>
    <row r="8031" spans="1:4" x14ac:dyDescent="0.25">
      <c r="A8031" t="str">
        <f>T("   901600")</f>
        <v xml:space="preserve">   901600</v>
      </c>
      <c r="B8031" t="str">
        <f>T("   BALANCES SENSIBLES A UN POIDS DE 5 CG OU MOINS, AVEC OU SANS POIDS.")</f>
        <v xml:space="preserve">   BALANCES SENSIBLES A UN POIDS DE 5 CG OU MOINS, AVEC OU SANS POIDS.</v>
      </c>
      <c r="C8031" s="4">
        <v>70</v>
      </c>
      <c r="D8031" s="4">
        <v>286366</v>
      </c>
    </row>
    <row r="8032" spans="1:4" x14ac:dyDescent="0.25">
      <c r="A8032" t="str">
        <f>T("   902290")</f>
        <v xml:space="preserve">   902290</v>
      </c>
      <c r="B8032" t="str">
        <f>T("   AUTRES, Y COMPRIS LES PARTIES ET ACCESSOIRES")</f>
        <v xml:space="preserve">   AUTRES, Y COMPRIS LES PARTIES ET ACCESSOIRES</v>
      </c>
      <c r="C8032" s="4">
        <v>50</v>
      </c>
      <c r="D8032" s="4">
        <v>1075455</v>
      </c>
    </row>
    <row r="8033" spans="1:4" x14ac:dyDescent="0.25">
      <c r="A8033" t="str">
        <f>T("   902580")</f>
        <v xml:space="preserve">   902580</v>
      </c>
      <c r="B8033" t="str">
        <f>T("   AUTRES INSTRUMENTS")</f>
        <v xml:space="preserve">   AUTRES INSTRUMENTS</v>
      </c>
      <c r="C8033" s="4">
        <v>8</v>
      </c>
      <c r="D8033" s="4">
        <v>255919</v>
      </c>
    </row>
    <row r="8034" spans="1:4" x14ac:dyDescent="0.25">
      <c r="A8034" t="str">
        <f>T("   902780")</f>
        <v xml:space="preserve">   902780</v>
      </c>
      <c r="B8034" t="str">
        <f>T("   AUTRES INSTRUMENTS ET APPAREILS")</f>
        <v xml:space="preserve">   AUTRES INSTRUMENTS ET APPAREILS</v>
      </c>
      <c r="C8034" s="4">
        <v>44</v>
      </c>
      <c r="D8034" s="4">
        <v>152605</v>
      </c>
    </row>
    <row r="8035" spans="1:4" x14ac:dyDescent="0.25">
      <c r="A8035" t="str">
        <f>T("   940389")</f>
        <v xml:space="preserve">   940389</v>
      </c>
      <c r="B8035" t="str">
        <f>T("   AUTRES")</f>
        <v xml:space="preserve">   AUTRES</v>
      </c>
      <c r="C8035" s="4">
        <v>6246</v>
      </c>
      <c r="D8035" s="4">
        <v>2712545</v>
      </c>
    </row>
    <row r="8036" spans="1:4" x14ac:dyDescent="0.25">
      <c r="A8036" t="str">
        <f>T("   940390")</f>
        <v xml:space="preserve">   940390</v>
      </c>
      <c r="B8036" t="str">
        <f>T("   PARTIES")</f>
        <v xml:space="preserve">   PARTIES</v>
      </c>
      <c r="C8036" s="4">
        <v>640</v>
      </c>
      <c r="D8036" s="4">
        <v>591602</v>
      </c>
    </row>
    <row r="8037" spans="1:4" x14ac:dyDescent="0.25">
      <c r="A8037" t="str">
        <f>T("   940490")</f>
        <v xml:space="preserve">   940490</v>
      </c>
      <c r="B8037" t="str">
        <f>T("   AUTRES")</f>
        <v xml:space="preserve">   AUTRES</v>
      </c>
      <c r="C8037" s="4">
        <v>1323</v>
      </c>
      <c r="D8037" s="4">
        <v>1117330</v>
      </c>
    </row>
    <row r="8038" spans="1:4" x14ac:dyDescent="0.25">
      <c r="A8038" t="str">
        <f>T("   940510")</f>
        <v xml:space="preserve">   940510</v>
      </c>
      <c r="B8038" t="str">
        <f>T("   LUSTRES ET AUTRES APPAREILS D'ECLAIRAGE ELECTRIQUES A SUSPENDRE OU A FIXER AU PLAFOND")</f>
        <v xml:space="preserve">   LUSTRES ET AUTRES APPAREILS D'ECLAIRAGE ELECTRIQUES A SUSPENDRE OU A FIXER AU PLAFOND</v>
      </c>
      <c r="C8038" s="4">
        <v>250</v>
      </c>
      <c r="D8038" s="4">
        <v>6955109</v>
      </c>
    </row>
    <row r="8039" spans="1:4" x14ac:dyDescent="0.25">
      <c r="A8039" t="str">
        <f>T("   940540")</f>
        <v xml:space="preserve">   940540</v>
      </c>
      <c r="B8039" t="str">
        <f>T("   AUTRES APPAREILS D'ECLAIRAGE ELECTRIQUES")</f>
        <v xml:space="preserve">   AUTRES APPAREILS D'ECLAIRAGE ELECTRIQUES</v>
      </c>
      <c r="C8039" s="4">
        <v>40</v>
      </c>
      <c r="D8039" s="4">
        <v>183669</v>
      </c>
    </row>
    <row r="8040" spans="1:4" x14ac:dyDescent="0.25">
      <c r="A8040" t="str">
        <f>T("   950410")</f>
        <v xml:space="preserve">   950410</v>
      </c>
      <c r="B8040" t="str">
        <f>T("   JEUX VIDEO DES TYPES UTILISABLES AVEC UN RECEPTEUR DE TELEVISION")</f>
        <v xml:space="preserve">   JEUX VIDEO DES TYPES UTILISABLES AVEC UN RECEPTEUR DE TELEVISION</v>
      </c>
      <c r="C8040" s="4">
        <v>127</v>
      </c>
      <c r="D8040" s="4">
        <v>23749639</v>
      </c>
    </row>
    <row r="8041" spans="1:4" x14ac:dyDescent="0.25">
      <c r="A8041" t="str">
        <f>T("   950490")</f>
        <v xml:space="preserve">   950490</v>
      </c>
      <c r="B8041" t="str">
        <f>T("   AUTRES")</f>
        <v xml:space="preserve">   AUTRES</v>
      </c>
      <c r="C8041" s="4">
        <v>112</v>
      </c>
      <c r="D8041" s="4">
        <v>400000</v>
      </c>
    </row>
    <row r="8042" spans="1:4" x14ac:dyDescent="0.25">
      <c r="A8042" t="str">
        <f>T("   960719")</f>
        <v xml:space="preserve">   960719</v>
      </c>
      <c r="B8042" t="str">
        <f>T("   AUTRES")</f>
        <v xml:space="preserve">   AUTRES</v>
      </c>
      <c r="C8042" s="4">
        <v>120</v>
      </c>
      <c r="D8042" s="4">
        <v>120000</v>
      </c>
    </row>
    <row r="8043" spans="1:4" s="5" customFormat="1" x14ac:dyDescent="0.25">
      <c r="A8043" s="5" t="str">
        <f>T("   ZZ_Total_Produit_SH6")</f>
        <v xml:space="preserve">   ZZ_Total_Produit_SH6</v>
      </c>
      <c r="B8043" s="5" t="str">
        <f>T("   ZZ_Total_Produit_SH6")</f>
        <v xml:space="preserve">   ZZ_Total_Produit_SH6</v>
      </c>
      <c r="C8043" s="1">
        <v>6886447.5999999996</v>
      </c>
      <c r="D8043" s="1">
        <v>3920884672</v>
      </c>
    </row>
    <row r="8044" spans="1:4" s="5" customFormat="1" x14ac:dyDescent="0.25">
      <c r="B8044" s="5" t="str">
        <f>T("Liechtenstein")</f>
        <v>Liechtenstein</v>
      </c>
      <c r="C8044" s="1"/>
      <c r="D8044" s="1"/>
    </row>
    <row r="8045" spans="1:4" x14ac:dyDescent="0.25">
      <c r="A8045" t="str">
        <f>T("   080810")</f>
        <v xml:space="preserve">   080810</v>
      </c>
      <c r="B8045" t="str">
        <f>T("   POMMES")</f>
        <v xml:space="preserve">   POMMES</v>
      </c>
      <c r="C8045" s="4">
        <v>1850</v>
      </c>
      <c r="D8045" s="4">
        <v>555000</v>
      </c>
    </row>
    <row r="8046" spans="1:4" x14ac:dyDescent="0.25">
      <c r="A8046" t="str">
        <f>T("   271019")</f>
        <v xml:space="preserve">   271019</v>
      </c>
      <c r="B8046" t="str">
        <f>T("   AUTRES")</f>
        <v xml:space="preserve">   AUTRES</v>
      </c>
      <c r="C8046" s="4">
        <v>26800</v>
      </c>
      <c r="D8046" s="4">
        <v>14744000</v>
      </c>
    </row>
    <row r="8047" spans="1:4" x14ac:dyDescent="0.25">
      <c r="A8047" t="str">
        <f>T("   321590")</f>
        <v xml:space="preserve">   321590</v>
      </c>
      <c r="B8047" t="str">
        <f>T("   AUTRES")</f>
        <v xml:space="preserve">   AUTRES</v>
      </c>
      <c r="C8047" s="4">
        <v>56.6</v>
      </c>
      <c r="D8047" s="4">
        <v>177109</v>
      </c>
    </row>
    <row r="8048" spans="1:4" x14ac:dyDescent="0.25">
      <c r="A8048" t="str">
        <f>T("   490199")</f>
        <v xml:space="preserve">   490199</v>
      </c>
      <c r="B8048" t="str">
        <f>T("   AUTRES")</f>
        <v xml:space="preserve">   AUTRES</v>
      </c>
      <c r="C8048" s="4">
        <v>888</v>
      </c>
      <c r="D8048" s="4">
        <v>1577980</v>
      </c>
    </row>
    <row r="8049" spans="1:4" x14ac:dyDescent="0.25">
      <c r="A8049" t="str">
        <f>T("   830520")</f>
        <v xml:space="preserve">   830520</v>
      </c>
      <c r="B8049" t="str">
        <f>T("   AGRAFES PRESENTEES EN BARRETTES")</f>
        <v xml:space="preserve">   AGRAFES PRESENTEES EN BARRETTES</v>
      </c>
      <c r="C8049" s="4">
        <v>195</v>
      </c>
      <c r="D8049" s="4">
        <v>857023</v>
      </c>
    </row>
    <row r="8050" spans="1:4" x14ac:dyDescent="0.25">
      <c r="A8050" t="str">
        <f>T("   844319")</f>
        <v xml:space="preserve">   844319</v>
      </c>
      <c r="B8050" t="str">
        <f>T("   AUTRES")</f>
        <v xml:space="preserve">   AUTRES</v>
      </c>
      <c r="C8050" s="4">
        <v>172.4</v>
      </c>
      <c r="D8050" s="4">
        <v>358859</v>
      </c>
    </row>
    <row r="8051" spans="1:4" x14ac:dyDescent="0.25">
      <c r="A8051" t="str">
        <f>T("   844391")</f>
        <v xml:space="preserve">   844391</v>
      </c>
      <c r="B8051" t="str">
        <f>T("   PARTIES ET ACCESSOIRES DE MACHINES ET D’APPAREILS SERVANT A L’IMPRESSION AU MOYEN DE")</f>
        <v xml:space="preserve">   PARTIES ET ACCESSOIRES DE MACHINES ET D’APPAREILS SERVANT A L’IMPRESSION AU MOYEN DE</v>
      </c>
      <c r="C8051" s="4">
        <v>100</v>
      </c>
      <c r="D8051" s="4">
        <v>238848</v>
      </c>
    </row>
    <row r="8052" spans="1:4" x14ac:dyDescent="0.25">
      <c r="A8052" t="str">
        <f>T("   847180")</f>
        <v xml:space="preserve">   847180</v>
      </c>
      <c r="B8052" t="str">
        <f>T("   AUTRES UNITES DE MACHINES AUTOMATIQUES DE TRAITEMENT DE L'INFORMATION")</f>
        <v xml:space="preserve">   AUTRES UNITES DE MACHINES AUTOMATIQUES DE TRAITEMENT DE L'INFORMATION</v>
      </c>
      <c r="C8052" s="4">
        <v>560</v>
      </c>
      <c r="D8052" s="4">
        <v>2406844</v>
      </c>
    </row>
    <row r="8053" spans="1:4" x14ac:dyDescent="0.25">
      <c r="A8053" t="str">
        <f>T("   847190")</f>
        <v xml:space="preserve">   847190</v>
      </c>
      <c r="B8053" t="str">
        <f>T("   AUTRES")</f>
        <v xml:space="preserve">   AUTRES</v>
      </c>
      <c r="C8053" s="4">
        <v>90</v>
      </c>
      <c r="D8053" s="4">
        <v>400581</v>
      </c>
    </row>
    <row r="8054" spans="1:4" x14ac:dyDescent="0.25">
      <c r="A8054" t="str">
        <f>T("   851769")</f>
        <v xml:space="preserve">   851769</v>
      </c>
      <c r="B8054" t="str">
        <f>T("   AUTRES")</f>
        <v xml:space="preserve">   AUTRES</v>
      </c>
      <c r="C8054" s="4">
        <v>522</v>
      </c>
      <c r="D8054" s="4">
        <v>1743806</v>
      </c>
    </row>
    <row r="8055" spans="1:4" x14ac:dyDescent="0.25">
      <c r="A8055" t="str">
        <f>T("   851770")</f>
        <v xml:space="preserve">   851770</v>
      </c>
      <c r="B8055" t="str">
        <f>T("   PARTIES")</f>
        <v xml:space="preserve">   PARTIES</v>
      </c>
      <c r="C8055" s="4">
        <v>556</v>
      </c>
      <c r="D8055" s="4">
        <v>1736860</v>
      </c>
    </row>
    <row r="8056" spans="1:4" x14ac:dyDescent="0.25">
      <c r="A8056" t="str">
        <f>T("   853620")</f>
        <v xml:space="preserve">   853620</v>
      </c>
      <c r="B8056" t="str">
        <f>T("   DISJONCTEURS")</f>
        <v xml:space="preserve">   DISJONCTEURS</v>
      </c>
      <c r="C8056" s="4">
        <v>260</v>
      </c>
      <c r="D8056" s="4">
        <v>700560</v>
      </c>
    </row>
    <row r="8057" spans="1:4" s="5" customFormat="1" x14ac:dyDescent="0.25">
      <c r="A8057" s="5" t="str">
        <f>T("   ZZ_Total_Produit_SH6")</f>
        <v xml:space="preserve">   ZZ_Total_Produit_SH6</v>
      </c>
      <c r="B8057" s="5" t="str">
        <f>T("   ZZ_Total_Produit_SH6")</f>
        <v xml:space="preserve">   ZZ_Total_Produit_SH6</v>
      </c>
      <c r="C8057" s="1">
        <v>32050</v>
      </c>
      <c r="D8057" s="1">
        <v>25497470</v>
      </c>
    </row>
    <row r="8058" spans="1:4" s="5" customFormat="1" x14ac:dyDescent="0.25">
      <c r="B8058" s="5" t="str">
        <f>T("Sri Lanka")</f>
        <v>Sri Lanka</v>
      </c>
      <c r="C8058" s="1"/>
      <c r="D8058" s="1"/>
    </row>
    <row r="8059" spans="1:4" x14ac:dyDescent="0.25">
      <c r="A8059" t="str">
        <f>T("   090230")</f>
        <v xml:space="preserve">   090230</v>
      </c>
      <c r="B8059" t="str">
        <f>T("   THE NOIR (FERMENTE) ET THE PARTIELLEMENT FERMENTE, PRESENTES EN EMBALLAGES IMMEDIATS")</f>
        <v xml:space="preserve">   THE NOIR (FERMENTE) ET THE PARTIELLEMENT FERMENTE, PRESENTES EN EMBALLAGES IMMEDIATS</v>
      </c>
      <c r="C8059" s="4">
        <v>7758</v>
      </c>
      <c r="D8059" s="4">
        <v>3493500</v>
      </c>
    </row>
    <row r="8060" spans="1:4" x14ac:dyDescent="0.25">
      <c r="A8060" t="str">
        <f>T("   090240")</f>
        <v xml:space="preserve">   090240</v>
      </c>
      <c r="B8060" t="str">
        <f>T("   THE NOIR (FERMENTE) ET THE PARTIELLEMENT FERMENTE, PRESENTES AUTREMENT")</f>
        <v xml:space="preserve">   THE NOIR (FERMENTE) ET THE PARTIELLEMENT FERMENTE, PRESENTES AUTREMENT</v>
      </c>
      <c r="C8060" s="4">
        <v>20552</v>
      </c>
      <c r="D8060" s="4">
        <v>13078922</v>
      </c>
    </row>
    <row r="8061" spans="1:4" x14ac:dyDescent="0.25">
      <c r="A8061" t="str">
        <f>T("   843860")</f>
        <v xml:space="preserve">   843860</v>
      </c>
      <c r="B8061" t="str">
        <f>T("   MACHINES ET APPAREILS POUR LA PREPARATION DES FRUITS OU DES LEGUMES")</f>
        <v xml:space="preserve">   MACHINES ET APPAREILS POUR LA PREPARATION DES FRUITS OU DES LEGUMES</v>
      </c>
      <c r="C8061" s="4">
        <v>3250</v>
      </c>
      <c r="D8061" s="4">
        <v>32917896</v>
      </c>
    </row>
    <row r="8062" spans="1:4" x14ac:dyDescent="0.25">
      <c r="A8062" t="str">
        <f>T("   960310")</f>
        <v xml:space="preserve">   960310</v>
      </c>
      <c r="B8062" t="str">
        <f>T("   BALAIS ET BALAYETTES CONSISTANT EN BRINDILLES OU AUTRES MATIERES VEGETALES EN BOTTES")</f>
        <v xml:space="preserve">   BALAIS ET BALAYETTES CONSISTANT EN BRINDILLES OU AUTRES MATIERES VEGETALES EN BOTTES</v>
      </c>
      <c r="C8062" s="4">
        <v>5610</v>
      </c>
      <c r="D8062" s="4">
        <v>3691760</v>
      </c>
    </row>
    <row r="8063" spans="1:4" s="5" customFormat="1" x14ac:dyDescent="0.25">
      <c r="A8063" s="5" t="str">
        <f>T("   ZZ_Total_Produit_SH6")</f>
        <v xml:space="preserve">   ZZ_Total_Produit_SH6</v>
      </c>
      <c r="B8063" s="5" t="str">
        <f>T("   ZZ_Total_Produit_SH6")</f>
        <v xml:space="preserve">   ZZ_Total_Produit_SH6</v>
      </c>
      <c r="C8063" s="1">
        <v>37170</v>
      </c>
      <c r="D8063" s="1">
        <v>53182078</v>
      </c>
    </row>
    <row r="8064" spans="1:4" s="5" customFormat="1" x14ac:dyDescent="0.25">
      <c r="B8064" s="5" t="str">
        <f>T("Libéria")</f>
        <v>Libéria</v>
      </c>
      <c r="C8064" s="1"/>
      <c r="D8064" s="1"/>
    </row>
    <row r="8065" spans="1:4" x14ac:dyDescent="0.25">
      <c r="A8065" t="str">
        <f>T("   841590")</f>
        <v xml:space="preserve">   841590</v>
      </c>
      <c r="B8065" t="str">
        <f>T("   PARTIES")</f>
        <v xml:space="preserve">   PARTIES</v>
      </c>
      <c r="C8065" s="4">
        <v>101</v>
      </c>
      <c r="D8065" s="4">
        <v>145000</v>
      </c>
    </row>
    <row r="8066" spans="1:4" s="5" customFormat="1" x14ac:dyDescent="0.25">
      <c r="A8066" s="5" t="str">
        <f>T("   ZZ_Total_Produit_SH6")</f>
        <v xml:space="preserve">   ZZ_Total_Produit_SH6</v>
      </c>
      <c r="B8066" s="5" t="str">
        <f>T("   ZZ_Total_Produit_SH6")</f>
        <v xml:space="preserve">   ZZ_Total_Produit_SH6</v>
      </c>
      <c r="C8066" s="1">
        <v>101</v>
      </c>
      <c r="D8066" s="1">
        <v>145000</v>
      </c>
    </row>
    <row r="8067" spans="1:4" s="5" customFormat="1" x14ac:dyDescent="0.25">
      <c r="B8067" s="5" t="str">
        <f>T("Lesotho")</f>
        <v>Lesotho</v>
      </c>
      <c r="C8067" s="1"/>
      <c r="D8067" s="1"/>
    </row>
    <row r="8068" spans="1:4" x14ac:dyDescent="0.25">
      <c r="A8068" t="str">
        <f>T("   741490")</f>
        <v xml:space="preserve">   741490</v>
      </c>
      <c r="B8068" t="str">
        <f>T("   AUTRES TOILES METALLIQUES,GRILLAGES,...TOLES,BANDES DEPLOYEES EN CUIVRE")</f>
        <v xml:space="preserve">   AUTRES TOILES METALLIQUES,GRILLAGES,...TOLES,BANDES DEPLOYEES EN CUIVRE</v>
      </c>
      <c r="C8068" s="4">
        <v>68</v>
      </c>
      <c r="D8068" s="4">
        <v>68000</v>
      </c>
    </row>
    <row r="8069" spans="1:4" s="5" customFormat="1" x14ac:dyDescent="0.25">
      <c r="A8069" s="5" t="str">
        <f>T("   ZZ_Total_Produit_SH6")</f>
        <v xml:space="preserve">   ZZ_Total_Produit_SH6</v>
      </c>
      <c r="B8069" s="5" t="str">
        <f>T("   ZZ_Total_Produit_SH6")</f>
        <v xml:space="preserve">   ZZ_Total_Produit_SH6</v>
      </c>
      <c r="C8069" s="1">
        <v>68</v>
      </c>
      <c r="D8069" s="1">
        <v>68000</v>
      </c>
    </row>
    <row r="8070" spans="1:4" s="5" customFormat="1" x14ac:dyDescent="0.25">
      <c r="B8070" s="5" t="str">
        <f>T("Lituanie")</f>
        <v>Lituanie</v>
      </c>
      <c r="C8070" s="1"/>
      <c r="D8070" s="1"/>
    </row>
    <row r="8071" spans="1:4" x14ac:dyDescent="0.25">
      <c r="A8071" t="str">
        <f>T("   030219")</f>
        <v xml:space="preserve">   030219</v>
      </c>
      <c r="B8071" t="str">
        <f>T("   AUTRES")</f>
        <v xml:space="preserve">   AUTRES</v>
      </c>
      <c r="C8071" s="4">
        <v>1232850</v>
      </c>
      <c r="D8071" s="4">
        <v>493140000</v>
      </c>
    </row>
    <row r="8072" spans="1:4" x14ac:dyDescent="0.25">
      <c r="A8072" t="str">
        <f>T("   030379")</f>
        <v xml:space="preserve">   030379</v>
      </c>
      <c r="B8072" t="str">
        <f>T("   AUTRES POISSONS ENTIERS CONGELES.(FOIES,OEUFS,LAITANCES EXCLUS)")</f>
        <v xml:space="preserve">   AUTRES POISSONS ENTIERS CONGELES.(FOIES,OEUFS,LAITANCES EXCLUS)</v>
      </c>
      <c r="C8072" s="4">
        <v>1171500</v>
      </c>
      <c r="D8072" s="4">
        <v>468600000</v>
      </c>
    </row>
    <row r="8073" spans="1:4" x14ac:dyDescent="0.25">
      <c r="A8073" t="str">
        <f>T("   481013")</f>
        <v xml:space="preserve">   481013</v>
      </c>
      <c r="B8073" t="str">
        <f>T("   EN ROULEAUX")</f>
        <v xml:space="preserve">   EN ROULEAUX</v>
      </c>
      <c r="C8073" s="4">
        <v>5400</v>
      </c>
      <c r="D8073" s="4">
        <v>6188307</v>
      </c>
    </row>
    <row r="8074" spans="1:4" x14ac:dyDescent="0.25">
      <c r="A8074" t="str">
        <f>T("   630900")</f>
        <v xml:space="preserve">   630900</v>
      </c>
      <c r="B8074" t="str">
        <f>T("   ARTICLES DE FRIPERIE.")</f>
        <v xml:space="preserve">   ARTICLES DE FRIPERIE.</v>
      </c>
      <c r="C8074" s="4">
        <v>460816</v>
      </c>
      <c r="D8074" s="4">
        <v>298801862</v>
      </c>
    </row>
    <row r="8075" spans="1:4" s="5" customFormat="1" x14ac:dyDescent="0.25">
      <c r="A8075" s="5" t="str">
        <f>T("   ZZ_Total_Produit_SH6")</f>
        <v xml:space="preserve">   ZZ_Total_Produit_SH6</v>
      </c>
      <c r="B8075" s="5" t="str">
        <f>T("   ZZ_Total_Produit_SH6")</f>
        <v xml:space="preserve">   ZZ_Total_Produit_SH6</v>
      </c>
      <c r="C8075" s="1">
        <v>2870566</v>
      </c>
      <c r="D8075" s="1">
        <v>1266730169</v>
      </c>
    </row>
    <row r="8076" spans="1:4" s="5" customFormat="1" x14ac:dyDescent="0.25">
      <c r="B8076" s="5" t="str">
        <f>T("Luxembourg")</f>
        <v>Luxembourg</v>
      </c>
      <c r="C8076" s="1"/>
      <c r="D8076" s="1"/>
    </row>
    <row r="8077" spans="1:4" x14ac:dyDescent="0.25">
      <c r="A8077" t="str">
        <f>T("   721061")</f>
        <v xml:space="preserve">   721061</v>
      </c>
      <c r="B8077" t="str">
        <f>T("   REVETUS D'ALLIAGES D'ALUMINIUM ET DE ZINC")</f>
        <v xml:space="preserve">   REVETUS D'ALLIAGES D'ALUMINIUM ET DE ZINC</v>
      </c>
      <c r="C8077" s="4">
        <v>91236</v>
      </c>
      <c r="D8077" s="4">
        <v>46918589</v>
      </c>
    </row>
    <row r="8078" spans="1:4" x14ac:dyDescent="0.25">
      <c r="A8078" t="str">
        <f>T("   721399")</f>
        <v xml:space="preserve">   721399</v>
      </c>
      <c r="B8078" t="str">
        <f>T("   AUTRES")</f>
        <v xml:space="preserve">   AUTRES</v>
      </c>
      <c r="C8078" s="4">
        <v>2446400</v>
      </c>
      <c r="D8078" s="4">
        <v>809598478</v>
      </c>
    </row>
    <row r="8079" spans="1:4" x14ac:dyDescent="0.25">
      <c r="A8079" t="str">
        <f>T("   841850")</f>
        <v xml:space="preserve">   841850</v>
      </c>
      <c r="B8079" t="str">
        <f>T("   AUTRES MEUBLES (COFFRES, ARMOIRES, VITRINES, COMPTOIRS ET SIMILAIRES), POUR LA CONSER")</f>
        <v xml:space="preserve">   AUTRES MEUBLES (COFFRES, ARMOIRES, VITRINES, COMPTOIRS ET SIMILAIRES), POUR LA CONSER</v>
      </c>
      <c r="C8079" s="4">
        <v>246</v>
      </c>
      <c r="D8079" s="4">
        <v>25000</v>
      </c>
    </row>
    <row r="8080" spans="1:4" x14ac:dyDescent="0.25">
      <c r="A8080" t="str">
        <f>T("   870322")</f>
        <v xml:space="preserve">   870322</v>
      </c>
      <c r="B8080" t="str">
        <f>T("   D’UNE CYLINDREE EXCEDANT 1.000 CM³ MAIS N’EXCEDANT PAS 1.500 CM³")</f>
        <v xml:space="preserve">   D’UNE CYLINDREE EXCEDANT 1.000 CM³ MAIS N’EXCEDANT PAS 1.500 CM³</v>
      </c>
      <c r="C8080" s="4">
        <v>948</v>
      </c>
      <c r="D8080" s="4">
        <v>1683413</v>
      </c>
    </row>
    <row r="8081" spans="1:4" x14ac:dyDescent="0.25">
      <c r="A8081" t="str">
        <f>T("   870323")</f>
        <v xml:space="preserve">   870323</v>
      </c>
      <c r="B8081" t="str">
        <f>T("   D’UNE CYLINDREE EXCEDANT 1.500 CM³ MAIS N’EXCEDANT PAS 3.000 CM³")</f>
        <v xml:space="preserve">   D’UNE CYLINDREE EXCEDANT 1.500 CM³ MAIS N’EXCEDANT PAS 3.000 CM³</v>
      </c>
      <c r="C8081" s="4">
        <v>750</v>
      </c>
      <c r="D8081" s="4">
        <v>1200000</v>
      </c>
    </row>
    <row r="8082" spans="1:4" s="5" customFormat="1" x14ac:dyDescent="0.25">
      <c r="A8082" s="5" t="str">
        <f>T("   ZZ_Total_Produit_SH6")</f>
        <v xml:space="preserve">   ZZ_Total_Produit_SH6</v>
      </c>
      <c r="B8082" s="5" t="str">
        <f>T("   ZZ_Total_Produit_SH6")</f>
        <v xml:space="preserve">   ZZ_Total_Produit_SH6</v>
      </c>
      <c r="C8082" s="1">
        <v>2539580</v>
      </c>
      <c r="D8082" s="1">
        <v>859425480</v>
      </c>
    </row>
    <row r="8083" spans="1:4" s="5" customFormat="1" x14ac:dyDescent="0.25">
      <c r="B8083" s="5" t="str">
        <f>T("Lettonie")</f>
        <v>Lettonie</v>
      </c>
      <c r="C8083" s="1"/>
      <c r="D8083" s="1"/>
    </row>
    <row r="8084" spans="1:4" x14ac:dyDescent="0.25">
      <c r="A8084" t="str">
        <f>T("   110100")</f>
        <v xml:space="preserve">   110100</v>
      </c>
      <c r="B8084" t="str">
        <f>T("   FARINES DE FROMENT (BLE) OU DE METEIL.")</f>
        <v xml:space="preserve">   FARINES DE FROMENT (BLE) OU DE METEIL.</v>
      </c>
      <c r="C8084" s="4">
        <v>200450</v>
      </c>
      <c r="D8084" s="4">
        <v>53476919.428999998</v>
      </c>
    </row>
    <row r="8085" spans="1:4" x14ac:dyDescent="0.25">
      <c r="A8085" t="str">
        <f>T("   490199")</f>
        <v xml:space="preserve">   490199</v>
      </c>
      <c r="B8085" t="str">
        <f>T("   AUTRES")</f>
        <v xml:space="preserve">   AUTRES</v>
      </c>
      <c r="C8085" s="4">
        <v>21035</v>
      </c>
      <c r="D8085" s="4">
        <v>20546176</v>
      </c>
    </row>
    <row r="8086" spans="1:4" x14ac:dyDescent="0.25">
      <c r="A8086" t="str">
        <f>T("   630900")</f>
        <v xml:space="preserve">   630900</v>
      </c>
      <c r="B8086" t="str">
        <f>T("   ARTICLES DE FRIPERIE.")</f>
        <v xml:space="preserve">   ARTICLES DE FRIPERIE.</v>
      </c>
      <c r="C8086" s="4">
        <v>14000</v>
      </c>
      <c r="D8086" s="4">
        <v>9830873</v>
      </c>
    </row>
    <row r="8087" spans="1:4" x14ac:dyDescent="0.25">
      <c r="A8087" t="str">
        <f>T("   852910")</f>
        <v xml:space="preserve">   852910</v>
      </c>
      <c r="B8087" t="str">
        <f>T("   ANTENNES ET REFLECTEURS D’ANTENNES DE TOUS TYPES; PARTIES RECONNAISSABLES COMME ETANT")</f>
        <v xml:space="preserve">   ANTENNES ET REFLECTEURS D’ANTENNES DE TOUS TYPES; PARTIES RECONNAISSABLES COMME ETANT</v>
      </c>
      <c r="C8087" s="4">
        <v>27.2</v>
      </c>
      <c r="D8087" s="4">
        <v>688535</v>
      </c>
    </row>
    <row r="8088" spans="1:4" x14ac:dyDescent="0.25">
      <c r="A8088" t="str">
        <f>T("   870120")</f>
        <v xml:space="preserve">   870120</v>
      </c>
      <c r="B8088" t="str">
        <f>T("   TRACTEURS ROUTIERS POUR SEMIREMORQUES")</f>
        <v xml:space="preserve">   TRACTEURS ROUTIERS POUR SEMIREMORQUES</v>
      </c>
      <c r="C8088" s="4">
        <v>3750</v>
      </c>
      <c r="D8088" s="4">
        <v>2000000</v>
      </c>
    </row>
    <row r="8089" spans="1:4" x14ac:dyDescent="0.25">
      <c r="A8089" t="str">
        <f>T("   871640")</f>
        <v xml:space="preserve">   871640</v>
      </c>
      <c r="B8089" t="str">
        <f>T("   AUTRES REMORQUES ET SEMIREMORQUES")</f>
        <v xml:space="preserve">   AUTRES REMORQUES ET SEMIREMORQUES</v>
      </c>
      <c r="C8089" s="4">
        <v>3750</v>
      </c>
      <c r="D8089" s="4">
        <v>2000000</v>
      </c>
    </row>
    <row r="8090" spans="1:4" s="5" customFormat="1" x14ac:dyDescent="0.25">
      <c r="A8090" s="5" t="str">
        <f>T("   ZZ_Total_Produit_SH6")</f>
        <v xml:space="preserve">   ZZ_Total_Produit_SH6</v>
      </c>
      <c r="B8090" s="5" t="str">
        <f>T("   ZZ_Total_Produit_SH6")</f>
        <v xml:space="preserve">   ZZ_Total_Produit_SH6</v>
      </c>
      <c r="C8090" s="1">
        <v>243012.2</v>
      </c>
      <c r="D8090" s="1">
        <v>88542503.429000005</v>
      </c>
    </row>
    <row r="8091" spans="1:4" s="5" customFormat="1" x14ac:dyDescent="0.25">
      <c r="B8091" s="5" t="str">
        <f>T("Libyenne, Jamahiriya Arabe")</f>
        <v>Libyenne, Jamahiriya Arabe</v>
      </c>
      <c r="C8091" s="1"/>
      <c r="D8091" s="1"/>
    </row>
    <row r="8092" spans="1:4" x14ac:dyDescent="0.25">
      <c r="A8092" t="str">
        <f>T("   842290")</f>
        <v xml:space="preserve">   842290</v>
      </c>
      <c r="B8092" t="str">
        <f>T("   PARTIES")</f>
        <v xml:space="preserve">   PARTIES</v>
      </c>
      <c r="C8092" s="4">
        <v>1</v>
      </c>
      <c r="D8092" s="4">
        <v>142876</v>
      </c>
    </row>
    <row r="8093" spans="1:4" x14ac:dyDescent="0.25">
      <c r="A8093" t="str">
        <f>T("   847141")</f>
        <v xml:space="preserve">   847141</v>
      </c>
      <c r="B8093" t="str">
        <f>T("   COMPORTANT, SOUS UNE MEME ENVELOPPE, AU MOINS UNE UNITE CENTRALE DE TRAITEMENT ET, Q")</f>
        <v xml:space="preserve">   COMPORTANT, SOUS UNE MEME ENVELOPPE, AU MOINS UNE UNITE CENTRALE DE TRAITEMENT ET, Q</v>
      </c>
      <c r="C8093" s="4">
        <v>149</v>
      </c>
      <c r="D8093" s="4">
        <v>1760020</v>
      </c>
    </row>
    <row r="8094" spans="1:4" x14ac:dyDescent="0.25">
      <c r="A8094" t="str">
        <f>T("   851770")</f>
        <v xml:space="preserve">   851770</v>
      </c>
      <c r="B8094" t="str">
        <f>T("   PARTIES")</f>
        <v xml:space="preserve">   PARTIES</v>
      </c>
      <c r="C8094" s="4">
        <v>1.36</v>
      </c>
      <c r="D8094" s="4">
        <v>1140182</v>
      </c>
    </row>
    <row r="8095" spans="1:4" x14ac:dyDescent="0.25">
      <c r="A8095" t="str">
        <f>T("   870324")</f>
        <v xml:space="preserve">   870324</v>
      </c>
      <c r="B8095" t="str">
        <f>T("   D’UNE CYLINDREE EXCEDANT 3.000 CM³")</f>
        <v xml:space="preserve">   D’UNE CYLINDREE EXCEDANT 3.000 CM³</v>
      </c>
      <c r="C8095" s="4">
        <v>1550</v>
      </c>
      <c r="D8095" s="4">
        <v>7783165</v>
      </c>
    </row>
    <row r="8096" spans="1:4" s="5" customFormat="1" x14ac:dyDescent="0.25">
      <c r="A8096" s="5" t="str">
        <f>T("   ZZ_Total_Produit_SH6")</f>
        <v xml:space="preserve">   ZZ_Total_Produit_SH6</v>
      </c>
      <c r="B8096" s="5" t="str">
        <f>T("   ZZ_Total_Produit_SH6")</f>
        <v xml:space="preserve">   ZZ_Total_Produit_SH6</v>
      </c>
      <c r="C8096" s="1">
        <v>1701.36</v>
      </c>
      <c r="D8096" s="1">
        <v>10826243</v>
      </c>
    </row>
    <row r="8097" spans="1:4" s="5" customFormat="1" x14ac:dyDescent="0.25">
      <c r="B8097" s="5" t="str">
        <f>T("Maroc")</f>
        <v>Maroc</v>
      </c>
      <c r="C8097" s="1"/>
      <c r="D8097" s="1"/>
    </row>
    <row r="8098" spans="1:4" x14ac:dyDescent="0.25">
      <c r="A8098" t="str">
        <f>T("   020727")</f>
        <v xml:space="preserve">   020727</v>
      </c>
      <c r="B8098" t="str">
        <f>T("   MORCEAUX ET ABATS, CONGELES")</f>
        <v xml:space="preserve">   MORCEAUX ET ABATS, CONGELES</v>
      </c>
      <c r="C8098" s="4">
        <v>29000</v>
      </c>
      <c r="D8098" s="4">
        <v>15550188</v>
      </c>
    </row>
    <row r="8099" spans="1:4" x14ac:dyDescent="0.25">
      <c r="A8099" t="str">
        <f>T("   030219")</f>
        <v xml:space="preserve">   030219</v>
      </c>
      <c r="B8099" t="str">
        <f>T("   AUTRES")</f>
        <v xml:space="preserve">   AUTRES</v>
      </c>
      <c r="C8099" s="4">
        <v>10234934</v>
      </c>
      <c r="D8099" s="4">
        <v>4093973600</v>
      </c>
    </row>
    <row r="8100" spans="1:4" x14ac:dyDescent="0.25">
      <c r="A8100" t="str">
        <f>T("   030261")</f>
        <v xml:space="preserve">   030261</v>
      </c>
      <c r="B8100" t="str">
        <f>T("   SARDINES,SARDINELLES,SPRATS ENTIERS,FRAIS,...;FOIES,OEUFS,LAITANCES EXCLUS")</f>
        <v xml:space="preserve">   SARDINES,SARDINELLES,SPRATS ENTIERS,FRAIS,...;FOIES,OEUFS,LAITANCES EXCLUS</v>
      </c>
      <c r="C8100" s="4">
        <v>53710</v>
      </c>
      <c r="D8100" s="4">
        <v>14743173</v>
      </c>
    </row>
    <row r="8101" spans="1:4" x14ac:dyDescent="0.25">
      <c r="A8101" t="str">
        <f>T("   030269")</f>
        <v xml:space="preserve">   030269</v>
      </c>
      <c r="B8101" t="str">
        <f>T("   Autres poissons entiers,frais ou refrigeres.(foies,oeufs laitances exclus)")</f>
        <v xml:space="preserve">   Autres poissons entiers,frais ou refrigeres.(foies,oeufs laitances exclus)</v>
      </c>
      <c r="C8101" s="4">
        <v>8617112</v>
      </c>
      <c r="D8101" s="4">
        <v>3446844800</v>
      </c>
    </row>
    <row r="8102" spans="1:4" x14ac:dyDescent="0.25">
      <c r="A8102" t="str">
        <f>T("   030379")</f>
        <v xml:space="preserve">   030379</v>
      </c>
      <c r="B8102" t="str">
        <f>T("   AUTRES POISSONS ENTIERS CONGELES.(FOIES,OEUFS,LAITANCES EXCLUS)")</f>
        <v xml:space="preserve">   AUTRES POISSONS ENTIERS CONGELES.(FOIES,OEUFS,LAITANCES EXCLUS)</v>
      </c>
      <c r="C8102" s="4">
        <v>3019722</v>
      </c>
      <c r="D8102" s="4">
        <v>693430002</v>
      </c>
    </row>
    <row r="8103" spans="1:4" x14ac:dyDescent="0.25">
      <c r="A8103" t="str">
        <f>T("   040690")</f>
        <v xml:space="preserve">   040690</v>
      </c>
      <c r="B8103" t="str">
        <f>T("   AUTRES FROMAGES")</f>
        <v xml:space="preserve">   AUTRES FROMAGES</v>
      </c>
      <c r="C8103" s="4">
        <v>107685</v>
      </c>
      <c r="D8103" s="4">
        <v>45246877</v>
      </c>
    </row>
    <row r="8104" spans="1:4" x14ac:dyDescent="0.25">
      <c r="A8104" t="str">
        <f>T("   081090")</f>
        <v xml:space="preserve">   081090</v>
      </c>
      <c r="B8104" t="str">
        <f>T("   AUTRES")</f>
        <v xml:space="preserve">   AUTRES</v>
      </c>
      <c r="C8104" s="4">
        <v>3188</v>
      </c>
      <c r="D8104" s="4">
        <v>1295741</v>
      </c>
    </row>
    <row r="8105" spans="1:4" x14ac:dyDescent="0.25">
      <c r="A8105" t="str">
        <f>T("   110100")</f>
        <v xml:space="preserve">   110100</v>
      </c>
      <c r="B8105" t="str">
        <f>T("   FARINES DE FROMENT (BLE) OU DE METEIL.")</f>
        <v xml:space="preserve">   FARINES DE FROMENT (BLE) OU DE METEIL.</v>
      </c>
      <c r="C8105" s="4">
        <v>175000</v>
      </c>
      <c r="D8105" s="4">
        <v>46687257.332000002</v>
      </c>
    </row>
    <row r="8106" spans="1:4" x14ac:dyDescent="0.25">
      <c r="A8106" t="str">
        <f>T("   150790")</f>
        <v xml:space="preserve">   150790</v>
      </c>
      <c r="B8106" t="str">
        <f>T("   AUTRES")</f>
        <v xml:space="preserve">   AUTRES</v>
      </c>
      <c r="C8106" s="4">
        <v>21930</v>
      </c>
      <c r="D8106" s="4">
        <v>5482500</v>
      </c>
    </row>
    <row r="8107" spans="1:4" x14ac:dyDescent="0.25">
      <c r="A8107" t="str">
        <f>T("   151710")</f>
        <v xml:space="preserve">   151710</v>
      </c>
      <c r="B8107" t="str">
        <f>T("   Margarine, a l'exclusion de la margarine liquide")</f>
        <v xml:space="preserve">   Margarine, a l'exclusion de la margarine liquide</v>
      </c>
      <c r="C8107" s="4">
        <v>42675</v>
      </c>
      <c r="D8107" s="4">
        <v>9685000</v>
      </c>
    </row>
    <row r="8108" spans="1:4" x14ac:dyDescent="0.25">
      <c r="A8108" t="str">
        <f>T("   160413")</f>
        <v xml:space="preserve">   160413</v>
      </c>
      <c r="B8108" t="str">
        <f>T("   SARDINES, SARDINELLES ET SPRATS OU ESPROTS")</f>
        <v xml:space="preserve">   SARDINES, SARDINELLES ET SPRATS OU ESPROTS</v>
      </c>
      <c r="C8108" s="4">
        <v>1056991</v>
      </c>
      <c r="D8108" s="4">
        <v>355334340</v>
      </c>
    </row>
    <row r="8109" spans="1:4" x14ac:dyDescent="0.25">
      <c r="A8109" t="str">
        <f>T("   190230")</f>
        <v xml:space="preserve">   190230</v>
      </c>
      <c r="B8109" t="str">
        <f>T("   AUTRES PATES ALIMENTAIRES")</f>
        <v xml:space="preserve">   AUTRES PATES ALIMENTAIRES</v>
      </c>
      <c r="C8109" s="4">
        <v>18776</v>
      </c>
      <c r="D8109" s="4">
        <v>4375253</v>
      </c>
    </row>
    <row r="8110" spans="1:4" x14ac:dyDescent="0.25">
      <c r="A8110" t="str">
        <f>T("   190240")</f>
        <v xml:space="preserve">   190240</v>
      </c>
      <c r="B8110" t="str">
        <f>T("   COUSCOUS")</f>
        <v xml:space="preserve">   COUSCOUS</v>
      </c>
      <c r="C8110" s="4">
        <v>341109</v>
      </c>
      <c r="D8110" s="4">
        <v>87200478</v>
      </c>
    </row>
    <row r="8111" spans="1:4" x14ac:dyDescent="0.25">
      <c r="A8111" t="str">
        <f>T("   190590")</f>
        <v xml:space="preserve">   190590</v>
      </c>
      <c r="B8111" t="str">
        <f>T("   AUTRES")</f>
        <v xml:space="preserve">   AUTRES</v>
      </c>
      <c r="C8111" s="4">
        <v>6754</v>
      </c>
      <c r="D8111" s="4">
        <v>3714304</v>
      </c>
    </row>
    <row r="8112" spans="1:4" x14ac:dyDescent="0.25">
      <c r="A8112" t="str">
        <f>T("   200540")</f>
        <v xml:space="preserve">   200540</v>
      </c>
      <c r="B8112" t="str">
        <f>T("   POIS (PISUM SATIVUM)")</f>
        <v xml:space="preserve">   POIS (PISUM SATIVUM)</v>
      </c>
      <c r="C8112" s="4">
        <v>54112</v>
      </c>
      <c r="D8112" s="4">
        <v>6483509</v>
      </c>
    </row>
    <row r="8113" spans="1:4" x14ac:dyDescent="0.25">
      <c r="A8113" t="str">
        <f>T("   200570")</f>
        <v xml:space="preserve">   200570</v>
      </c>
      <c r="B8113" t="str">
        <f>T("   OLIVES")</f>
        <v xml:space="preserve">   OLIVES</v>
      </c>
      <c r="C8113" s="4">
        <v>20850</v>
      </c>
      <c r="D8113" s="4">
        <v>4322120</v>
      </c>
    </row>
    <row r="8114" spans="1:4" x14ac:dyDescent="0.25">
      <c r="A8114" t="str">
        <f>T("   200860")</f>
        <v xml:space="preserve">   200860</v>
      </c>
      <c r="B8114" t="str">
        <f>T("   CERISES")</f>
        <v xml:space="preserve">   CERISES</v>
      </c>
      <c r="C8114" s="4">
        <v>254</v>
      </c>
      <c r="D8114" s="4">
        <v>64000</v>
      </c>
    </row>
    <row r="8115" spans="1:4" x14ac:dyDescent="0.25">
      <c r="A8115" t="str">
        <f>T("   200919")</f>
        <v xml:space="preserve">   200919</v>
      </c>
      <c r="B8115" t="str">
        <f>T("   AUTRES")</f>
        <v xml:space="preserve">   AUTRES</v>
      </c>
      <c r="C8115" s="4">
        <v>20000</v>
      </c>
      <c r="D8115" s="4">
        <v>3541124</v>
      </c>
    </row>
    <row r="8116" spans="1:4" x14ac:dyDescent="0.25">
      <c r="A8116" t="str">
        <f>T("   200949")</f>
        <v xml:space="preserve">   200949</v>
      </c>
      <c r="B8116" t="str">
        <f>T("   AUTRES")</f>
        <v xml:space="preserve">   AUTRES</v>
      </c>
      <c r="C8116" s="4">
        <v>23574</v>
      </c>
      <c r="D8116" s="4">
        <v>4322000</v>
      </c>
    </row>
    <row r="8117" spans="1:4" x14ac:dyDescent="0.25">
      <c r="A8117" t="str">
        <f>T("   220110")</f>
        <v xml:space="preserve">   220110</v>
      </c>
      <c r="B8117" t="str">
        <f>T("   EAUX MINERALES ET EAUX GAZEIFIEES")</f>
        <v xml:space="preserve">   EAUX MINERALES ET EAUX GAZEIFIEES</v>
      </c>
      <c r="C8117" s="4">
        <v>27000</v>
      </c>
      <c r="D8117" s="4">
        <v>2597602</v>
      </c>
    </row>
    <row r="8118" spans="1:4" x14ac:dyDescent="0.25">
      <c r="A8118" t="str">
        <f>T("   240290")</f>
        <v xml:space="preserve">   240290</v>
      </c>
      <c r="B8118" t="str">
        <f>T("   AUTRES")</f>
        <v xml:space="preserve">   AUTRES</v>
      </c>
      <c r="C8118" s="4">
        <v>176</v>
      </c>
      <c r="D8118" s="4">
        <v>225000</v>
      </c>
    </row>
    <row r="8119" spans="1:4" x14ac:dyDescent="0.25">
      <c r="A8119" t="str">
        <f>T("   252020")</f>
        <v xml:space="preserve">   252020</v>
      </c>
      <c r="B8119" t="str">
        <f>T("   PLATRES")</f>
        <v xml:space="preserve">   PLATRES</v>
      </c>
      <c r="C8119" s="4">
        <v>1041365</v>
      </c>
      <c r="D8119" s="4">
        <v>66481388</v>
      </c>
    </row>
    <row r="8120" spans="1:4" x14ac:dyDescent="0.25">
      <c r="A8120" t="str">
        <f>T("   252310")</f>
        <v xml:space="preserve">   252310</v>
      </c>
      <c r="B8120" t="str">
        <f>T("   CIMENTS NON PULVERISES DITS «CLINKERS»")</f>
        <v xml:space="preserve">   CIMENTS NON PULVERISES DITS «CLINKERS»</v>
      </c>
      <c r="C8120" s="4">
        <v>61008592</v>
      </c>
      <c r="D8120" s="4">
        <v>2135300720</v>
      </c>
    </row>
    <row r="8121" spans="1:4" x14ac:dyDescent="0.25">
      <c r="A8121" t="str">
        <f>T("   271099")</f>
        <v xml:space="preserve">   271099</v>
      </c>
      <c r="B8121" t="str">
        <f>T("   AUTRES")</f>
        <v xml:space="preserve">   AUTRES</v>
      </c>
      <c r="C8121" s="4">
        <v>321</v>
      </c>
      <c r="D8121" s="4">
        <v>997059</v>
      </c>
    </row>
    <row r="8122" spans="1:4" x14ac:dyDescent="0.25">
      <c r="A8122" t="str">
        <f>T("   300390")</f>
        <v xml:space="preserve">   300390</v>
      </c>
      <c r="B8122" t="str">
        <f>T("   AUTRES")</f>
        <v xml:space="preserve">   AUTRES</v>
      </c>
      <c r="C8122" s="4">
        <v>1159.2</v>
      </c>
      <c r="D8122" s="4">
        <v>482131</v>
      </c>
    </row>
    <row r="8123" spans="1:4" x14ac:dyDescent="0.25">
      <c r="A8123" t="str">
        <f>T("   300439")</f>
        <v xml:space="preserve">   300439</v>
      </c>
      <c r="B8123" t="str">
        <f>T("   AUTRES")</f>
        <v xml:space="preserve">   AUTRES</v>
      </c>
      <c r="C8123" s="4">
        <v>726</v>
      </c>
      <c r="D8123" s="4">
        <v>249921</v>
      </c>
    </row>
    <row r="8124" spans="1:4" x14ac:dyDescent="0.25">
      <c r="A8124" t="str">
        <f>T("   300490")</f>
        <v xml:space="preserve">   300490</v>
      </c>
      <c r="B8124" t="str">
        <f>T("   AUTRES")</f>
        <v xml:space="preserve">   AUTRES</v>
      </c>
      <c r="C8124" s="4">
        <v>4293</v>
      </c>
      <c r="D8124" s="4">
        <v>112327512</v>
      </c>
    </row>
    <row r="8125" spans="1:4" x14ac:dyDescent="0.25">
      <c r="A8125" t="str">
        <f>T("   320990")</f>
        <v xml:space="preserve">   320990</v>
      </c>
      <c r="B8125" t="str">
        <f>T("   AUTRES")</f>
        <v xml:space="preserve">   AUTRES</v>
      </c>
      <c r="C8125" s="4">
        <v>24101</v>
      </c>
      <c r="D8125" s="4">
        <v>5995150</v>
      </c>
    </row>
    <row r="8126" spans="1:4" x14ac:dyDescent="0.25">
      <c r="A8126" t="str">
        <f>T("   321000")</f>
        <v xml:space="preserve">   321000</v>
      </c>
      <c r="B8126" t="str">
        <f>T("   AUTRES PEINTURES ET VERNIS; PIGMENTS A L'EAU PREPARES DES TYPES UTILISES POUR LE FINISS")</f>
        <v xml:space="preserve">   AUTRES PEINTURES ET VERNIS; PIGMENTS A L'EAU PREPARES DES TYPES UTILISES POUR LE FINISS</v>
      </c>
      <c r="C8126" s="4">
        <v>24928</v>
      </c>
      <c r="D8126" s="4">
        <v>4369350</v>
      </c>
    </row>
    <row r="8127" spans="1:4" x14ac:dyDescent="0.25">
      <c r="A8127" t="str">
        <f>T("   330119")</f>
        <v xml:space="preserve">   330119</v>
      </c>
      <c r="B8127" t="str">
        <f>T("   AUTRES")</f>
        <v xml:space="preserve">   AUTRES</v>
      </c>
      <c r="C8127" s="4">
        <v>52</v>
      </c>
      <c r="D8127" s="4">
        <v>186000</v>
      </c>
    </row>
    <row r="8128" spans="1:4" x14ac:dyDescent="0.25">
      <c r="A8128" t="str">
        <f>T("   330499")</f>
        <v xml:space="preserve">   330499</v>
      </c>
      <c r="B8128" t="str">
        <f>T("   AUTRES")</f>
        <v xml:space="preserve">   AUTRES</v>
      </c>
      <c r="C8128" s="4">
        <v>1441</v>
      </c>
      <c r="D8128" s="4">
        <v>1436218</v>
      </c>
    </row>
    <row r="8129" spans="1:4" x14ac:dyDescent="0.25">
      <c r="A8129" t="str">
        <f>T("   340319")</f>
        <v xml:space="preserve">   340319</v>
      </c>
      <c r="B8129" t="str">
        <f>T("   AUTRES")</f>
        <v xml:space="preserve">   AUTRES</v>
      </c>
      <c r="C8129" s="4">
        <v>27561</v>
      </c>
      <c r="D8129" s="4">
        <v>27312914</v>
      </c>
    </row>
    <row r="8130" spans="1:4" x14ac:dyDescent="0.25">
      <c r="A8130" t="str">
        <f>T("   390720")</f>
        <v xml:space="preserve">   390720</v>
      </c>
      <c r="B8130" t="str">
        <f>T("   AUTRES POLYETHERS")</f>
        <v xml:space="preserve">   AUTRES POLYETHERS</v>
      </c>
      <c r="C8130" s="4">
        <v>20000</v>
      </c>
      <c r="D8130" s="4">
        <v>23395469</v>
      </c>
    </row>
    <row r="8131" spans="1:4" x14ac:dyDescent="0.25">
      <c r="A8131" t="str">
        <f>T("   391721")</f>
        <v xml:space="preserve">   391721</v>
      </c>
      <c r="B8131" t="str">
        <f>T("   EN POLYMERES DE L'ETHYLENE")</f>
        <v xml:space="preserve">   EN POLYMERES DE L'ETHYLENE</v>
      </c>
      <c r="C8131" s="4">
        <v>15</v>
      </c>
      <c r="D8131" s="4">
        <v>570685</v>
      </c>
    </row>
    <row r="8132" spans="1:4" x14ac:dyDescent="0.25">
      <c r="A8132" t="str">
        <f>T("   391732")</f>
        <v xml:space="preserve">   391732</v>
      </c>
      <c r="B8132" t="str">
        <f>T("   AUTRES, NON RENFORCES D'AUTRES MATIERES NI AUTREMENT ASSOCIES A D'AUTRES MATIERES, S")</f>
        <v xml:space="preserve">   AUTRES, NON RENFORCES D'AUTRES MATIERES NI AUTREMENT ASSOCIES A D'AUTRES MATIERES, S</v>
      </c>
      <c r="C8132" s="4">
        <v>3901</v>
      </c>
      <c r="D8132" s="4">
        <v>9762653</v>
      </c>
    </row>
    <row r="8133" spans="1:4" x14ac:dyDescent="0.25">
      <c r="A8133" t="str">
        <f>T("   391740")</f>
        <v xml:space="preserve">   391740</v>
      </c>
      <c r="B8133" t="str">
        <f>T("   ACCESSOIRES")</f>
        <v xml:space="preserve">   ACCESSOIRES</v>
      </c>
      <c r="C8133" s="4">
        <v>36989</v>
      </c>
      <c r="D8133" s="4">
        <v>30442474</v>
      </c>
    </row>
    <row r="8134" spans="1:4" x14ac:dyDescent="0.25">
      <c r="A8134" t="str">
        <f>T("   391990")</f>
        <v xml:space="preserve">   391990</v>
      </c>
      <c r="B8134" t="str">
        <f>T("   AUTRES")</f>
        <v xml:space="preserve">   AUTRES</v>
      </c>
      <c r="C8134" s="4">
        <v>2560</v>
      </c>
      <c r="D8134" s="4">
        <v>7727209</v>
      </c>
    </row>
    <row r="8135" spans="1:4" x14ac:dyDescent="0.25">
      <c r="A8135" t="str">
        <f>T("   392220")</f>
        <v xml:space="preserve">   392220</v>
      </c>
      <c r="B8135" t="str">
        <f>T("   SIEGES ET COUVERCLES DE CUVETTES D'AISANCE")</f>
        <v xml:space="preserve">   SIEGES ET COUVERCLES DE CUVETTES D'AISANCE</v>
      </c>
      <c r="C8135" s="4">
        <v>128</v>
      </c>
      <c r="D8135" s="4">
        <v>322732</v>
      </c>
    </row>
    <row r="8136" spans="1:4" x14ac:dyDescent="0.25">
      <c r="A8136" t="str">
        <f>T("   392590")</f>
        <v xml:space="preserve">   392590</v>
      </c>
      <c r="B8136" t="str">
        <f>T("   AUTRES")</f>
        <v xml:space="preserve">   AUTRES</v>
      </c>
      <c r="C8136" s="4">
        <v>364</v>
      </c>
      <c r="D8136" s="4">
        <v>366026</v>
      </c>
    </row>
    <row r="8137" spans="1:4" x14ac:dyDescent="0.25">
      <c r="A8137" t="str">
        <f>T("   392610")</f>
        <v xml:space="preserve">   392610</v>
      </c>
      <c r="B8137" t="str">
        <f>T("   ARTICLES DE BUREAU ET ARTICLES SCOLAIRES")</f>
        <v xml:space="preserve">   ARTICLES DE BUREAU ET ARTICLES SCOLAIRES</v>
      </c>
      <c r="C8137" s="4">
        <v>54</v>
      </c>
      <c r="D8137" s="4">
        <v>36844</v>
      </c>
    </row>
    <row r="8138" spans="1:4" x14ac:dyDescent="0.25">
      <c r="A8138" t="str">
        <f>T("   392690")</f>
        <v xml:space="preserve">   392690</v>
      </c>
      <c r="B8138" t="str">
        <f>T("   AUTRES")</f>
        <v xml:space="preserve">   AUTRES</v>
      </c>
      <c r="C8138" s="4">
        <v>15476</v>
      </c>
      <c r="D8138" s="4">
        <v>14240999</v>
      </c>
    </row>
    <row r="8139" spans="1:4" x14ac:dyDescent="0.25">
      <c r="A8139" t="str">
        <f>T("   480429")</f>
        <v xml:space="preserve">   480429</v>
      </c>
      <c r="B8139" t="str">
        <f>T("   AUTRES")</f>
        <v xml:space="preserve">   AUTRES</v>
      </c>
      <c r="C8139" s="4">
        <v>47000</v>
      </c>
      <c r="D8139" s="4">
        <v>34053507</v>
      </c>
    </row>
    <row r="8140" spans="1:4" x14ac:dyDescent="0.25">
      <c r="A8140" t="str">
        <f>T("   481930")</f>
        <v xml:space="preserve">   481930</v>
      </c>
      <c r="B8140" t="str">
        <f>T("   SACS D'UNE LARGEUR A LA BASE DE 40 CM OU PLUS")</f>
        <v xml:space="preserve">   SACS D'UNE LARGEUR A LA BASE DE 40 CM OU PLUS</v>
      </c>
      <c r="C8140" s="4">
        <v>1688906</v>
      </c>
      <c r="D8140" s="4">
        <v>1194616851</v>
      </c>
    </row>
    <row r="8141" spans="1:4" x14ac:dyDescent="0.25">
      <c r="A8141" t="str">
        <f>T("   481940")</f>
        <v xml:space="preserve">   481940</v>
      </c>
      <c r="B8141" t="str">
        <f>T("   AUTRES SACS; SACHETS, POCHETTES (AUTRES QUE CELLES POUR DISQUES) ET CORNETS")</f>
        <v xml:space="preserve">   AUTRES SACS; SACHETS, POCHETTES (AUTRES QUE CELLES POUR DISQUES) ET CORNETS</v>
      </c>
      <c r="C8141" s="4">
        <v>45840</v>
      </c>
      <c r="D8141" s="4">
        <v>34055582</v>
      </c>
    </row>
    <row r="8142" spans="1:4" x14ac:dyDescent="0.25">
      <c r="A8142" t="str">
        <f>T("   482090")</f>
        <v xml:space="preserve">   482090</v>
      </c>
      <c r="B8142" t="str">
        <f>T("   AUTRES")</f>
        <v xml:space="preserve">   AUTRES</v>
      </c>
      <c r="C8142" s="4">
        <v>70</v>
      </c>
      <c r="D8142" s="4">
        <v>50000</v>
      </c>
    </row>
    <row r="8143" spans="1:4" x14ac:dyDescent="0.25">
      <c r="A8143" t="str">
        <f>T("   490199")</f>
        <v xml:space="preserve">   490199</v>
      </c>
      <c r="B8143" t="str">
        <f>T("   AUTRES")</f>
        <v xml:space="preserve">   AUTRES</v>
      </c>
      <c r="C8143" s="4">
        <v>316</v>
      </c>
      <c r="D8143" s="4">
        <v>144462</v>
      </c>
    </row>
    <row r="8144" spans="1:4" x14ac:dyDescent="0.25">
      <c r="A8144" t="str">
        <f>T("   491110")</f>
        <v xml:space="preserve">   491110</v>
      </c>
      <c r="B8144" t="str">
        <f>T("   IMPRIMES PUBLICITAIRES, CATALOGUES COMMERCIAUX ET SIMILAIRES")</f>
        <v xml:space="preserve">   IMPRIMES PUBLICITAIRES, CATALOGUES COMMERCIAUX ET SIMILAIRES</v>
      </c>
      <c r="C8144" s="4">
        <v>711</v>
      </c>
      <c r="D8144" s="4">
        <v>255598</v>
      </c>
    </row>
    <row r="8145" spans="1:4" x14ac:dyDescent="0.25">
      <c r="A8145" t="str">
        <f>T("   491199")</f>
        <v xml:space="preserve">   491199</v>
      </c>
      <c r="B8145" t="str">
        <f>T("   AUTRES")</f>
        <v xml:space="preserve">   AUTRES</v>
      </c>
      <c r="C8145" s="4">
        <v>1070</v>
      </c>
      <c r="D8145" s="4">
        <v>345479</v>
      </c>
    </row>
    <row r="8146" spans="1:4" x14ac:dyDescent="0.25">
      <c r="A8146" t="str">
        <f>T("   620412")</f>
        <v xml:space="preserve">   620412</v>
      </c>
      <c r="B8146" t="str">
        <f>T("   DE COTON")</f>
        <v xml:space="preserve">   DE COTON</v>
      </c>
      <c r="C8146" s="4">
        <v>112</v>
      </c>
      <c r="D8146" s="4">
        <v>218000</v>
      </c>
    </row>
    <row r="8147" spans="1:4" x14ac:dyDescent="0.25">
      <c r="A8147" t="str">
        <f>T("   620590")</f>
        <v xml:space="preserve">   620590</v>
      </c>
      <c r="B8147" t="str">
        <f>T("   D'AUTRES MATIERES TEXTILES")</f>
        <v xml:space="preserve">   D'AUTRES MATIERES TEXTILES</v>
      </c>
      <c r="C8147" s="4">
        <v>1433</v>
      </c>
      <c r="D8147" s="4">
        <v>1879224</v>
      </c>
    </row>
    <row r="8148" spans="1:4" x14ac:dyDescent="0.25">
      <c r="A8148" t="str">
        <f>T("   620690")</f>
        <v xml:space="preserve">   620690</v>
      </c>
      <c r="B8148" t="str">
        <f>T("   D'AUTRES MATIERES TEXTILES")</f>
        <v xml:space="preserve">   D'AUTRES MATIERES TEXTILES</v>
      </c>
      <c r="C8148" s="4">
        <v>130</v>
      </c>
      <c r="D8148" s="4">
        <v>300000</v>
      </c>
    </row>
    <row r="8149" spans="1:4" x14ac:dyDescent="0.25">
      <c r="A8149" t="str">
        <f>T("   621040")</f>
        <v xml:space="preserve">   621040</v>
      </c>
      <c r="B8149" t="str">
        <f>T("   AUTRES VETEMENTS POUR HOMMES OU GARCONNETS")</f>
        <v xml:space="preserve">   AUTRES VETEMENTS POUR HOMMES OU GARCONNETS</v>
      </c>
      <c r="C8149" s="4">
        <v>354</v>
      </c>
      <c r="D8149" s="4">
        <v>591500</v>
      </c>
    </row>
    <row r="8150" spans="1:4" x14ac:dyDescent="0.25">
      <c r="A8150" t="str">
        <f>T("   621139")</f>
        <v xml:space="preserve">   621139</v>
      </c>
      <c r="B8150" t="str">
        <f>T("   D'AUTRES MATIERES TEXTILES")</f>
        <v xml:space="preserve">   D'AUTRES MATIERES TEXTILES</v>
      </c>
      <c r="C8150" s="4">
        <v>114</v>
      </c>
      <c r="D8150" s="4">
        <v>115000</v>
      </c>
    </row>
    <row r="8151" spans="1:4" x14ac:dyDescent="0.25">
      <c r="A8151" t="str">
        <f>T("   630720")</f>
        <v xml:space="preserve">   630720</v>
      </c>
      <c r="B8151" t="str">
        <f>T("   CEINTURES ET GILETS DE SAUVETAGE")</f>
        <v xml:space="preserve">   CEINTURES ET GILETS DE SAUVETAGE</v>
      </c>
      <c r="C8151" s="4">
        <v>15</v>
      </c>
      <c r="D8151" s="4">
        <v>1733046</v>
      </c>
    </row>
    <row r="8152" spans="1:4" x14ac:dyDescent="0.25">
      <c r="A8152" t="str">
        <f>T("   630900")</f>
        <v xml:space="preserve">   630900</v>
      </c>
      <c r="B8152" t="str">
        <f>T("   ARTICLES DE FRIPERIE.")</f>
        <v xml:space="preserve">   ARTICLES DE FRIPERIE.</v>
      </c>
      <c r="C8152" s="4">
        <v>42000</v>
      </c>
      <c r="D8152" s="4">
        <v>28338783</v>
      </c>
    </row>
    <row r="8153" spans="1:4" x14ac:dyDescent="0.25">
      <c r="A8153" t="str">
        <f>T("   640192")</f>
        <v xml:space="preserve">   640192</v>
      </c>
      <c r="B8153" t="str">
        <f>T("   COUVRANT LA CHEVILLE MAIS NE COUVRANT PAS LE GENOU")</f>
        <v xml:space="preserve">   COUVRANT LA CHEVILLE MAIS NE COUVRANT PAS LE GENOU</v>
      </c>
      <c r="C8153" s="4">
        <v>202</v>
      </c>
      <c r="D8153" s="4">
        <v>200000</v>
      </c>
    </row>
    <row r="8154" spans="1:4" x14ac:dyDescent="0.25">
      <c r="A8154" t="str">
        <f>T("   640299")</f>
        <v xml:space="preserve">   640299</v>
      </c>
      <c r="B8154" t="str">
        <f>T("   AUTRES")</f>
        <v xml:space="preserve">   AUTRES</v>
      </c>
      <c r="C8154" s="4">
        <v>268</v>
      </c>
      <c r="D8154" s="4">
        <v>205570</v>
      </c>
    </row>
    <row r="8155" spans="1:4" x14ac:dyDescent="0.25">
      <c r="A8155" t="str">
        <f>T("   640319")</f>
        <v xml:space="preserve">   640319</v>
      </c>
      <c r="B8155" t="str">
        <f>T("   AUTRES")</f>
        <v xml:space="preserve">   AUTRES</v>
      </c>
      <c r="C8155" s="4">
        <v>526</v>
      </c>
      <c r="D8155" s="4">
        <v>722000</v>
      </c>
    </row>
    <row r="8156" spans="1:4" x14ac:dyDescent="0.25">
      <c r="A8156" t="str">
        <f>T("   640320")</f>
        <v xml:space="preserve">   640320</v>
      </c>
      <c r="B8156" t="str">
        <f>T("   CHAUSSURES A SEMELLES EXTERIEURES EN CUIR NATUREL ET DESSUS CONSTITUES PAR DES LANIER")</f>
        <v xml:space="preserve">   CHAUSSURES A SEMELLES EXTERIEURES EN CUIR NATUREL ET DESSUS CONSTITUES PAR DES LANIER</v>
      </c>
      <c r="C8156" s="4">
        <v>380</v>
      </c>
      <c r="D8156" s="4">
        <v>480000</v>
      </c>
    </row>
    <row r="8157" spans="1:4" x14ac:dyDescent="0.25">
      <c r="A8157" t="str">
        <f>T("   640590")</f>
        <v xml:space="preserve">   640590</v>
      </c>
      <c r="B8157" t="str">
        <f>T("   AUTRES")</f>
        <v xml:space="preserve">   AUTRES</v>
      </c>
      <c r="C8157" s="4">
        <v>584</v>
      </c>
      <c r="D8157" s="4">
        <v>600000</v>
      </c>
    </row>
    <row r="8158" spans="1:4" x14ac:dyDescent="0.25">
      <c r="A8158" t="str">
        <f>T("   691010")</f>
        <v xml:space="preserve">   691010</v>
      </c>
      <c r="B8158" t="str">
        <f>T("   EN PORCELAINE")</f>
        <v xml:space="preserve">   EN PORCELAINE</v>
      </c>
      <c r="C8158" s="4">
        <v>5541</v>
      </c>
      <c r="D8158" s="4">
        <v>6413977</v>
      </c>
    </row>
    <row r="8159" spans="1:4" x14ac:dyDescent="0.25">
      <c r="A8159" t="str">
        <f>T("   691090")</f>
        <v xml:space="preserve">   691090</v>
      </c>
      <c r="B8159" t="str">
        <f>T("   AUTRES")</f>
        <v xml:space="preserve">   AUTRES</v>
      </c>
      <c r="C8159" s="4">
        <v>5962</v>
      </c>
      <c r="D8159" s="4">
        <v>6860725</v>
      </c>
    </row>
    <row r="8160" spans="1:4" x14ac:dyDescent="0.25">
      <c r="A8160" t="str">
        <f>T("   701090")</f>
        <v xml:space="preserve">   701090</v>
      </c>
      <c r="B8160" t="str">
        <f>T("   AUTRES")</f>
        <v xml:space="preserve">   AUTRES</v>
      </c>
      <c r="C8160" s="4">
        <v>22107</v>
      </c>
      <c r="D8160" s="4">
        <v>4991200</v>
      </c>
    </row>
    <row r="8161" spans="1:4" x14ac:dyDescent="0.25">
      <c r="A8161" t="str">
        <f>T("   720852")</f>
        <v xml:space="preserve">   720852</v>
      </c>
      <c r="B8161" t="str">
        <f>T("   D'UNE EPAISSEUR DE 4,75 MM OU PLUS MAIS N'EXCEDANT PAS 10 MM")</f>
        <v xml:space="preserve">   D'UNE EPAISSEUR DE 4,75 MM OU PLUS MAIS N'EXCEDANT PAS 10 MM</v>
      </c>
      <c r="C8161" s="4">
        <v>126450</v>
      </c>
      <c r="D8161" s="4">
        <v>44372855</v>
      </c>
    </row>
    <row r="8162" spans="1:4" x14ac:dyDescent="0.25">
      <c r="A8162" t="str">
        <f>T("   721790")</f>
        <v xml:space="preserve">   721790</v>
      </c>
      <c r="B8162" t="str">
        <f>T("   AUTRES")</f>
        <v xml:space="preserve">   AUTRES</v>
      </c>
      <c r="C8162" s="4">
        <v>24000</v>
      </c>
      <c r="D8162" s="4">
        <v>5904059</v>
      </c>
    </row>
    <row r="8163" spans="1:4" x14ac:dyDescent="0.25">
      <c r="A8163" t="str">
        <f>T("   730900")</f>
        <v xml:space="preserve">   730900</v>
      </c>
      <c r="B8163" t="str">
        <f>T("   RESERVOIRS, FOUDRES, CUVES ET RECIPIENTS SIMILAIRES POUR TOUTES MATIERES (A L'EXCEPTION")</f>
        <v xml:space="preserve">   RESERVOIRS, FOUDRES, CUVES ET RECIPIENTS SIMILAIRES POUR TOUTES MATIERES (A L'EXCEPTION</v>
      </c>
      <c r="C8163" s="4">
        <v>12000</v>
      </c>
      <c r="D8163" s="4">
        <v>5786940</v>
      </c>
    </row>
    <row r="8164" spans="1:4" x14ac:dyDescent="0.25">
      <c r="A8164" t="str">
        <f>T("   732394")</f>
        <v xml:space="preserve">   732394</v>
      </c>
      <c r="B8164" t="str">
        <f>T("   EN FER OU EN ACIER, EMAILLES")</f>
        <v xml:space="preserve">   EN FER OU EN ACIER, EMAILLES</v>
      </c>
      <c r="C8164" s="4">
        <v>100</v>
      </c>
      <c r="D8164" s="4">
        <v>300000</v>
      </c>
    </row>
    <row r="8165" spans="1:4" x14ac:dyDescent="0.25">
      <c r="A8165" t="str">
        <f>T("   732399")</f>
        <v xml:space="preserve">   732399</v>
      </c>
      <c r="B8165" t="str">
        <f>T("   AUTRES")</f>
        <v xml:space="preserve">   AUTRES</v>
      </c>
      <c r="C8165" s="4">
        <v>2100</v>
      </c>
      <c r="D8165" s="4">
        <v>2000000</v>
      </c>
    </row>
    <row r="8166" spans="1:4" x14ac:dyDescent="0.25">
      <c r="A8166" t="str">
        <f>T("   732690")</f>
        <v xml:space="preserve">   732690</v>
      </c>
      <c r="B8166" t="str">
        <f>T("   AUTRES")</f>
        <v xml:space="preserve">   AUTRES</v>
      </c>
      <c r="C8166" s="4">
        <v>1705</v>
      </c>
      <c r="D8166" s="4">
        <v>1829473</v>
      </c>
    </row>
    <row r="8167" spans="1:4" x14ac:dyDescent="0.25">
      <c r="A8167" t="str">
        <f>T("   820420")</f>
        <v xml:space="preserve">   820420</v>
      </c>
      <c r="B8167" t="str">
        <f>T("   DOUILLES DE SERRAGE INTERCHANGEABLES, MEME AVEC MANCHES")</f>
        <v xml:space="preserve">   DOUILLES DE SERRAGE INTERCHANGEABLES, MEME AVEC MANCHES</v>
      </c>
      <c r="C8167" s="4">
        <v>31</v>
      </c>
      <c r="D8167" s="4">
        <v>9000</v>
      </c>
    </row>
    <row r="8168" spans="1:4" x14ac:dyDescent="0.25">
      <c r="A8168" t="str">
        <f>T("   830110")</f>
        <v xml:space="preserve">   830110</v>
      </c>
      <c r="B8168" t="str">
        <f>T("   CADENAS")</f>
        <v xml:space="preserve">   CADENAS</v>
      </c>
      <c r="C8168" s="4">
        <v>19</v>
      </c>
      <c r="D8168" s="4">
        <v>41726</v>
      </c>
    </row>
    <row r="8169" spans="1:4" x14ac:dyDescent="0.25">
      <c r="A8169" t="str">
        <f>T("   831110")</f>
        <v xml:space="preserve">   831110</v>
      </c>
      <c r="B8169" t="str">
        <f>T("   ELECTRODES ENROBEES POUR LE SOUDAGE A L'ARC, EN METAUX COMMUNS")</f>
        <v xml:space="preserve">   ELECTRODES ENROBEES POUR LE SOUDAGE A L'ARC, EN METAUX COMMUNS</v>
      </c>
      <c r="C8169" s="4">
        <v>43691</v>
      </c>
      <c r="D8169" s="4">
        <v>41545884</v>
      </c>
    </row>
    <row r="8170" spans="1:4" x14ac:dyDescent="0.25">
      <c r="A8170" t="str">
        <f>T("   841869")</f>
        <v xml:space="preserve">   841869</v>
      </c>
      <c r="B8170" t="str">
        <f>T("   AUTRES")</f>
        <v xml:space="preserve">   AUTRES</v>
      </c>
      <c r="C8170" s="4">
        <v>55</v>
      </c>
      <c r="D8170" s="4">
        <v>168516</v>
      </c>
    </row>
    <row r="8171" spans="1:4" x14ac:dyDescent="0.25">
      <c r="A8171" t="str">
        <f>T("   842240")</f>
        <v xml:space="preserve">   842240</v>
      </c>
      <c r="B8171" t="str">
        <f>T("   AUTRES MACHINES ET APPAREILS A EMPAQUETER OU A EMBALLER LES MARCHANDISES (Y COMPRIS L")</f>
        <v xml:space="preserve">   AUTRES MACHINES ET APPAREILS A EMPAQUETER OU A EMBALLER LES MARCHANDISES (Y COMPRIS L</v>
      </c>
      <c r="C8171" s="4">
        <v>75</v>
      </c>
      <c r="D8171" s="4">
        <v>153191</v>
      </c>
    </row>
    <row r="8172" spans="1:4" x14ac:dyDescent="0.25">
      <c r="A8172" t="str">
        <f>T("   842920")</f>
        <v xml:space="preserve">   842920</v>
      </c>
      <c r="B8172" t="str">
        <f>T("   NIVELEUSES")</f>
        <v xml:space="preserve">   NIVELEUSES</v>
      </c>
      <c r="C8172" s="4">
        <v>18400</v>
      </c>
      <c r="D8172" s="4">
        <v>19941184</v>
      </c>
    </row>
    <row r="8173" spans="1:4" x14ac:dyDescent="0.25">
      <c r="A8173" t="str">
        <f>T("   842940")</f>
        <v xml:space="preserve">   842940</v>
      </c>
      <c r="B8173" t="str">
        <f>T("   COMPACTEUSES ET ROULEAUX COMPRESSEURS")</f>
        <v xml:space="preserve">   COMPACTEUSES ET ROULEAUX COMPRESSEURS</v>
      </c>
      <c r="C8173" s="4">
        <v>31700</v>
      </c>
      <c r="D8173" s="4">
        <v>28182060</v>
      </c>
    </row>
    <row r="8174" spans="1:4" x14ac:dyDescent="0.25">
      <c r="A8174" t="str">
        <f>T("   843049")</f>
        <v xml:space="preserve">   843049</v>
      </c>
      <c r="B8174" t="str">
        <f>T("   AUTRES")</f>
        <v xml:space="preserve">   AUTRES</v>
      </c>
      <c r="C8174" s="4">
        <v>12500</v>
      </c>
      <c r="D8174" s="4">
        <v>59100683</v>
      </c>
    </row>
    <row r="8175" spans="1:4" x14ac:dyDescent="0.25">
      <c r="A8175" t="str">
        <f>T("   844319")</f>
        <v xml:space="preserve">   844319</v>
      </c>
      <c r="B8175" t="str">
        <f>T("   AUTRES")</f>
        <v xml:space="preserve">   AUTRES</v>
      </c>
      <c r="C8175" s="4">
        <v>120</v>
      </c>
      <c r="D8175" s="4">
        <v>1902284</v>
      </c>
    </row>
    <row r="8176" spans="1:4" x14ac:dyDescent="0.25">
      <c r="A8176" t="str">
        <f>T("   846880")</f>
        <v xml:space="preserve">   846880</v>
      </c>
      <c r="B8176" t="str">
        <f>T("   AUTRES MACHINES ET APPAREILS")</f>
        <v xml:space="preserve">   AUTRES MACHINES ET APPAREILS</v>
      </c>
      <c r="C8176" s="4">
        <v>503</v>
      </c>
      <c r="D8176" s="4">
        <v>429798</v>
      </c>
    </row>
    <row r="8177" spans="1:4" x14ac:dyDescent="0.25">
      <c r="A8177" t="str">
        <f>T("   847190")</f>
        <v xml:space="preserve">   847190</v>
      </c>
      <c r="B8177" t="str">
        <f>T("   AUTRES")</f>
        <v xml:space="preserve">   AUTRES</v>
      </c>
      <c r="C8177" s="4">
        <v>2</v>
      </c>
      <c r="D8177" s="4">
        <v>1767458</v>
      </c>
    </row>
    <row r="8178" spans="1:4" x14ac:dyDescent="0.25">
      <c r="A8178" t="str">
        <f>T("   847290")</f>
        <v xml:space="preserve">   847290</v>
      </c>
      <c r="B8178" t="str">
        <f>T("   AUTRES")</f>
        <v xml:space="preserve">   AUTRES</v>
      </c>
      <c r="C8178" s="4">
        <v>709</v>
      </c>
      <c r="D8178" s="4">
        <v>1410315</v>
      </c>
    </row>
    <row r="8179" spans="1:4" x14ac:dyDescent="0.25">
      <c r="A8179" t="str">
        <f>T("   847330")</f>
        <v xml:space="preserve">   847330</v>
      </c>
      <c r="B8179" t="str">
        <f>T("   PARTIES ET ACCESSOIRES DES MACHINES DU N° 84.71")</f>
        <v xml:space="preserve">   PARTIES ET ACCESSOIRES DES MACHINES DU N° 84.71</v>
      </c>
      <c r="C8179" s="4">
        <v>363</v>
      </c>
      <c r="D8179" s="4">
        <v>918344</v>
      </c>
    </row>
    <row r="8180" spans="1:4" x14ac:dyDescent="0.25">
      <c r="A8180" t="str">
        <f>T("   848190")</f>
        <v xml:space="preserve">   848190</v>
      </c>
      <c r="B8180" t="str">
        <f>T("   PARTIES")</f>
        <v xml:space="preserve">   PARTIES</v>
      </c>
      <c r="C8180" s="4">
        <v>40</v>
      </c>
      <c r="D8180" s="4">
        <v>8568149</v>
      </c>
    </row>
    <row r="8181" spans="1:4" x14ac:dyDescent="0.25">
      <c r="A8181" t="str">
        <f>T("   850239")</f>
        <v xml:space="preserve">   850239</v>
      </c>
      <c r="B8181" t="str">
        <f>T("   AUTRES")</f>
        <v xml:space="preserve">   AUTRES</v>
      </c>
      <c r="C8181" s="4">
        <v>183</v>
      </c>
      <c r="D8181" s="4">
        <v>180000</v>
      </c>
    </row>
    <row r="8182" spans="1:4" x14ac:dyDescent="0.25">
      <c r="A8182" t="str">
        <f>T("   850410")</f>
        <v xml:space="preserve">   850410</v>
      </c>
      <c r="B8182" t="str">
        <f>T("   BALLASTS POUR LAMPES OU TUBES A DECHARGE")</f>
        <v xml:space="preserve">   BALLASTS POUR LAMPES OU TUBES A DECHARGE</v>
      </c>
      <c r="C8182" s="4">
        <v>96</v>
      </c>
      <c r="D8182" s="4">
        <v>154151</v>
      </c>
    </row>
    <row r="8183" spans="1:4" x14ac:dyDescent="0.25">
      <c r="A8183" t="str">
        <f>T("   850433")</f>
        <v xml:space="preserve">   850433</v>
      </c>
      <c r="B8183" t="str">
        <f>T("   D'UNE PUISSANCE EXCEDANT 16 KVA MAIS N'EXCEDANT PAS 500 KVA")</f>
        <v xml:space="preserve">   D'UNE PUISSANCE EXCEDANT 16 KVA MAIS N'EXCEDANT PAS 500 KVA</v>
      </c>
      <c r="C8183" s="4">
        <v>49819</v>
      </c>
      <c r="D8183" s="4">
        <v>107284775</v>
      </c>
    </row>
    <row r="8184" spans="1:4" x14ac:dyDescent="0.25">
      <c r="A8184" t="str">
        <f>T("   850434")</f>
        <v xml:space="preserve">   850434</v>
      </c>
      <c r="B8184" t="str">
        <f>T("   D'UNE PUISSANCE EXCEDANT 500 KVA")</f>
        <v xml:space="preserve">   D'UNE PUISSANCE EXCEDANT 500 KVA</v>
      </c>
      <c r="C8184" s="4">
        <v>8425</v>
      </c>
      <c r="D8184" s="4">
        <v>5838044</v>
      </c>
    </row>
    <row r="8185" spans="1:4" x14ac:dyDescent="0.25">
      <c r="A8185" t="str">
        <f>T("   850440")</f>
        <v xml:space="preserve">   850440</v>
      </c>
      <c r="B8185" t="str">
        <f>T("   CONVERTISSEURS STATIQUES")</f>
        <v xml:space="preserve">   CONVERTISSEURS STATIQUES</v>
      </c>
      <c r="C8185" s="4">
        <v>12562</v>
      </c>
      <c r="D8185" s="4">
        <v>38428425</v>
      </c>
    </row>
    <row r="8186" spans="1:4" x14ac:dyDescent="0.25">
      <c r="A8186" t="str">
        <f>T("   850450")</f>
        <v xml:space="preserve">   850450</v>
      </c>
      <c r="B8186" t="str">
        <f>T("   AUTRES BOBINES DE REACTANCE ET AUTRES SELFS")</f>
        <v xml:space="preserve">   AUTRES BOBINES DE REACTANCE ET AUTRES SELFS</v>
      </c>
      <c r="C8186" s="4">
        <v>35778</v>
      </c>
      <c r="D8186" s="4">
        <v>95507120</v>
      </c>
    </row>
    <row r="8187" spans="1:4" x14ac:dyDescent="0.25">
      <c r="A8187" t="str">
        <f>T("   851769")</f>
        <v xml:space="preserve">   851769</v>
      </c>
      <c r="B8187" t="str">
        <f>T("   AUTRES")</f>
        <v xml:space="preserve">   AUTRES</v>
      </c>
      <c r="C8187" s="4">
        <v>11</v>
      </c>
      <c r="D8187" s="4">
        <v>6378280</v>
      </c>
    </row>
    <row r="8188" spans="1:4" x14ac:dyDescent="0.25">
      <c r="A8188" t="str">
        <f>T("   852990")</f>
        <v xml:space="preserve">   852990</v>
      </c>
      <c r="B8188" t="str">
        <f>T("   AUTRES")</f>
        <v xml:space="preserve">   AUTRES</v>
      </c>
      <c r="C8188" s="4">
        <v>2020</v>
      </c>
      <c r="D8188" s="4">
        <v>300000</v>
      </c>
    </row>
    <row r="8189" spans="1:4" x14ac:dyDescent="0.25">
      <c r="A8189" t="str">
        <f>T("   853110")</f>
        <v xml:space="preserve">   853110</v>
      </c>
      <c r="B8189" t="str">
        <f>T("   AVERTISSEURS ELECTRIQUES POUR LA PROTECTION CONTRE LE VOL OU L'INCENDIE ET APPAREILS")</f>
        <v xml:space="preserve">   AVERTISSEURS ELECTRIQUES POUR LA PROTECTION CONTRE LE VOL OU L'INCENDIE ET APPAREILS</v>
      </c>
      <c r="C8189" s="4">
        <v>4048</v>
      </c>
      <c r="D8189" s="4">
        <v>3507418</v>
      </c>
    </row>
    <row r="8190" spans="1:4" x14ac:dyDescent="0.25">
      <c r="A8190" t="str">
        <f>T("   853180")</f>
        <v xml:space="preserve">   853180</v>
      </c>
      <c r="B8190" t="str">
        <f>T("   AUTRES APPAREILS")</f>
        <v xml:space="preserve">   AUTRES APPAREILS</v>
      </c>
      <c r="C8190" s="4">
        <v>2250</v>
      </c>
      <c r="D8190" s="4">
        <v>2380000</v>
      </c>
    </row>
    <row r="8191" spans="1:4" x14ac:dyDescent="0.25">
      <c r="A8191" t="str">
        <f>T("   853190")</f>
        <v xml:space="preserve">   853190</v>
      </c>
      <c r="B8191" t="str">
        <f>T("   PARTIES")</f>
        <v xml:space="preserve">   PARTIES</v>
      </c>
      <c r="C8191" s="4">
        <v>28</v>
      </c>
      <c r="D8191" s="4">
        <v>454285</v>
      </c>
    </row>
    <row r="8192" spans="1:4" x14ac:dyDescent="0.25">
      <c r="A8192" t="str">
        <f>T("   853510")</f>
        <v xml:space="preserve">   853510</v>
      </c>
      <c r="B8192" t="str">
        <f>T("   FUSIBLES ET COUPECIRCUIT A FUSIBLES")</f>
        <v xml:space="preserve">   FUSIBLES ET COUPECIRCUIT A FUSIBLES</v>
      </c>
      <c r="C8192" s="4">
        <v>434</v>
      </c>
      <c r="D8192" s="4">
        <v>450973</v>
      </c>
    </row>
    <row r="8193" spans="1:4" x14ac:dyDescent="0.25">
      <c r="A8193" t="str">
        <f>T("   853590")</f>
        <v xml:space="preserve">   853590</v>
      </c>
      <c r="B8193" t="str">
        <f>T("   AUTRES")</f>
        <v xml:space="preserve">   AUTRES</v>
      </c>
      <c r="C8193" s="4">
        <v>5345</v>
      </c>
      <c r="D8193" s="4">
        <v>2550534</v>
      </c>
    </row>
    <row r="8194" spans="1:4" x14ac:dyDescent="0.25">
      <c r="A8194" t="str">
        <f>T("   853620")</f>
        <v xml:space="preserve">   853620</v>
      </c>
      <c r="B8194" t="str">
        <f>T("   DISJONCTEURS")</f>
        <v xml:space="preserve">   DISJONCTEURS</v>
      </c>
      <c r="C8194" s="4">
        <v>7367</v>
      </c>
      <c r="D8194" s="4">
        <v>7907598</v>
      </c>
    </row>
    <row r="8195" spans="1:4" x14ac:dyDescent="0.25">
      <c r="A8195" t="str">
        <f>T("   853650")</f>
        <v xml:space="preserve">   853650</v>
      </c>
      <c r="B8195" t="str">
        <f>T("   AUTRES INTERRUPTEURS, SECTIONNEURS ET COMMUTATEURS")</f>
        <v xml:space="preserve">   AUTRES INTERRUPTEURS, SECTIONNEURS ET COMMUTATEURS</v>
      </c>
      <c r="C8195" s="4">
        <v>38574</v>
      </c>
      <c r="D8195" s="4">
        <v>45381031</v>
      </c>
    </row>
    <row r="8196" spans="1:4" x14ac:dyDescent="0.25">
      <c r="A8196" t="str">
        <f>T("   853669")</f>
        <v xml:space="preserve">   853669</v>
      </c>
      <c r="B8196" t="str">
        <f>T("   AUTRES")</f>
        <v xml:space="preserve">   AUTRES</v>
      </c>
      <c r="C8196" s="4">
        <v>83597</v>
      </c>
      <c r="D8196" s="4">
        <v>67996815</v>
      </c>
    </row>
    <row r="8197" spans="1:4" x14ac:dyDescent="0.25">
      <c r="A8197" t="str">
        <f>T("   853690")</f>
        <v xml:space="preserve">   853690</v>
      </c>
      <c r="B8197" t="str">
        <f>T("   AUTRES APPAREILS")</f>
        <v xml:space="preserve">   AUTRES APPAREILS</v>
      </c>
      <c r="C8197" s="4">
        <v>6819</v>
      </c>
      <c r="D8197" s="4">
        <v>6801650</v>
      </c>
    </row>
    <row r="8198" spans="1:4" x14ac:dyDescent="0.25">
      <c r="A8198" t="str">
        <f>T("   853810")</f>
        <v xml:space="preserve">   853810</v>
      </c>
      <c r="B8198" t="str">
        <f>T("   TABLEAUX, PANNEAUX, CONSOLES, PUPITRES, ARMOIRES ET AUTRES SUPPORTS DU N° 85.37, DEPO")</f>
        <v xml:space="preserve">   TABLEAUX, PANNEAUX, CONSOLES, PUPITRES, ARMOIRES ET AUTRES SUPPORTS DU N° 85.37, DEPO</v>
      </c>
      <c r="C8198" s="4">
        <v>11453</v>
      </c>
      <c r="D8198" s="4">
        <v>11490453</v>
      </c>
    </row>
    <row r="8199" spans="1:4" x14ac:dyDescent="0.25">
      <c r="A8199" t="str">
        <f>T("   853890")</f>
        <v xml:space="preserve">   853890</v>
      </c>
      <c r="B8199" t="str">
        <f>T("   AUTRES")</f>
        <v xml:space="preserve">   AUTRES</v>
      </c>
      <c r="C8199" s="4">
        <v>19145</v>
      </c>
      <c r="D8199" s="4">
        <v>20999905</v>
      </c>
    </row>
    <row r="8200" spans="1:4" x14ac:dyDescent="0.25">
      <c r="A8200" t="str">
        <f>T("   853931")</f>
        <v xml:space="preserve">   853931</v>
      </c>
      <c r="B8200" t="str">
        <f>T("   FLUORESCENTS, A CATHODE CHAUDE")</f>
        <v xml:space="preserve">   FLUORESCENTS, A CATHODE CHAUDE</v>
      </c>
      <c r="C8200" s="4">
        <v>3620.5</v>
      </c>
      <c r="D8200" s="4">
        <v>5512071</v>
      </c>
    </row>
    <row r="8201" spans="1:4" x14ac:dyDescent="0.25">
      <c r="A8201" t="str">
        <f>T("   853939")</f>
        <v xml:space="preserve">   853939</v>
      </c>
      <c r="B8201" t="str">
        <f>T("   AUTRES")</f>
        <v xml:space="preserve">   AUTRES</v>
      </c>
      <c r="C8201" s="4">
        <v>10294</v>
      </c>
      <c r="D8201" s="4">
        <v>10343180</v>
      </c>
    </row>
    <row r="8202" spans="1:4" x14ac:dyDescent="0.25">
      <c r="A8202" t="str">
        <f>T("   854420")</f>
        <v xml:space="preserve">   854420</v>
      </c>
      <c r="B8202" t="str">
        <f>T("   Cables coaxiaux et autres conducteurs electriques coaxiaux")</f>
        <v xml:space="preserve">   Cables coaxiaux et autres conducteurs electriques coaxiaux</v>
      </c>
      <c r="C8202" s="4">
        <v>49504</v>
      </c>
      <c r="D8202" s="4">
        <v>50355188</v>
      </c>
    </row>
    <row r="8203" spans="1:4" x14ac:dyDescent="0.25">
      <c r="A8203" t="str">
        <f>T("   854449")</f>
        <v xml:space="preserve">   854449</v>
      </c>
      <c r="B8203" t="str">
        <f>T("   AUTRES")</f>
        <v xml:space="preserve">   AUTRES</v>
      </c>
      <c r="C8203" s="4">
        <v>107591</v>
      </c>
      <c r="D8203" s="4">
        <v>178599894</v>
      </c>
    </row>
    <row r="8204" spans="1:4" x14ac:dyDescent="0.25">
      <c r="A8204" t="str">
        <f>T("   870421")</f>
        <v xml:space="preserve">   870421</v>
      </c>
      <c r="B8204" t="str">
        <f>T("   D'UN POIDS EN CHARGE MAXIMAL N'EXCEDANT PAS 5 TONNES")</f>
        <v xml:space="preserve">   D'UN POIDS EN CHARGE MAXIMAL N'EXCEDANT PAS 5 TONNES</v>
      </c>
      <c r="C8204" s="4">
        <v>2000</v>
      </c>
      <c r="D8204" s="4">
        <v>7403176</v>
      </c>
    </row>
    <row r="8205" spans="1:4" x14ac:dyDescent="0.25">
      <c r="A8205" t="str">
        <f>T("   870431")</f>
        <v xml:space="preserve">   870431</v>
      </c>
      <c r="B8205" t="str">
        <f>T("   D'UN POIDS EN CHARGE MAXIMAL N'EXCEDANT PAS 5 TONNES")</f>
        <v xml:space="preserve">   D'UN POIDS EN CHARGE MAXIMAL N'EXCEDANT PAS 5 TONNES</v>
      </c>
      <c r="C8205" s="4">
        <v>2000</v>
      </c>
      <c r="D8205" s="4">
        <v>9056000</v>
      </c>
    </row>
    <row r="8206" spans="1:4" x14ac:dyDescent="0.25">
      <c r="A8206" t="str">
        <f>T("   871640")</f>
        <v xml:space="preserve">   871640</v>
      </c>
      <c r="B8206" t="str">
        <f>T("   AUTRES REMORQUES ET SEMIREMORQUES")</f>
        <v xml:space="preserve">   AUTRES REMORQUES ET SEMIREMORQUES</v>
      </c>
      <c r="C8206" s="4">
        <v>10000</v>
      </c>
      <c r="D8206" s="4">
        <v>5348520</v>
      </c>
    </row>
    <row r="8207" spans="1:4" x14ac:dyDescent="0.25">
      <c r="A8207" t="str">
        <f>T("   901890")</f>
        <v xml:space="preserve">   901890</v>
      </c>
      <c r="B8207" t="str">
        <f>T("   AUTRES INSTRUMENTS ET APPAREILS")</f>
        <v xml:space="preserve">   AUTRES INSTRUMENTS ET APPAREILS</v>
      </c>
      <c r="C8207" s="4">
        <v>167</v>
      </c>
      <c r="D8207" s="4">
        <v>400000</v>
      </c>
    </row>
    <row r="8208" spans="1:4" x14ac:dyDescent="0.25">
      <c r="A8208" t="str">
        <f>T("   902000")</f>
        <v xml:space="preserve">   902000</v>
      </c>
      <c r="B8208" t="str">
        <f>T("   AUTRES APPAREILS RESPIRATOIRES ET MASQUES A GAZ, A L'EXCLUSION DES MASQUES DE PROTECTIO")</f>
        <v xml:space="preserve">   AUTRES APPAREILS RESPIRATOIRES ET MASQUES A GAZ, A L'EXCLUSION DES MASQUES DE PROTECTIO</v>
      </c>
      <c r="C8208" s="4">
        <v>454</v>
      </c>
      <c r="D8208" s="4">
        <v>9437365</v>
      </c>
    </row>
    <row r="8209" spans="1:4" x14ac:dyDescent="0.25">
      <c r="A8209" t="str">
        <f>T("   940350")</f>
        <v xml:space="preserve">   940350</v>
      </c>
      <c r="B8209" t="str">
        <f>T("   MEUBLES EN BOIS DES TYPES UTILISES DANS LES CHAMBRES A COUCHER")</f>
        <v xml:space="preserve">   MEUBLES EN BOIS DES TYPES UTILISES DANS LES CHAMBRES A COUCHER</v>
      </c>
      <c r="C8209" s="4">
        <v>1200</v>
      </c>
      <c r="D8209" s="4">
        <v>1800000</v>
      </c>
    </row>
    <row r="8210" spans="1:4" x14ac:dyDescent="0.25">
      <c r="A8210" t="str">
        <f>T("   940360")</f>
        <v xml:space="preserve">   940360</v>
      </c>
      <c r="B8210" t="str">
        <f>T("   Autres meubles en bois")</f>
        <v xml:space="preserve">   Autres meubles en bois</v>
      </c>
      <c r="C8210" s="4">
        <v>4500</v>
      </c>
      <c r="D8210" s="4">
        <v>4500000</v>
      </c>
    </row>
    <row r="8211" spans="1:4" x14ac:dyDescent="0.25">
      <c r="A8211" t="str">
        <f>T("   940510")</f>
        <v xml:space="preserve">   940510</v>
      </c>
      <c r="B8211" t="str">
        <f>T("   LUSTRES ET AUTRES APPAREILS D'ECLAIRAGE ELECTRIQUES A SUSPENDRE OU A FIXER AU PLAFOND")</f>
        <v xml:space="preserve">   LUSTRES ET AUTRES APPAREILS D'ECLAIRAGE ELECTRIQUES A SUSPENDRE OU A FIXER AU PLAFOND</v>
      </c>
      <c r="C8211" s="4">
        <v>8851</v>
      </c>
      <c r="D8211" s="4">
        <v>10465187</v>
      </c>
    </row>
    <row r="8212" spans="1:4" x14ac:dyDescent="0.25">
      <c r="A8212" t="str">
        <f>T("   940540")</f>
        <v xml:space="preserve">   940540</v>
      </c>
      <c r="B8212" t="str">
        <f>T("   AUTRES APPAREILS D'ECLAIRAGE ELECTRIQUES")</f>
        <v xml:space="preserve">   AUTRES APPAREILS D'ECLAIRAGE ELECTRIQUES</v>
      </c>
      <c r="C8212" s="4">
        <v>13403</v>
      </c>
      <c r="D8212" s="4">
        <v>13694230</v>
      </c>
    </row>
    <row r="8213" spans="1:4" x14ac:dyDescent="0.25">
      <c r="A8213" t="str">
        <f>T("   940592")</f>
        <v xml:space="preserve">   940592</v>
      </c>
      <c r="B8213" t="str">
        <f>T("   EN MATIERES PLASTIQUES")</f>
        <v xml:space="preserve">   EN MATIERES PLASTIQUES</v>
      </c>
      <c r="C8213" s="4">
        <v>3372</v>
      </c>
      <c r="D8213" s="4">
        <v>3471340</v>
      </c>
    </row>
    <row r="8214" spans="1:4" x14ac:dyDescent="0.25">
      <c r="A8214" t="str">
        <f>T("   950619")</f>
        <v xml:space="preserve">   950619</v>
      </c>
      <c r="B8214" t="str">
        <f>T("   AUTRES")</f>
        <v xml:space="preserve">   AUTRES</v>
      </c>
      <c r="C8214" s="4">
        <v>36</v>
      </c>
      <c r="D8214" s="4">
        <v>118200</v>
      </c>
    </row>
    <row r="8215" spans="1:4" x14ac:dyDescent="0.25">
      <c r="A8215" t="str">
        <f>T("   960810")</f>
        <v xml:space="preserve">   960810</v>
      </c>
      <c r="B8215" t="str">
        <f>T("   STYLOS ET CRAYONS A BILLE")</f>
        <v xml:space="preserve">   STYLOS ET CRAYONS A BILLE</v>
      </c>
      <c r="C8215" s="4">
        <v>1166</v>
      </c>
      <c r="D8215" s="4">
        <v>422209</v>
      </c>
    </row>
    <row r="8216" spans="1:4" x14ac:dyDescent="0.25">
      <c r="A8216" t="str">
        <f>T("   960899")</f>
        <v xml:space="preserve">   960899</v>
      </c>
      <c r="B8216" t="str">
        <f>T("   AUTRES")</f>
        <v xml:space="preserve">   AUTRES</v>
      </c>
      <c r="C8216" s="4">
        <v>14</v>
      </c>
      <c r="D8216" s="4">
        <v>466582</v>
      </c>
    </row>
    <row r="8217" spans="1:4" s="5" customFormat="1" x14ac:dyDescent="0.25">
      <c r="A8217" s="5" t="str">
        <f>T("   ZZ_Total_Produit_SH6")</f>
        <v xml:space="preserve">   ZZ_Total_Produit_SH6</v>
      </c>
      <c r="B8217" s="5" t="str">
        <f>T("   ZZ_Total_Produit_SH6")</f>
        <v xml:space="preserve">   ZZ_Total_Produit_SH6</v>
      </c>
      <c r="C8217" s="1">
        <v>88732908.700000003</v>
      </c>
      <c r="D8217" s="1">
        <v>13564009344.332001</v>
      </c>
    </row>
    <row r="8218" spans="1:4" s="5" customFormat="1" x14ac:dyDescent="0.25">
      <c r="B8218" s="5" t="str">
        <f>T("Monaco")</f>
        <v>Monaco</v>
      </c>
      <c r="C8218" s="1"/>
      <c r="D8218" s="1"/>
    </row>
    <row r="8219" spans="1:4" x14ac:dyDescent="0.25">
      <c r="A8219" t="str">
        <f>T("   020712")</f>
        <v xml:space="preserve">   020712</v>
      </c>
      <c r="B8219" t="str">
        <f>T("   NON DECOUPES EN MORCEAUX, CONGELES")</f>
        <v xml:space="preserve">   NON DECOUPES EN MORCEAUX, CONGELES</v>
      </c>
      <c r="C8219" s="4">
        <v>75000</v>
      </c>
      <c r="D8219" s="4">
        <v>46650000</v>
      </c>
    </row>
    <row r="8220" spans="1:4" x14ac:dyDescent="0.25">
      <c r="A8220" t="str">
        <f>T("   020714")</f>
        <v xml:space="preserve">   020714</v>
      </c>
      <c r="B8220" t="str">
        <f>T("   MORCEAUX ET ABATS, CONGELES")</f>
        <v xml:space="preserve">   MORCEAUX ET ABATS, CONGELES</v>
      </c>
      <c r="C8220" s="4">
        <v>100000</v>
      </c>
      <c r="D8220" s="4">
        <v>62200000</v>
      </c>
    </row>
    <row r="8221" spans="1:4" x14ac:dyDescent="0.25">
      <c r="A8221" t="str">
        <f>T("   160413")</f>
        <v xml:space="preserve">   160413</v>
      </c>
      <c r="B8221" t="str">
        <f>T("   SARDINES, SARDINELLES ET SPRATS OU ESPROTS")</f>
        <v xml:space="preserve">   SARDINES, SARDINELLES ET SPRATS OU ESPROTS</v>
      </c>
      <c r="C8221" s="4">
        <v>27625</v>
      </c>
      <c r="D8221" s="4">
        <v>6554000</v>
      </c>
    </row>
    <row r="8222" spans="1:4" x14ac:dyDescent="0.25">
      <c r="A8222" t="str">
        <f>T("   732111")</f>
        <v xml:space="preserve">   732111</v>
      </c>
      <c r="B8222" t="str">
        <f>T("   A COMBUSTIBLES GAZEUX OU A GAZ ET AUTRES COMBUSTIBLES")</f>
        <v xml:space="preserve">   A COMBUSTIBLES GAZEUX OU A GAZ ET AUTRES COMBUSTIBLES</v>
      </c>
      <c r="C8222" s="4">
        <v>3315</v>
      </c>
      <c r="D8222" s="4">
        <v>1186631</v>
      </c>
    </row>
    <row r="8223" spans="1:4" x14ac:dyDescent="0.25">
      <c r="A8223" t="str">
        <f>T("   841829")</f>
        <v xml:space="preserve">   841829</v>
      </c>
      <c r="B8223" t="str">
        <f>T("   AUTRES")</f>
        <v xml:space="preserve">   AUTRES</v>
      </c>
      <c r="C8223" s="4">
        <v>19138</v>
      </c>
      <c r="D8223" s="4">
        <v>27525943</v>
      </c>
    </row>
    <row r="8224" spans="1:4" x14ac:dyDescent="0.25">
      <c r="A8224" t="str">
        <f>T("   852321")</f>
        <v xml:space="preserve">   852321</v>
      </c>
      <c r="B8224" t="str">
        <f>T("   CARTES MUNIES D'UNE PISTE MAGNETIQUE")</f>
        <v xml:space="preserve">   CARTES MUNIES D'UNE PISTE MAGNETIQUE</v>
      </c>
      <c r="C8224" s="4">
        <v>75</v>
      </c>
      <c r="D8224" s="4">
        <v>935498</v>
      </c>
    </row>
    <row r="8225" spans="1:4" x14ac:dyDescent="0.25">
      <c r="A8225" t="str">
        <f>T("   853190")</f>
        <v xml:space="preserve">   853190</v>
      </c>
      <c r="B8225" t="str">
        <f>T("   PARTIES")</f>
        <v xml:space="preserve">   PARTIES</v>
      </c>
      <c r="C8225" s="4">
        <v>2</v>
      </c>
      <c r="D8225" s="4">
        <v>12000</v>
      </c>
    </row>
    <row r="8226" spans="1:4" x14ac:dyDescent="0.25">
      <c r="A8226" t="str">
        <f>T("   870323")</f>
        <v xml:space="preserve">   870323</v>
      </c>
      <c r="B8226" t="str">
        <f>T("   D’UNE CYLINDREE EXCEDANT 1.500 CM³ MAIS N’EXCEDANT PAS 3.000 CM³")</f>
        <v xml:space="preserve">   D’UNE CYLINDREE EXCEDANT 1.500 CM³ MAIS N’EXCEDANT PAS 3.000 CM³</v>
      </c>
      <c r="C8226" s="4">
        <v>950</v>
      </c>
      <c r="D8226" s="4">
        <v>1954324</v>
      </c>
    </row>
    <row r="8227" spans="1:4" s="5" customFormat="1" x14ac:dyDescent="0.25">
      <c r="A8227" s="5" t="str">
        <f>T("   ZZ_Total_Produit_SH6")</f>
        <v xml:space="preserve">   ZZ_Total_Produit_SH6</v>
      </c>
      <c r="B8227" s="5" t="str">
        <f>T("   ZZ_Total_Produit_SH6")</f>
        <v xml:space="preserve">   ZZ_Total_Produit_SH6</v>
      </c>
      <c r="C8227" s="1">
        <v>226105</v>
      </c>
      <c r="D8227" s="1">
        <v>147018396</v>
      </c>
    </row>
    <row r="8228" spans="1:4" s="5" customFormat="1" x14ac:dyDescent="0.25">
      <c r="B8228" s="5" t="str">
        <f>T("Madagascar")</f>
        <v>Madagascar</v>
      </c>
      <c r="C8228" s="1"/>
      <c r="D8228" s="1"/>
    </row>
    <row r="8229" spans="1:4" x14ac:dyDescent="0.25">
      <c r="A8229" t="str">
        <f>T("   190410")</f>
        <v xml:space="preserve">   190410</v>
      </c>
      <c r="B8229" t="str">
        <f>T("   PRODUITS A BASE DE CEREALES OBTENUS PAR SOUFFLAGE OU GRILLAGE")</f>
        <v xml:space="preserve">   PRODUITS A BASE DE CEREALES OBTENUS PAR SOUFFLAGE OU GRILLAGE</v>
      </c>
      <c r="C8229" s="4">
        <v>195</v>
      </c>
      <c r="D8229" s="4">
        <v>362468</v>
      </c>
    </row>
    <row r="8230" spans="1:4" x14ac:dyDescent="0.25">
      <c r="A8230" t="str">
        <f>T("   190531")</f>
        <v xml:space="preserve">   190531</v>
      </c>
      <c r="B8230" t="str">
        <f>T("   BISCUITS ADDITIONNES D’EDULCORANTS")</f>
        <v xml:space="preserve">   BISCUITS ADDITIONNES D’EDULCORANTS</v>
      </c>
      <c r="C8230" s="4">
        <v>5036</v>
      </c>
      <c r="D8230" s="4">
        <v>9358951</v>
      </c>
    </row>
    <row r="8231" spans="1:4" x14ac:dyDescent="0.25">
      <c r="A8231" t="str">
        <f>T("   290541")</f>
        <v xml:space="preserve">   290541</v>
      </c>
      <c r="B8231" t="str">
        <f>T("   2ETHYL2(HYDROXYMETHYL)PROPANE1,3DIOL (TRIMETHYLOLPROPANE)")</f>
        <v xml:space="preserve">   2ETHYL2(HYDROXYMETHYL)PROPANE1,3DIOL (TRIMETHYLOLPROPANE)</v>
      </c>
      <c r="C8231" s="4">
        <v>762120</v>
      </c>
      <c r="D8231" s="4">
        <v>342411120</v>
      </c>
    </row>
    <row r="8232" spans="1:4" x14ac:dyDescent="0.25">
      <c r="A8232" t="str">
        <f>T("   330610")</f>
        <v xml:space="preserve">   330610</v>
      </c>
      <c r="B8232" t="str">
        <f>T("   Dentifrices")</f>
        <v xml:space="preserve">   Dentifrices</v>
      </c>
      <c r="C8232" s="4">
        <v>411</v>
      </c>
      <c r="D8232" s="4">
        <v>764270</v>
      </c>
    </row>
    <row r="8233" spans="1:4" x14ac:dyDescent="0.25">
      <c r="A8233" t="str">
        <f>T("   620590")</f>
        <v xml:space="preserve">   620590</v>
      </c>
      <c r="B8233" t="str">
        <f>T("   D'AUTRES MATIERES TEXTILES")</f>
        <v xml:space="preserve">   D'AUTRES MATIERES TEXTILES</v>
      </c>
      <c r="C8233" s="4">
        <v>1600</v>
      </c>
      <c r="D8233" s="4">
        <v>2480358</v>
      </c>
    </row>
    <row r="8234" spans="1:4" x14ac:dyDescent="0.25">
      <c r="A8234" t="str">
        <f>T("   620990")</f>
        <v xml:space="preserve">   620990</v>
      </c>
      <c r="B8234" t="str">
        <f>T("   D'AUTRES MATIERES TEXTILES")</f>
        <v xml:space="preserve">   D'AUTRES MATIERES TEXTILES</v>
      </c>
      <c r="C8234" s="4">
        <v>43</v>
      </c>
      <c r="D8234" s="4">
        <v>388000</v>
      </c>
    </row>
    <row r="8235" spans="1:4" x14ac:dyDescent="0.25">
      <c r="A8235" t="str">
        <f>T("   621139")</f>
        <v xml:space="preserve">   621139</v>
      </c>
      <c r="B8235" t="str">
        <f>T("   D'AUTRES MATIERES TEXTILES")</f>
        <v xml:space="preserve">   D'AUTRES MATIERES TEXTILES</v>
      </c>
      <c r="C8235" s="4">
        <v>265</v>
      </c>
      <c r="D8235" s="4">
        <v>380000</v>
      </c>
    </row>
    <row r="8236" spans="1:4" x14ac:dyDescent="0.25">
      <c r="A8236" t="str">
        <f>T("   630900")</f>
        <v xml:space="preserve">   630900</v>
      </c>
      <c r="B8236" t="str">
        <f>T("   ARTICLES DE FRIPERIE.")</f>
        <v xml:space="preserve">   ARTICLES DE FRIPERIE.</v>
      </c>
      <c r="C8236" s="4">
        <v>225</v>
      </c>
      <c r="D8236" s="4">
        <v>30000</v>
      </c>
    </row>
    <row r="8237" spans="1:4" x14ac:dyDescent="0.25">
      <c r="A8237" t="str">
        <f>T("   732394")</f>
        <v xml:space="preserve">   732394</v>
      </c>
      <c r="B8237" t="str">
        <f>T("   EN FER OU EN ACIER, EMAILLES")</f>
        <v xml:space="preserve">   EN FER OU EN ACIER, EMAILLES</v>
      </c>
      <c r="C8237" s="4">
        <v>1300</v>
      </c>
      <c r="D8237" s="4">
        <v>1500000</v>
      </c>
    </row>
    <row r="8238" spans="1:4" x14ac:dyDescent="0.25">
      <c r="A8238" t="str">
        <f>T("   732399")</f>
        <v xml:space="preserve">   732399</v>
      </c>
      <c r="B8238" t="str">
        <f>T("   AUTRES")</f>
        <v xml:space="preserve">   AUTRES</v>
      </c>
      <c r="C8238" s="4">
        <v>1500</v>
      </c>
      <c r="D8238" s="4">
        <v>1500000</v>
      </c>
    </row>
    <row r="8239" spans="1:4" x14ac:dyDescent="0.25">
      <c r="A8239" t="str">
        <f>T("   851769")</f>
        <v xml:space="preserve">   851769</v>
      </c>
      <c r="B8239" t="str">
        <f>T("   AUTRES")</f>
        <v xml:space="preserve">   AUTRES</v>
      </c>
      <c r="C8239" s="4">
        <v>1</v>
      </c>
      <c r="D8239" s="4">
        <v>159253</v>
      </c>
    </row>
    <row r="8240" spans="1:4" x14ac:dyDescent="0.25">
      <c r="A8240" t="str">
        <f>T("   940350")</f>
        <v xml:space="preserve">   940350</v>
      </c>
      <c r="B8240" t="str">
        <f>T("   MEUBLES EN BOIS DES TYPES UTILISES DANS LES CHAMBRES A COUCHER")</f>
        <v xml:space="preserve">   MEUBLES EN BOIS DES TYPES UTILISES DANS LES CHAMBRES A COUCHER</v>
      </c>
      <c r="C8240" s="4">
        <v>2300</v>
      </c>
      <c r="D8240" s="4">
        <v>2450000</v>
      </c>
    </row>
    <row r="8241" spans="1:4" x14ac:dyDescent="0.25">
      <c r="A8241" t="str">
        <f>T("   940360")</f>
        <v xml:space="preserve">   940360</v>
      </c>
      <c r="B8241" t="str">
        <f>T("   Autres meubles en bois")</f>
        <v xml:space="preserve">   Autres meubles en bois</v>
      </c>
      <c r="C8241" s="4">
        <v>3000</v>
      </c>
      <c r="D8241" s="4">
        <v>3500000</v>
      </c>
    </row>
    <row r="8242" spans="1:4" s="5" customFormat="1" x14ac:dyDescent="0.25">
      <c r="A8242" s="5" t="str">
        <f>T("   ZZ_Total_Produit_SH6")</f>
        <v xml:space="preserve">   ZZ_Total_Produit_SH6</v>
      </c>
      <c r="B8242" s="5" t="str">
        <f>T("   ZZ_Total_Produit_SH6")</f>
        <v xml:space="preserve">   ZZ_Total_Produit_SH6</v>
      </c>
      <c r="C8242" s="1">
        <v>777996</v>
      </c>
      <c r="D8242" s="1">
        <v>365284420</v>
      </c>
    </row>
    <row r="8243" spans="1:4" s="5" customFormat="1" x14ac:dyDescent="0.25">
      <c r="B8243" s="5" t="str">
        <f>T("Mali")</f>
        <v>Mali</v>
      </c>
      <c r="C8243" s="1"/>
      <c r="D8243" s="1"/>
    </row>
    <row r="8244" spans="1:4" x14ac:dyDescent="0.25">
      <c r="A8244" t="str">
        <f>T("   300230")</f>
        <v xml:space="preserve">   300230</v>
      </c>
      <c r="B8244" t="str">
        <f>T("   VACCINS POUR LA MEDECINE VETERINAIRE")</f>
        <v xml:space="preserve">   VACCINS POUR LA MEDECINE VETERINAIRE</v>
      </c>
      <c r="C8244" s="4">
        <v>2545</v>
      </c>
      <c r="D8244" s="4">
        <v>5000000</v>
      </c>
    </row>
    <row r="8245" spans="1:4" x14ac:dyDescent="0.25">
      <c r="A8245" t="str">
        <f>T("   300339")</f>
        <v xml:space="preserve">   300339</v>
      </c>
      <c r="B8245" t="str">
        <f>T("   AUTRES")</f>
        <v xml:space="preserve">   AUTRES</v>
      </c>
      <c r="C8245" s="4">
        <v>350</v>
      </c>
      <c r="D8245" s="4">
        <v>4374917</v>
      </c>
    </row>
    <row r="8246" spans="1:4" x14ac:dyDescent="0.25">
      <c r="A8246" t="str">
        <f>T("   300490")</f>
        <v xml:space="preserve">   300490</v>
      </c>
      <c r="B8246" t="str">
        <f>T("   AUTRES")</f>
        <v xml:space="preserve">   AUTRES</v>
      </c>
      <c r="C8246" s="4">
        <v>7944</v>
      </c>
      <c r="D8246" s="4">
        <v>168033100</v>
      </c>
    </row>
    <row r="8247" spans="1:4" x14ac:dyDescent="0.25">
      <c r="A8247" t="str">
        <f>T("   621040")</f>
        <v xml:space="preserve">   621040</v>
      </c>
      <c r="B8247" t="str">
        <f>T("   AUTRES VETEMENTS POUR HOMMES OU GARCONNETS")</f>
        <v xml:space="preserve">   AUTRES VETEMENTS POUR HOMMES OU GARCONNETS</v>
      </c>
      <c r="C8247" s="4">
        <v>81</v>
      </c>
      <c r="D8247" s="4">
        <v>52649</v>
      </c>
    </row>
    <row r="8248" spans="1:4" x14ac:dyDescent="0.25">
      <c r="A8248" t="str">
        <f>T("   630533")</f>
        <v xml:space="preserve">   630533</v>
      </c>
      <c r="B8248" t="str">
        <f>T("   AUTRES, OBTENUES A PARTIR DE LAMES OU FORMES SIMILAIRES DE POLYETHYLENE OU DE POLYPR")</f>
        <v xml:space="preserve">   AUTRES, OBTENUES A PARTIR DE LAMES OU FORMES SIMILAIRES DE POLYETHYLENE OU DE POLYPR</v>
      </c>
      <c r="C8248" s="4">
        <v>6240</v>
      </c>
      <c r="D8248" s="4">
        <v>24544000</v>
      </c>
    </row>
    <row r="8249" spans="1:4" x14ac:dyDescent="0.25">
      <c r="A8249" t="str">
        <f>T("   840890")</f>
        <v xml:space="preserve">   840890</v>
      </c>
      <c r="B8249" t="str">
        <f>T("   AUTRES MOTEURS")</f>
        <v xml:space="preserve">   AUTRES MOTEURS</v>
      </c>
      <c r="C8249" s="4">
        <v>39161</v>
      </c>
      <c r="D8249" s="4">
        <v>7380810</v>
      </c>
    </row>
    <row r="8250" spans="1:4" x14ac:dyDescent="0.25">
      <c r="A8250" t="str">
        <f>T("   843143")</f>
        <v xml:space="preserve">   843143</v>
      </c>
      <c r="B8250" t="str">
        <f>T("   PARTIES DE MACHINES DE SONDAGE OU DE FORAGE DES N°S 8430.41 OU 8430.49")</f>
        <v xml:space="preserve">   PARTIES DE MACHINES DE SONDAGE OU DE FORAGE DES N°S 8430.41 OU 8430.49</v>
      </c>
      <c r="C8250" s="4">
        <v>167</v>
      </c>
      <c r="D8250" s="4">
        <v>1849960</v>
      </c>
    </row>
    <row r="8251" spans="1:4" x14ac:dyDescent="0.25">
      <c r="A8251" t="str">
        <f>T("   851769")</f>
        <v xml:space="preserve">   851769</v>
      </c>
      <c r="B8251" t="str">
        <f>T("   AUTRES")</f>
        <v xml:space="preserve">   AUTRES</v>
      </c>
      <c r="C8251" s="4">
        <v>13</v>
      </c>
      <c r="D8251" s="4">
        <v>407275</v>
      </c>
    </row>
    <row r="8252" spans="1:4" x14ac:dyDescent="0.25">
      <c r="A8252" t="str">
        <f>T("   870422")</f>
        <v xml:space="preserve">   870422</v>
      </c>
      <c r="B8252" t="str">
        <f>T("   D'UN POIDS EN CHARGE MAXIMAL EXCEDANT 5 TONNES MAIS N'EXCEDANT PAS 20 TONNES")</f>
        <v xml:space="preserve">   D'UN POIDS EN CHARGE MAXIMAL EXCEDANT 5 TONNES MAIS N'EXCEDANT PAS 20 TONNES</v>
      </c>
      <c r="C8252" s="4">
        <v>39600</v>
      </c>
      <c r="D8252" s="4">
        <v>123066006</v>
      </c>
    </row>
    <row r="8253" spans="1:4" s="5" customFormat="1" x14ac:dyDescent="0.25">
      <c r="A8253" s="5" t="str">
        <f>T("   ZZ_Total_Produit_SH6")</f>
        <v xml:space="preserve">   ZZ_Total_Produit_SH6</v>
      </c>
      <c r="B8253" s="5" t="str">
        <f>T("   ZZ_Total_Produit_SH6")</f>
        <v xml:space="preserve">   ZZ_Total_Produit_SH6</v>
      </c>
      <c r="C8253" s="1">
        <v>96101</v>
      </c>
      <c r="D8253" s="1">
        <v>334708717</v>
      </c>
    </row>
    <row r="8254" spans="1:4" s="5" customFormat="1" x14ac:dyDescent="0.25">
      <c r="B8254" s="5" t="str">
        <f>T("Mongolie")</f>
        <v>Mongolie</v>
      </c>
      <c r="C8254" s="1"/>
      <c r="D8254" s="1"/>
    </row>
    <row r="8255" spans="1:4" x14ac:dyDescent="0.25">
      <c r="A8255" t="str">
        <f>T("   851770")</f>
        <v xml:space="preserve">   851770</v>
      </c>
      <c r="B8255" t="str">
        <f>T("   PARTIES")</f>
        <v xml:space="preserve">   PARTIES</v>
      </c>
      <c r="C8255" s="4">
        <v>368</v>
      </c>
      <c r="D8255" s="4">
        <v>688266</v>
      </c>
    </row>
    <row r="8256" spans="1:4" x14ac:dyDescent="0.25">
      <c r="A8256" t="str">
        <f>T("   852550")</f>
        <v xml:space="preserve">   852550</v>
      </c>
      <c r="B8256" t="str">
        <f>T("   APPAREILS D'EMISSION")</f>
        <v xml:space="preserve">   APPAREILS D'EMISSION</v>
      </c>
      <c r="C8256" s="4">
        <v>380</v>
      </c>
      <c r="D8256" s="4">
        <v>2124117</v>
      </c>
    </row>
    <row r="8257" spans="1:4" s="5" customFormat="1" x14ac:dyDescent="0.25">
      <c r="A8257" s="5" t="str">
        <f>T("   ZZ_Total_Produit_SH6")</f>
        <v xml:space="preserve">   ZZ_Total_Produit_SH6</v>
      </c>
      <c r="B8257" s="5" t="str">
        <f>T("   ZZ_Total_Produit_SH6")</f>
        <v xml:space="preserve">   ZZ_Total_Produit_SH6</v>
      </c>
      <c r="C8257" s="1">
        <v>748</v>
      </c>
      <c r="D8257" s="1">
        <v>2812383</v>
      </c>
    </row>
    <row r="8258" spans="1:4" s="5" customFormat="1" x14ac:dyDescent="0.25">
      <c r="B8258" s="5" t="str">
        <f>T("Martinique")</f>
        <v>Martinique</v>
      </c>
      <c r="C8258" s="1"/>
      <c r="D8258" s="1"/>
    </row>
    <row r="8259" spans="1:4" x14ac:dyDescent="0.25">
      <c r="A8259" t="str">
        <f>T("   490199")</f>
        <v xml:space="preserve">   490199</v>
      </c>
      <c r="B8259" t="str">
        <f>T("   AUTRES")</f>
        <v xml:space="preserve">   AUTRES</v>
      </c>
      <c r="C8259" s="4">
        <v>150</v>
      </c>
      <c r="D8259" s="4">
        <v>1131531</v>
      </c>
    </row>
    <row r="8260" spans="1:4" s="5" customFormat="1" x14ac:dyDescent="0.25">
      <c r="A8260" s="5" t="str">
        <f>T("   ZZ_Total_Produit_SH6")</f>
        <v xml:space="preserve">   ZZ_Total_Produit_SH6</v>
      </c>
      <c r="B8260" s="5" t="str">
        <f>T("   ZZ_Total_Produit_SH6")</f>
        <v xml:space="preserve">   ZZ_Total_Produit_SH6</v>
      </c>
      <c r="C8260" s="1">
        <v>150</v>
      </c>
      <c r="D8260" s="1">
        <v>1131531</v>
      </c>
    </row>
    <row r="8261" spans="1:4" s="5" customFormat="1" x14ac:dyDescent="0.25">
      <c r="B8261" s="5" t="str">
        <f>T("Mauritanie")</f>
        <v>Mauritanie</v>
      </c>
      <c r="C8261" s="1"/>
      <c r="D8261" s="1"/>
    </row>
    <row r="8262" spans="1:4" x14ac:dyDescent="0.25">
      <c r="A8262" t="str">
        <f>T("   030219")</f>
        <v xml:space="preserve">   030219</v>
      </c>
      <c r="B8262" t="str">
        <f>T("   AUTRES")</f>
        <v xml:space="preserve">   AUTRES</v>
      </c>
      <c r="C8262" s="4">
        <v>28524248</v>
      </c>
      <c r="D8262" s="4">
        <v>11409699725</v>
      </c>
    </row>
    <row r="8263" spans="1:4" x14ac:dyDescent="0.25">
      <c r="A8263" t="str">
        <f>T("   030229")</f>
        <v xml:space="preserve">   030229</v>
      </c>
      <c r="B8263" t="str">
        <f>T("   AUTRES")</f>
        <v xml:space="preserve">   AUTRES</v>
      </c>
      <c r="C8263" s="4">
        <v>2125820</v>
      </c>
      <c r="D8263" s="4">
        <v>850328000</v>
      </c>
    </row>
    <row r="8264" spans="1:4" x14ac:dyDescent="0.25">
      <c r="A8264" t="str">
        <f>T("   030269")</f>
        <v xml:space="preserve">   030269</v>
      </c>
      <c r="B8264" t="str">
        <f>T("   Autres poissons entiers,frais ou refrigeres.(foies,oeufs laitances exclus)")</f>
        <v xml:space="preserve">   Autres poissons entiers,frais ou refrigeres.(foies,oeufs laitances exclus)</v>
      </c>
      <c r="C8264" s="4">
        <v>15819887</v>
      </c>
      <c r="D8264" s="4">
        <v>6327954800</v>
      </c>
    </row>
    <row r="8265" spans="1:4" x14ac:dyDescent="0.25">
      <c r="A8265" t="str">
        <f>T("   030379")</f>
        <v xml:space="preserve">   030379</v>
      </c>
      <c r="B8265" t="str">
        <f>T("   AUTRES POISSONS ENTIERS CONGELES.(FOIES,OEUFS,LAITANCES EXCLUS)")</f>
        <v xml:space="preserve">   AUTRES POISSONS ENTIERS CONGELES.(FOIES,OEUFS,LAITANCES EXCLUS)</v>
      </c>
      <c r="C8265" s="4">
        <v>25585591</v>
      </c>
      <c r="D8265" s="4">
        <v>8476408497</v>
      </c>
    </row>
    <row r="8266" spans="1:4" x14ac:dyDescent="0.25">
      <c r="A8266" t="str">
        <f>T("   300490")</f>
        <v xml:space="preserve">   300490</v>
      </c>
      <c r="B8266" t="str">
        <f>T("   AUTRES")</f>
        <v xml:space="preserve">   AUTRES</v>
      </c>
      <c r="C8266" s="4">
        <v>227</v>
      </c>
      <c r="D8266" s="4">
        <v>24953702</v>
      </c>
    </row>
    <row r="8267" spans="1:4" x14ac:dyDescent="0.25">
      <c r="A8267" t="str">
        <f>T("   300670")</f>
        <v xml:space="preserve">   300670</v>
      </c>
      <c r="B8267" t="str">
        <f>T("   PREPARATIONS PRESENTEES SOUS FORME DE GEL CONCUES POUR ETRE UTILISEES EN MEDECINE HUM")</f>
        <v xml:space="preserve">   PREPARATIONS PRESENTEES SOUS FORME DE GEL CONCUES POUR ETRE UTILISEES EN MEDECINE HUM</v>
      </c>
      <c r="C8267" s="4">
        <v>20</v>
      </c>
      <c r="D8267" s="4">
        <v>32800</v>
      </c>
    </row>
    <row r="8268" spans="1:4" x14ac:dyDescent="0.25">
      <c r="A8268" t="str">
        <f>T("   340119")</f>
        <v xml:space="preserve">   340119</v>
      </c>
      <c r="B8268" t="str">
        <f>T("   AUTRES")</f>
        <v xml:space="preserve">   AUTRES</v>
      </c>
      <c r="C8268" s="4">
        <v>14396</v>
      </c>
      <c r="D8268" s="4">
        <v>5450000</v>
      </c>
    </row>
    <row r="8269" spans="1:4" x14ac:dyDescent="0.25">
      <c r="A8269" t="str">
        <f>T("   482190")</f>
        <v xml:space="preserve">   482190</v>
      </c>
      <c r="B8269" t="str">
        <f>T("   AUTRES")</f>
        <v xml:space="preserve">   AUTRES</v>
      </c>
      <c r="C8269" s="4">
        <v>40</v>
      </c>
      <c r="D8269" s="4">
        <v>32800</v>
      </c>
    </row>
    <row r="8270" spans="1:4" x14ac:dyDescent="0.25">
      <c r="A8270" t="str">
        <f>T("   491191")</f>
        <v xml:space="preserve">   491191</v>
      </c>
      <c r="B8270" t="str">
        <f>T("   IMAGES, GRAVURES ET PHOTOGRAPHIES")</f>
        <v xml:space="preserve">   IMAGES, GRAVURES ET PHOTOGRAPHIES</v>
      </c>
      <c r="C8270" s="4">
        <v>472</v>
      </c>
      <c r="D8270" s="4">
        <v>295182</v>
      </c>
    </row>
    <row r="8271" spans="1:4" x14ac:dyDescent="0.25">
      <c r="A8271" t="str">
        <f>T("   620590")</f>
        <v xml:space="preserve">   620590</v>
      </c>
      <c r="B8271" t="str">
        <f>T("   D'AUTRES MATIERES TEXTILES")</f>
        <v xml:space="preserve">   D'AUTRES MATIERES TEXTILES</v>
      </c>
      <c r="C8271" s="4">
        <v>400</v>
      </c>
      <c r="D8271" s="4">
        <v>600000</v>
      </c>
    </row>
    <row r="8272" spans="1:4" x14ac:dyDescent="0.25">
      <c r="A8272" t="str">
        <f>T("   621040")</f>
        <v xml:space="preserve">   621040</v>
      </c>
      <c r="B8272" t="str">
        <f>T("   AUTRES VETEMENTS POUR HOMMES OU GARCONNETS")</f>
        <v xml:space="preserve">   AUTRES VETEMENTS POUR HOMMES OU GARCONNETS</v>
      </c>
      <c r="C8272" s="4">
        <v>164</v>
      </c>
      <c r="D8272" s="4">
        <v>2500</v>
      </c>
    </row>
    <row r="8273" spans="1:4" x14ac:dyDescent="0.25">
      <c r="A8273" t="str">
        <f>T("   732394")</f>
        <v xml:space="preserve">   732394</v>
      </c>
      <c r="B8273" t="str">
        <f>T("   EN FER OU EN ACIER, EMAILLES")</f>
        <v xml:space="preserve">   EN FER OU EN ACIER, EMAILLES</v>
      </c>
      <c r="C8273" s="4">
        <v>100</v>
      </c>
      <c r="D8273" s="4">
        <v>200000</v>
      </c>
    </row>
    <row r="8274" spans="1:4" x14ac:dyDescent="0.25">
      <c r="A8274" t="str">
        <f>T("   732399")</f>
        <v xml:space="preserve">   732399</v>
      </c>
      <c r="B8274" t="str">
        <f>T("   AUTRES")</f>
        <v xml:space="preserve">   AUTRES</v>
      </c>
      <c r="C8274" s="4">
        <v>8500</v>
      </c>
      <c r="D8274" s="4">
        <v>4460528</v>
      </c>
    </row>
    <row r="8275" spans="1:4" x14ac:dyDescent="0.25">
      <c r="A8275" t="str">
        <f>T("   870323")</f>
        <v xml:space="preserve">   870323</v>
      </c>
      <c r="B8275" t="str">
        <f>T("   D’UNE CYLINDREE EXCEDANT 1.500 CM³ MAIS N’EXCEDANT PAS 3.000 CM³")</f>
        <v xml:space="preserve">   D’UNE CYLINDREE EXCEDANT 1.500 CM³ MAIS N’EXCEDANT PAS 3.000 CM³</v>
      </c>
      <c r="C8275" s="4">
        <v>1100</v>
      </c>
      <c r="D8275" s="4">
        <v>4366297</v>
      </c>
    </row>
    <row r="8276" spans="1:4" x14ac:dyDescent="0.25">
      <c r="A8276" t="str">
        <f>T("   870331")</f>
        <v xml:space="preserve">   870331</v>
      </c>
      <c r="B8276" t="str">
        <f>T("   D'UNE CYLINDREE N'EXCEDANT PAS 1.500 CM³")</f>
        <v xml:space="preserve">   D'UNE CYLINDREE N'EXCEDANT PAS 1.500 CM³</v>
      </c>
      <c r="C8276" s="4">
        <v>900</v>
      </c>
      <c r="D8276" s="4">
        <v>2865539</v>
      </c>
    </row>
    <row r="8277" spans="1:4" x14ac:dyDescent="0.25">
      <c r="A8277" t="str">
        <f>T("   870421")</f>
        <v xml:space="preserve">   870421</v>
      </c>
      <c r="B8277" t="str">
        <f>T("   D'UN POIDS EN CHARGE MAXIMAL N'EXCEDANT PAS 5 TONNES")</f>
        <v xml:space="preserve">   D'UN POIDS EN CHARGE MAXIMAL N'EXCEDANT PAS 5 TONNES</v>
      </c>
      <c r="C8277" s="4">
        <v>1925</v>
      </c>
      <c r="D8277" s="4">
        <v>12997847</v>
      </c>
    </row>
    <row r="8278" spans="1:4" x14ac:dyDescent="0.25">
      <c r="A8278" t="str">
        <f>T("   870422")</f>
        <v xml:space="preserve">   870422</v>
      </c>
      <c r="B8278" t="str">
        <f>T("   D'UN POIDS EN CHARGE MAXIMAL EXCEDANT 5 TONNES MAIS N'EXCEDANT PAS 20 TONNES")</f>
        <v xml:space="preserve">   D'UN POIDS EN CHARGE MAXIMAL EXCEDANT 5 TONNES MAIS N'EXCEDANT PAS 20 TONNES</v>
      </c>
      <c r="C8278" s="4">
        <v>43516</v>
      </c>
      <c r="D8278" s="4">
        <v>282182328</v>
      </c>
    </row>
    <row r="8279" spans="1:4" x14ac:dyDescent="0.25">
      <c r="A8279" t="str">
        <f>T("   940350")</f>
        <v xml:space="preserve">   940350</v>
      </c>
      <c r="B8279" t="str">
        <f>T("   MEUBLES EN BOIS DES TYPES UTILISES DANS LES CHAMBRES A COUCHER")</f>
        <v xml:space="preserve">   MEUBLES EN BOIS DES TYPES UTILISES DANS LES CHAMBRES A COUCHER</v>
      </c>
      <c r="C8279" s="4">
        <v>1100</v>
      </c>
      <c r="D8279" s="4">
        <v>1200000</v>
      </c>
    </row>
    <row r="8280" spans="1:4" s="5" customFormat="1" x14ac:dyDescent="0.25">
      <c r="A8280" s="5" t="str">
        <f>T("   ZZ_Total_Produit_SH6")</f>
        <v xml:space="preserve">   ZZ_Total_Produit_SH6</v>
      </c>
      <c r="B8280" s="5" t="str">
        <f>T("   ZZ_Total_Produit_SH6")</f>
        <v xml:space="preserve">   ZZ_Total_Produit_SH6</v>
      </c>
      <c r="C8280" s="1">
        <v>72128406</v>
      </c>
      <c r="D8280" s="1">
        <v>27404030545</v>
      </c>
    </row>
    <row r="8281" spans="1:4" s="5" customFormat="1" x14ac:dyDescent="0.25">
      <c r="B8281" s="5" t="str">
        <f>T("Maurice, île")</f>
        <v>Maurice, île</v>
      </c>
      <c r="C8281" s="1"/>
      <c r="D8281" s="1"/>
    </row>
    <row r="8282" spans="1:4" x14ac:dyDescent="0.25">
      <c r="A8282" t="str">
        <f>T("   842951")</f>
        <v xml:space="preserve">   842951</v>
      </c>
      <c r="B8282" t="str">
        <f>T("   CHARGEUSES ET CHARGEUSESPELLETEUSES A CHARGEMENT FRONTAL")</f>
        <v xml:space="preserve">   CHARGEUSES ET CHARGEUSESPELLETEUSES A CHARGEMENT FRONTAL</v>
      </c>
      <c r="C8282" s="4">
        <v>22000</v>
      </c>
      <c r="D8282" s="4">
        <v>42112632</v>
      </c>
    </row>
    <row r="8283" spans="1:4" x14ac:dyDescent="0.25">
      <c r="A8283" t="str">
        <f>T("   844391")</f>
        <v xml:space="preserve">   844391</v>
      </c>
      <c r="B8283" t="str">
        <f>T("   PARTIES ET ACCESSOIRES DE MACHINES ET D’APPAREILS SERVANT A L’IMPRESSION AU MOYEN DE")</f>
        <v xml:space="preserve">   PARTIES ET ACCESSOIRES DE MACHINES ET D’APPAREILS SERVANT A L’IMPRESSION AU MOYEN DE</v>
      </c>
      <c r="C8283" s="4">
        <v>275</v>
      </c>
      <c r="D8283" s="4">
        <v>4949723</v>
      </c>
    </row>
    <row r="8284" spans="1:4" x14ac:dyDescent="0.25">
      <c r="A8284" t="str">
        <f>T("   850211")</f>
        <v xml:space="preserve">   850211</v>
      </c>
      <c r="B8284" t="str">
        <f>T("   D'UNE PUISSANCE N'EXCEDANT PAS 75 KVA")</f>
        <v xml:space="preserve">   D'UNE PUISSANCE N'EXCEDANT PAS 75 KVA</v>
      </c>
      <c r="C8284" s="4">
        <v>7723</v>
      </c>
      <c r="D8284" s="4">
        <v>37170451</v>
      </c>
    </row>
    <row r="8285" spans="1:4" x14ac:dyDescent="0.25">
      <c r="A8285" t="str">
        <f>T("   850212")</f>
        <v xml:space="preserve">   850212</v>
      </c>
      <c r="B8285" t="str">
        <f>T("   D'UNE PUISSANCE EXCEDANT 75 KVA MAIS N'EXCEDANT PAS 375 KVA")</f>
        <v xml:space="preserve">   D'UNE PUISSANCE EXCEDANT 75 KVA MAIS N'EXCEDANT PAS 375 KVA</v>
      </c>
      <c r="C8285" s="4">
        <v>8377</v>
      </c>
      <c r="D8285" s="4">
        <v>39844940</v>
      </c>
    </row>
    <row r="8286" spans="1:4" x14ac:dyDescent="0.25">
      <c r="A8286" t="str">
        <f>T("   850213")</f>
        <v xml:space="preserve">   850213</v>
      </c>
      <c r="B8286" t="str">
        <f>T("   D'UNE PUISSANCE EXCEDANT 375 KVA")</f>
        <v xml:space="preserve">   D'UNE PUISSANCE EXCEDANT 375 KVA</v>
      </c>
      <c r="C8286" s="4">
        <v>2900</v>
      </c>
      <c r="D8286" s="4">
        <v>21632249</v>
      </c>
    </row>
    <row r="8287" spans="1:4" s="5" customFormat="1" x14ac:dyDescent="0.25">
      <c r="A8287" s="5" t="str">
        <f>T("   ZZ_Total_Produit_SH6")</f>
        <v xml:space="preserve">   ZZ_Total_Produit_SH6</v>
      </c>
      <c r="B8287" s="5" t="str">
        <f>T("   ZZ_Total_Produit_SH6")</f>
        <v xml:space="preserve">   ZZ_Total_Produit_SH6</v>
      </c>
      <c r="C8287" s="1">
        <v>41275</v>
      </c>
      <c r="D8287" s="1">
        <v>145709995</v>
      </c>
    </row>
    <row r="8288" spans="1:4" s="5" customFormat="1" x14ac:dyDescent="0.25">
      <c r="B8288" s="5" t="str">
        <f>T("Mexique")</f>
        <v>Mexique</v>
      </c>
      <c r="C8288" s="1"/>
      <c r="D8288" s="1"/>
    </row>
    <row r="8289" spans="1:4" x14ac:dyDescent="0.25">
      <c r="A8289" t="str">
        <f>T("   020714")</f>
        <v xml:space="preserve">   020714</v>
      </c>
      <c r="B8289" t="str">
        <f>T("   MORCEAUX ET ABATS, CONGELES")</f>
        <v xml:space="preserve">   MORCEAUX ET ABATS, CONGELES</v>
      </c>
      <c r="C8289" s="4">
        <v>33050</v>
      </c>
      <c r="D8289" s="4">
        <v>17471250</v>
      </c>
    </row>
    <row r="8290" spans="1:4" x14ac:dyDescent="0.25">
      <c r="A8290" t="str">
        <f>T("   030199")</f>
        <v xml:space="preserve">   030199</v>
      </c>
      <c r="B8290" t="str">
        <f>T("   AUTRES")</f>
        <v xml:space="preserve">   AUTRES</v>
      </c>
      <c r="C8290" s="4">
        <v>12670</v>
      </c>
      <c r="D8290" s="4">
        <v>5068000</v>
      </c>
    </row>
    <row r="8291" spans="1:4" x14ac:dyDescent="0.25">
      <c r="A8291" t="str">
        <f>T("   852490")</f>
        <v xml:space="preserve">   852490</v>
      </c>
      <c r="B8291" t="str">
        <f>T("   AUTRES SUPPORTS DU N 85.24 ENREGISTRES, PRODUITS DU CHAPITRE 37 EXCLUS")</f>
        <v xml:space="preserve">   AUTRES SUPPORTS DU N 85.24 ENREGISTRES, PRODUITS DU CHAPITRE 37 EXCLUS</v>
      </c>
      <c r="C8291" s="4">
        <v>15.6</v>
      </c>
      <c r="D8291" s="4">
        <v>50000</v>
      </c>
    </row>
    <row r="8292" spans="1:4" x14ac:dyDescent="0.25">
      <c r="A8292" t="str">
        <f>T("   870323")</f>
        <v xml:space="preserve">   870323</v>
      </c>
      <c r="B8292" t="str">
        <f>T("   D’UNE CYLINDREE EXCEDANT 1.500 CM³ MAIS N’EXCEDANT PAS 3.000 CM³")</f>
        <v xml:space="preserve">   D’UNE CYLINDREE EXCEDANT 1.500 CM³ MAIS N’EXCEDANT PAS 3.000 CM³</v>
      </c>
      <c r="C8292" s="4">
        <v>1905</v>
      </c>
      <c r="D8292" s="4">
        <v>1271109</v>
      </c>
    </row>
    <row r="8293" spans="1:4" s="5" customFormat="1" x14ac:dyDescent="0.25">
      <c r="A8293" s="5" t="str">
        <f>T("   ZZ_Total_Produit_SH6")</f>
        <v xml:space="preserve">   ZZ_Total_Produit_SH6</v>
      </c>
      <c r="B8293" s="5" t="str">
        <f>T("   ZZ_Total_Produit_SH6")</f>
        <v xml:space="preserve">   ZZ_Total_Produit_SH6</v>
      </c>
      <c r="C8293" s="1">
        <v>47640.6</v>
      </c>
      <c r="D8293" s="1">
        <v>23860359</v>
      </c>
    </row>
    <row r="8294" spans="1:4" s="5" customFormat="1" x14ac:dyDescent="0.25">
      <c r="B8294" s="5" t="str">
        <f>T("Malaisie")</f>
        <v>Malaisie</v>
      </c>
      <c r="C8294" s="1"/>
      <c r="D8294" s="1"/>
    </row>
    <row r="8295" spans="1:4" x14ac:dyDescent="0.25">
      <c r="A8295" t="str">
        <f>T("   040210")</f>
        <v xml:space="preserve">   040210</v>
      </c>
      <c r="B8295" t="str">
        <f>T("   EN POUDRE, EN GRANULES OU SOUS D’AUTRES FORMES SOLIDES, D’UNE TENEUR EN POIDS DE MATI")</f>
        <v xml:space="preserve">   EN POUDRE, EN GRANULES OU SOUS D’AUTRES FORMES SOLIDES, D’UNE TENEUR EN POIDS DE MATI</v>
      </c>
      <c r="C8295" s="4">
        <v>921147</v>
      </c>
      <c r="D8295" s="4">
        <v>1356565885</v>
      </c>
    </row>
    <row r="8296" spans="1:4" x14ac:dyDescent="0.25">
      <c r="A8296" t="str">
        <f>T("   040221")</f>
        <v xml:space="preserve">   040221</v>
      </c>
      <c r="B8296" t="str">
        <f>T("   SANS ADDITION DE SUCRE OU D'AUTRES EDULCORANTS")</f>
        <v xml:space="preserve">   SANS ADDITION DE SUCRE OU D'AUTRES EDULCORANTS</v>
      </c>
      <c r="C8296" s="4">
        <v>1150201</v>
      </c>
      <c r="D8296" s="4">
        <v>1359910717</v>
      </c>
    </row>
    <row r="8297" spans="1:4" x14ac:dyDescent="0.25">
      <c r="A8297" t="str">
        <f>T("   040229")</f>
        <v xml:space="preserve">   040229</v>
      </c>
      <c r="B8297" t="str">
        <f>T("   AUTRES")</f>
        <v xml:space="preserve">   AUTRES</v>
      </c>
      <c r="C8297" s="4">
        <v>357500</v>
      </c>
      <c r="D8297" s="4">
        <v>346384271</v>
      </c>
    </row>
    <row r="8298" spans="1:4" x14ac:dyDescent="0.25">
      <c r="A8298" t="str">
        <f>T("   040299")</f>
        <v xml:space="preserve">   040299</v>
      </c>
      <c r="B8298" t="str">
        <f>T("   AUTRES")</f>
        <v xml:space="preserve">   AUTRES</v>
      </c>
      <c r="C8298" s="4">
        <v>1360580</v>
      </c>
      <c r="D8298" s="4">
        <v>684502161</v>
      </c>
    </row>
    <row r="8299" spans="1:4" x14ac:dyDescent="0.25">
      <c r="A8299" t="str">
        <f>T("   100640")</f>
        <v xml:space="preserve">   100640</v>
      </c>
      <c r="B8299" t="str">
        <f>T("   RIZ EN BRISURES")</f>
        <v xml:space="preserve">   RIZ EN BRISURES</v>
      </c>
      <c r="C8299" s="4">
        <v>2214740</v>
      </c>
      <c r="D8299" s="4">
        <v>904294632.27400005</v>
      </c>
    </row>
    <row r="8300" spans="1:4" x14ac:dyDescent="0.25">
      <c r="A8300" t="str">
        <f>T("   110311")</f>
        <v xml:space="preserve">   110311</v>
      </c>
      <c r="B8300" t="str">
        <f>T("   DE FROMENT (BLE)")</f>
        <v xml:space="preserve">   DE FROMENT (BLE)</v>
      </c>
      <c r="C8300" s="4">
        <v>100000</v>
      </c>
      <c r="D8300" s="4">
        <v>11459621</v>
      </c>
    </row>
    <row r="8301" spans="1:4" x14ac:dyDescent="0.25">
      <c r="A8301" t="str">
        <f>T("   150890")</f>
        <v xml:space="preserve">   150890</v>
      </c>
      <c r="B8301" t="str">
        <f>T("   AUTRES")</f>
        <v xml:space="preserve">   AUTRES</v>
      </c>
      <c r="C8301" s="4">
        <v>1190020</v>
      </c>
      <c r="D8301" s="4">
        <v>297505000</v>
      </c>
    </row>
    <row r="8302" spans="1:4" x14ac:dyDescent="0.25">
      <c r="A8302" t="str">
        <f>T("   150990")</f>
        <v xml:space="preserve">   150990</v>
      </c>
      <c r="B8302" t="str">
        <f>T("   AUTRES")</f>
        <v xml:space="preserve">   AUTRES</v>
      </c>
      <c r="C8302" s="4">
        <v>88000</v>
      </c>
      <c r="D8302" s="4">
        <v>17600000</v>
      </c>
    </row>
    <row r="8303" spans="1:4" x14ac:dyDescent="0.25">
      <c r="A8303" t="str">
        <f>T("   151110")</f>
        <v xml:space="preserve">   151110</v>
      </c>
      <c r="B8303" t="str">
        <f>T("   HUILE BRUTE")</f>
        <v xml:space="preserve">   HUILE BRUTE</v>
      </c>
      <c r="C8303" s="4">
        <v>271016</v>
      </c>
      <c r="D8303" s="4">
        <v>67754000</v>
      </c>
    </row>
    <row r="8304" spans="1:4" x14ac:dyDescent="0.25">
      <c r="A8304" t="str">
        <f>T("   151190")</f>
        <v xml:space="preserve">   151190</v>
      </c>
      <c r="B8304" t="str">
        <f>T("   AUTRES")</f>
        <v xml:space="preserve">   AUTRES</v>
      </c>
      <c r="C8304" s="4">
        <v>20767463</v>
      </c>
      <c r="D8304" s="4">
        <v>8041293434.0129995</v>
      </c>
    </row>
    <row r="8305" spans="1:4" x14ac:dyDescent="0.25">
      <c r="A8305" t="str">
        <f>T("   151590")</f>
        <v xml:space="preserve">   151590</v>
      </c>
      <c r="B8305" t="str">
        <f>T("   AUTRES")</f>
        <v xml:space="preserve">   AUTRES</v>
      </c>
      <c r="C8305" s="4">
        <v>367080</v>
      </c>
      <c r="D8305" s="4">
        <v>91770000</v>
      </c>
    </row>
    <row r="8306" spans="1:4" x14ac:dyDescent="0.25">
      <c r="A8306" t="str">
        <f>T("   151610")</f>
        <v xml:space="preserve">   151610</v>
      </c>
      <c r="B8306" t="str">
        <f>T("   GRAISSES ET HUILES ANIMALES ET LEURS FRACTIONS")</f>
        <v xml:space="preserve">   GRAISSES ET HUILES ANIMALES ET LEURS FRACTIONS</v>
      </c>
      <c r="C8306" s="4">
        <v>110000</v>
      </c>
      <c r="D8306" s="4">
        <v>27500000</v>
      </c>
    </row>
    <row r="8307" spans="1:4" x14ac:dyDescent="0.25">
      <c r="A8307" t="str">
        <f>T("   151620")</f>
        <v xml:space="preserve">   151620</v>
      </c>
      <c r="B8307" t="str">
        <f>T("   GRAISSES ET HUILES VEGETALES ET LEURS FRACTIONS")</f>
        <v xml:space="preserve">   GRAISSES ET HUILES VEGETALES ET LEURS FRACTIONS</v>
      </c>
      <c r="C8307" s="4">
        <v>35675888</v>
      </c>
      <c r="D8307" s="4">
        <v>8713133075</v>
      </c>
    </row>
    <row r="8308" spans="1:4" x14ac:dyDescent="0.25">
      <c r="A8308" t="str">
        <f>T("   152200")</f>
        <v xml:space="preserve">   152200</v>
      </c>
      <c r="B8308" t="str">
        <f>T("   DEGRAS; RESIDUS PROVENANT DU TRAITEMENT DES CORPS GRAS OU DES CIRES ANIMALES OU VEGETAL")</f>
        <v xml:space="preserve">   DEGRAS; RESIDUS PROVENANT DU TRAITEMENT DES CORPS GRAS OU DES CIRES ANIMALES OU VEGETAL</v>
      </c>
      <c r="C8308" s="4">
        <v>47192</v>
      </c>
      <c r="D8308" s="4">
        <v>4332915</v>
      </c>
    </row>
    <row r="8309" spans="1:4" x14ac:dyDescent="0.25">
      <c r="A8309" t="str">
        <f>T("   190190")</f>
        <v xml:space="preserve">   190190</v>
      </c>
      <c r="B8309" t="str">
        <f>T("   AUTRES")</f>
        <v xml:space="preserve">   AUTRES</v>
      </c>
      <c r="C8309" s="4">
        <v>2287680</v>
      </c>
      <c r="D8309" s="4">
        <v>712623038</v>
      </c>
    </row>
    <row r="8310" spans="1:4" x14ac:dyDescent="0.25">
      <c r="A8310" t="str">
        <f>T("   190230")</f>
        <v xml:space="preserve">   190230</v>
      </c>
      <c r="B8310" t="str">
        <f>T("   AUTRES PATES ALIMENTAIRES")</f>
        <v xml:space="preserve">   AUTRES PATES ALIMENTAIRES</v>
      </c>
      <c r="C8310" s="4">
        <v>81000</v>
      </c>
      <c r="D8310" s="4">
        <v>17504293</v>
      </c>
    </row>
    <row r="8311" spans="1:4" x14ac:dyDescent="0.25">
      <c r="A8311" t="str">
        <f>T("   190590")</f>
        <v xml:space="preserve">   190590</v>
      </c>
      <c r="B8311" t="str">
        <f>T("   AUTRES")</f>
        <v xml:space="preserve">   AUTRES</v>
      </c>
      <c r="C8311" s="4">
        <v>15785</v>
      </c>
      <c r="D8311" s="4">
        <v>9369905</v>
      </c>
    </row>
    <row r="8312" spans="1:4" x14ac:dyDescent="0.25">
      <c r="A8312" t="str">
        <f>T("   200290")</f>
        <v xml:space="preserve">   200290</v>
      </c>
      <c r="B8312" t="str">
        <f>T("   AUTRES")</f>
        <v xml:space="preserve">   AUTRES</v>
      </c>
      <c r="C8312" s="4">
        <v>295875</v>
      </c>
      <c r="D8312" s="4">
        <v>63992904</v>
      </c>
    </row>
    <row r="8313" spans="1:4" x14ac:dyDescent="0.25">
      <c r="A8313" t="str">
        <f>T("   200540")</f>
        <v xml:space="preserve">   200540</v>
      </c>
      <c r="B8313" t="str">
        <f>T("   POIS (PISUM SATIVUM)")</f>
        <v xml:space="preserve">   POIS (PISUM SATIVUM)</v>
      </c>
      <c r="C8313" s="4">
        <v>92400</v>
      </c>
      <c r="D8313" s="4">
        <v>13615761</v>
      </c>
    </row>
    <row r="8314" spans="1:4" x14ac:dyDescent="0.25">
      <c r="A8314" t="str">
        <f>T("   200990")</f>
        <v xml:space="preserve">   200990</v>
      </c>
      <c r="B8314" t="str">
        <f>T("   MELANGES DE JUS")</f>
        <v xml:space="preserve">   MELANGES DE JUS</v>
      </c>
      <c r="C8314" s="4">
        <v>61152</v>
      </c>
      <c r="D8314" s="4">
        <v>11009475</v>
      </c>
    </row>
    <row r="8315" spans="1:4" x14ac:dyDescent="0.25">
      <c r="A8315" t="str">
        <f>T("   210320")</f>
        <v xml:space="preserve">   210320</v>
      </c>
      <c r="B8315" t="str">
        <f>T("   «TOMATOKETCHUP» ET AUTRES SAUCES TOMATES")</f>
        <v xml:space="preserve">   «TOMATOKETCHUP» ET AUTRES SAUCES TOMATES</v>
      </c>
      <c r="C8315" s="4">
        <v>2500</v>
      </c>
      <c r="D8315" s="4">
        <v>2364344</v>
      </c>
    </row>
    <row r="8316" spans="1:4" x14ac:dyDescent="0.25">
      <c r="A8316" t="str">
        <f>T("   210690")</f>
        <v xml:space="preserve">   210690</v>
      </c>
      <c r="B8316" t="str">
        <f>T("   AUTRES")</f>
        <v xml:space="preserve">   AUTRES</v>
      </c>
      <c r="C8316" s="4">
        <v>39333</v>
      </c>
      <c r="D8316" s="4">
        <v>15008416</v>
      </c>
    </row>
    <row r="8317" spans="1:4" x14ac:dyDescent="0.25">
      <c r="A8317" t="str">
        <f>T("   220290")</f>
        <v xml:space="preserve">   220290</v>
      </c>
      <c r="B8317" t="str">
        <f>T("   AUTRES")</f>
        <v xml:space="preserve">   AUTRES</v>
      </c>
      <c r="C8317" s="4">
        <v>195141</v>
      </c>
      <c r="D8317" s="4">
        <v>30279114</v>
      </c>
    </row>
    <row r="8318" spans="1:4" x14ac:dyDescent="0.25">
      <c r="A8318" t="str">
        <f>T("   271019")</f>
        <v xml:space="preserve">   271019</v>
      </c>
      <c r="B8318" t="str">
        <f>T("   AUTRES")</f>
        <v xml:space="preserve">   AUTRES</v>
      </c>
      <c r="C8318" s="4">
        <v>24000</v>
      </c>
      <c r="D8318" s="4">
        <v>5904296</v>
      </c>
    </row>
    <row r="8319" spans="1:4" x14ac:dyDescent="0.25">
      <c r="A8319" t="str">
        <f>T("   340111")</f>
        <v xml:space="preserve">   340111</v>
      </c>
      <c r="B8319" t="str">
        <f>T("   DE TOILETTE (Y COMPRIS CEUX A USAGES MEDICAUX)")</f>
        <v xml:space="preserve">   DE TOILETTE (Y COMPRIS CEUX A USAGES MEDICAUX)</v>
      </c>
      <c r="C8319" s="4">
        <v>213948</v>
      </c>
      <c r="D8319" s="4">
        <v>5429038</v>
      </c>
    </row>
    <row r="8320" spans="1:4" x14ac:dyDescent="0.25">
      <c r="A8320" t="str">
        <f>T("   340119")</f>
        <v xml:space="preserve">   340119</v>
      </c>
      <c r="B8320" t="str">
        <f>T("   AUTRES")</f>
        <v xml:space="preserve">   AUTRES</v>
      </c>
      <c r="C8320" s="4">
        <v>509974</v>
      </c>
      <c r="D8320" s="4">
        <v>100072333</v>
      </c>
    </row>
    <row r="8321" spans="1:4" x14ac:dyDescent="0.25">
      <c r="A8321" t="str">
        <f>T("   382200")</f>
        <v xml:space="preserve">   382200</v>
      </c>
      <c r="B8321" t="str">
        <f>T("   REACTIFS DE DIAGNOSTIC OU DE LABORATOIRE SUR TOUT SUPPORT ET REACTIFS DE DIAGNOSTIC OU")</f>
        <v xml:space="preserve">   REACTIFS DE DIAGNOSTIC OU DE LABORATOIRE SUR TOUT SUPPORT ET REACTIFS DE DIAGNOSTIC OU</v>
      </c>
      <c r="C8321" s="4">
        <v>14.5</v>
      </c>
      <c r="D8321" s="4">
        <v>180000</v>
      </c>
    </row>
    <row r="8322" spans="1:4" x14ac:dyDescent="0.25">
      <c r="A8322" t="str">
        <f>T("   382490")</f>
        <v xml:space="preserve">   382490</v>
      </c>
      <c r="B8322" t="str">
        <f>T("   AUTRES")</f>
        <v xml:space="preserve">   AUTRES</v>
      </c>
      <c r="C8322" s="4">
        <v>2000</v>
      </c>
      <c r="D8322" s="4">
        <v>2263948</v>
      </c>
    </row>
    <row r="8323" spans="1:4" x14ac:dyDescent="0.25">
      <c r="A8323" t="str">
        <f>T("   392390")</f>
        <v xml:space="preserve">   392390</v>
      </c>
      <c r="B8323" t="str">
        <f>T("   AUTRES")</f>
        <v xml:space="preserve">   AUTRES</v>
      </c>
      <c r="C8323" s="4">
        <v>49422</v>
      </c>
      <c r="D8323" s="4">
        <v>107586682</v>
      </c>
    </row>
    <row r="8324" spans="1:4" x14ac:dyDescent="0.25">
      <c r="A8324" t="str">
        <f>T("   401163")</f>
        <v xml:space="preserve">   401163</v>
      </c>
      <c r="B8324" t="str">
        <f>T("   DES TYPES UTILISES POUR LES VEHICULES ET ENGINS DE GENIE CIVIL ET DE MANUTENTION IND")</f>
        <v xml:space="preserve">   DES TYPES UTILISES POUR LES VEHICULES ET ENGINS DE GENIE CIVIL ET DE MANUTENTION IND</v>
      </c>
      <c r="C8324" s="4">
        <v>7161</v>
      </c>
      <c r="D8324" s="4">
        <v>21624784</v>
      </c>
    </row>
    <row r="8325" spans="1:4" x14ac:dyDescent="0.25">
      <c r="A8325" t="str">
        <f>T("   401511")</f>
        <v xml:space="preserve">   401511</v>
      </c>
      <c r="B8325" t="str">
        <f>T("   POUR CHIRURGIE")</f>
        <v xml:space="preserve">   POUR CHIRURGIE</v>
      </c>
      <c r="C8325" s="4">
        <v>6955</v>
      </c>
      <c r="D8325" s="4">
        <v>28952238</v>
      </c>
    </row>
    <row r="8326" spans="1:4" x14ac:dyDescent="0.25">
      <c r="A8326" t="str">
        <f>T("   481690")</f>
        <v xml:space="preserve">   481690</v>
      </c>
      <c r="B8326" t="str">
        <f>T("   AUTRES")</f>
        <v xml:space="preserve">   AUTRES</v>
      </c>
      <c r="C8326" s="4">
        <v>1575</v>
      </c>
      <c r="D8326" s="4">
        <v>3151358</v>
      </c>
    </row>
    <row r="8327" spans="1:4" x14ac:dyDescent="0.25">
      <c r="A8327" t="str">
        <f>T("   482020")</f>
        <v xml:space="preserve">   482020</v>
      </c>
      <c r="B8327" t="str">
        <f>T("   Cahiers")</f>
        <v xml:space="preserve">   Cahiers</v>
      </c>
      <c r="C8327" s="4">
        <v>218645</v>
      </c>
      <c r="D8327" s="4">
        <v>48802881</v>
      </c>
    </row>
    <row r="8328" spans="1:4" x14ac:dyDescent="0.25">
      <c r="A8328" t="str">
        <f>T("   491110")</f>
        <v xml:space="preserve">   491110</v>
      </c>
      <c r="B8328" t="str">
        <f>T("   IMPRIMES PUBLICITAIRES, CATALOGUES COMMERCIAUX ET SIMILAIRES")</f>
        <v xml:space="preserve">   IMPRIMES PUBLICITAIRES, CATALOGUES COMMERCIAUX ET SIMILAIRES</v>
      </c>
      <c r="C8328" s="4">
        <v>3000</v>
      </c>
      <c r="D8328" s="4">
        <v>1119703</v>
      </c>
    </row>
    <row r="8329" spans="1:4" x14ac:dyDescent="0.25">
      <c r="A8329" t="str">
        <f>T("   630900")</f>
        <v xml:space="preserve">   630900</v>
      </c>
      <c r="B8329" t="str">
        <f>T("   ARTICLES DE FRIPERIE.")</f>
        <v xml:space="preserve">   ARTICLES DE FRIPERIE.</v>
      </c>
      <c r="C8329" s="4">
        <v>18470</v>
      </c>
      <c r="D8329" s="4">
        <v>9830694</v>
      </c>
    </row>
    <row r="8330" spans="1:4" x14ac:dyDescent="0.25">
      <c r="A8330" t="str">
        <f>T("   843139")</f>
        <v xml:space="preserve">   843139</v>
      </c>
      <c r="B8330" t="str">
        <f>T("   AUTRES")</f>
        <v xml:space="preserve">   AUTRES</v>
      </c>
      <c r="C8330" s="4">
        <v>1205</v>
      </c>
      <c r="D8330" s="4">
        <v>20888450</v>
      </c>
    </row>
    <row r="8331" spans="1:4" x14ac:dyDescent="0.25">
      <c r="A8331" t="str">
        <f>T("   847330")</f>
        <v xml:space="preserve">   847330</v>
      </c>
      <c r="B8331" t="str">
        <f>T("   PARTIES ET ACCESSOIRES DES MACHINES DU N° 84.71")</f>
        <v xml:space="preserve">   PARTIES ET ACCESSOIRES DES MACHINES DU N° 84.71</v>
      </c>
      <c r="C8331" s="4">
        <v>1</v>
      </c>
      <c r="D8331" s="4">
        <v>442773</v>
      </c>
    </row>
    <row r="8332" spans="1:4" x14ac:dyDescent="0.25">
      <c r="A8332" t="str">
        <f>T("   850680")</f>
        <v xml:space="preserve">   850680</v>
      </c>
      <c r="B8332" t="str">
        <f>T("   AUTRES PILES ET BATTERIES DE PILES")</f>
        <v xml:space="preserve">   AUTRES PILES ET BATTERIES DE PILES</v>
      </c>
      <c r="C8332" s="4">
        <v>54000</v>
      </c>
      <c r="D8332" s="4">
        <v>8666544</v>
      </c>
    </row>
    <row r="8333" spans="1:4" x14ac:dyDescent="0.25">
      <c r="A8333" t="str">
        <f>T("   851650")</f>
        <v xml:space="preserve">   851650</v>
      </c>
      <c r="B8333" t="str">
        <f>T("   FOURS A MICROONDES")</f>
        <v xml:space="preserve">   FOURS A MICROONDES</v>
      </c>
      <c r="C8333" s="4">
        <v>22666</v>
      </c>
      <c r="D8333" s="4">
        <v>10341300</v>
      </c>
    </row>
    <row r="8334" spans="1:4" x14ac:dyDescent="0.25">
      <c r="A8334" t="str">
        <f>T("   870324")</f>
        <v xml:space="preserve">   870324</v>
      </c>
      <c r="B8334" t="str">
        <f>T("   D’UNE CYLINDREE EXCEDANT 3.000 CM³")</f>
        <v xml:space="preserve">   D’UNE CYLINDREE EXCEDANT 3.000 CM³</v>
      </c>
      <c r="C8334" s="4">
        <v>3750</v>
      </c>
      <c r="D8334" s="4">
        <v>18945920</v>
      </c>
    </row>
    <row r="8335" spans="1:4" x14ac:dyDescent="0.25">
      <c r="A8335" t="str">
        <f>T("   901890")</f>
        <v xml:space="preserve">   901890</v>
      </c>
      <c r="B8335" t="str">
        <f>T("   AUTRES INSTRUMENTS ET APPAREILS")</f>
        <v xml:space="preserve">   AUTRES INSTRUMENTS ET APPAREILS</v>
      </c>
      <c r="C8335" s="4">
        <v>65</v>
      </c>
      <c r="D8335" s="4">
        <v>60000</v>
      </c>
    </row>
    <row r="8336" spans="1:4" x14ac:dyDescent="0.25">
      <c r="A8336" t="str">
        <f>T("   940130")</f>
        <v xml:space="preserve">   940130</v>
      </c>
      <c r="B8336" t="str">
        <f>T("   SIEGES PIVOTANTS, AJUSTABLES EN HAUTEUR")</f>
        <v xml:space="preserve">   SIEGES PIVOTANTS, AJUSTABLES EN HAUTEUR</v>
      </c>
      <c r="C8336" s="4">
        <v>56540</v>
      </c>
      <c r="D8336" s="4">
        <v>47289166</v>
      </c>
    </row>
    <row r="8337" spans="1:4" x14ac:dyDescent="0.25">
      <c r="A8337" t="str">
        <f>T("   940159")</f>
        <v xml:space="preserve">   940159</v>
      </c>
      <c r="B8337" t="str">
        <f>T("   AUTRES")</f>
        <v xml:space="preserve">   AUTRES</v>
      </c>
      <c r="C8337" s="4">
        <v>11600</v>
      </c>
      <c r="D8337" s="4">
        <v>5739073</v>
      </c>
    </row>
    <row r="8338" spans="1:4" x14ac:dyDescent="0.25">
      <c r="A8338" t="str">
        <f>T("   940161")</f>
        <v xml:space="preserve">   940161</v>
      </c>
      <c r="B8338" t="str">
        <f>T("   REMBOURRES")</f>
        <v xml:space="preserve">   REMBOURRES</v>
      </c>
      <c r="C8338" s="4">
        <v>5874</v>
      </c>
      <c r="D8338" s="4">
        <v>15292377</v>
      </c>
    </row>
    <row r="8339" spans="1:4" x14ac:dyDescent="0.25">
      <c r="A8339" t="str">
        <f>T("   940179")</f>
        <v xml:space="preserve">   940179</v>
      </c>
      <c r="B8339" t="str">
        <f>T("   AUTRES")</f>
        <v xml:space="preserve">   AUTRES</v>
      </c>
      <c r="C8339" s="4">
        <v>5899</v>
      </c>
      <c r="D8339" s="4">
        <v>4290371</v>
      </c>
    </row>
    <row r="8340" spans="1:4" x14ac:dyDescent="0.25">
      <c r="A8340" t="str">
        <f>T("   940310")</f>
        <v xml:space="preserve">   940310</v>
      </c>
      <c r="B8340" t="str">
        <f>T("   MEUBLES EN METAL DES TYPES UTILISES DANS LES BUREAUX")</f>
        <v xml:space="preserve">   MEUBLES EN METAL DES TYPES UTILISES DANS LES BUREAUX</v>
      </c>
      <c r="C8340" s="4">
        <v>74483</v>
      </c>
      <c r="D8340" s="4">
        <v>37172760</v>
      </c>
    </row>
    <row r="8341" spans="1:4" x14ac:dyDescent="0.25">
      <c r="A8341" t="str">
        <f>T("   940320")</f>
        <v xml:space="preserve">   940320</v>
      </c>
      <c r="B8341" t="str">
        <f>T("   AUTRES MEUBLES EN METAL")</f>
        <v xml:space="preserve">   AUTRES MEUBLES EN METAL</v>
      </c>
      <c r="C8341" s="4">
        <v>1316</v>
      </c>
      <c r="D8341" s="4">
        <v>189698</v>
      </c>
    </row>
    <row r="8342" spans="1:4" x14ac:dyDescent="0.25">
      <c r="A8342" t="str">
        <f>T("   940330")</f>
        <v xml:space="preserve">   940330</v>
      </c>
      <c r="B8342" t="str">
        <f>T("   MEUBLES EN BOIS DES TYPES UTILISES DANS LES BUREAUX")</f>
        <v xml:space="preserve">   MEUBLES EN BOIS DES TYPES UTILISES DANS LES BUREAUX</v>
      </c>
      <c r="C8342" s="4">
        <v>165083</v>
      </c>
      <c r="D8342" s="4">
        <v>68771038</v>
      </c>
    </row>
    <row r="8343" spans="1:4" x14ac:dyDescent="0.25">
      <c r="A8343" t="str">
        <f>T("   960820")</f>
        <v xml:space="preserve">   960820</v>
      </c>
      <c r="B8343" t="str">
        <f>T("   STYLOS ET MARQUEURS A MECHE FEUTRE OU A AUTRES POINTES POREUSES")</f>
        <v xml:space="preserve">   STYLOS ET MARQUEURS A MECHE FEUTRE OU A AUTRES POINTES POREUSES</v>
      </c>
      <c r="C8343" s="4">
        <v>12887</v>
      </c>
      <c r="D8343" s="4">
        <v>9707799</v>
      </c>
    </row>
    <row r="8344" spans="1:4" s="5" customFormat="1" x14ac:dyDescent="0.25">
      <c r="A8344" s="5" t="str">
        <f>T("   ZZ_Total_Produit_SH6")</f>
        <v xml:space="preserve">   ZZ_Total_Produit_SH6</v>
      </c>
      <c r="B8344" s="5" t="str">
        <f>T("   ZZ_Total_Produit_SH6")</f>
        <v xml:space="preserve">   ZZ_Total_Produit_SH6</v>
      </c>
      <c r="C8344" s="1">
        <v>69162226.5</v>
      </c>
      <c r="D8344" s="1">
        <v>23382488185.285999</v>
      </c>
    </row>
    <row r="8345" spans="1:4" s="5" customFormat="1" x14ac:dyDescent="0.25">
      <c r="B8345" s="5" t="str">
        <f>T("Namibie")</f>
        <v>Namibie</v>
      </c>
      <c r="C8345" s="1"/>
      <c r="D8345" s="1"/>
    </row>
    <row r="8346" spans="1:4" x14ac:dyDescent="0.25">
      <c r="A8346" t="str">
        <f>T("   030219")</f>
        <v xml:space="preserve">   030219</v>
      </c>
      <c r="B8346" t="str">
        <f>T("   AUTRES")</f>
        <v xml:space="preserve">   AUTRES</v>
      </c>
      <c r="C8346" s="4">
        <v>2149776</v>
      </c>
      <c r="D8346" s="4">
        <v>859910400</v>
      </c>
    </row>
    <row r="8347" spans="1:4" x14ac:dyDescent="0.25">
      <c r="A8347" t="str">
        <f>T("   030379")</f>
        <v xml:space="preserve">   030379</v>
      </c>
      <c r="B8347" t="str">
        <f>T("   AUTRES POISSONS ENTIERS CONGELES.(FOIES,OEUFS,LAITANCES EXCLUS)")</f>
        <v xml:space="preserve">   AUTRES POISSONS ENTIERS CONGELES.(FOIES,OEUFS,LAITANCES EXCLUS)</v>
      </c>
      <c r="C8347" s="4">
        <v>4417409</v>
      </c>
      <c r="D8347" s="4">
        <v>1121197850</v>
      </c>
    </row>
    <row r="8348" spans="1:4" x14ac:dyDescent="0.25">
      <c r="A8348" t="str">
        <f>T("   481830")</f>
        <v xml:space="preserve">   481830</v>
      </c>
      <c r="B8348" t="str">
        <f>T("   NAPPES ET SERVIETTES DE TABLE")</f>
        <v xml:space="preserve">   NAPPES ET SERVIETTES DE TABLE</v>
      </c>
      <c r="C8348" s="4">
        <v>92</v>
      </c>
      <c r="D8348" s="4">
        <v>55000</v>
      </c>
    </row>
    <row r="8349" spans="1:4" x14ac:dyDescent="0.25">
      <c r="A8349" t="str">
        <f>T("   843110")</f>
        <v xml:space="preserve">   843110</v>
      </c>
      <c r="B8349" t="str">
        <f>T("   DE MACHINES OU APPAREILS DU N° 84.25")</f>
        <v xml:space="preserve">   DE MACHINES OU APPAREILS DU N° 84.25</v>
      </c>
      <c r="C8349" s="4">
        <v>172</v>
      </c>
      <c r="D8349" s="4">
        <v>311003</v>
      </c>
    </row>
    <row r="8350" spans="1:4" s="5" customFormat="1" x14ac:dyDescent="0.25">
      <c r="A8350" s="5" t="str">
        <f>T("   ZZ_Total_Produit_SH6")</f>
        <v xml:space="preserve">   ZZ_Total_Produit_SH6</v>
      </c>
      <c r="B8350" s="5" t="str">
        <f>T("   ZZ_Total_Produit_SH6")</f>
        <v xml:space="preserve">   ZZ_Total_Produit_SH6</v>
      </c>
      <c r="C8350" s="1">
        <v>6567449</v>
      </c>
      <c r="D8350" s="1">
        <v>1981474253</v>
      </c>
    </row>
    <row r="8351" spans="1:4" s="5" customFormat="1" x14ac:dyDescent="0.25">
      <c r="B8351" s="5" t="str">
        <f>T("Nouvelle-Calédonie")</f>
        <v>Nouvelle-Calédonie</v>
      </c>
      <c r="C8351" s="1"/>
      <c r="D8351" s="1"/>
    </row>
    <row r="8352" spans="1:4" x14ac:dyDescent="0.25">
      <c r="A8352" t="str">
        <f>T("   210690")</f>
        <v xml:space="preserve">   210690</v>
      </c>
      <c r="B8352" t="str">
        <f>T("   AUTRES")</f>
        <v xml:space="preserve">   AUTRES</v>
      </c>
      <c r="C8352" s="4">
        <v>267</v>
      </c>
      <c r="D8352" s="4">
        <v>1266003</v>
      </c>
    </row>
    <row r="8353" spans="1:4" s="5" customFormat="1" x14ac:dyDescent="0.25">
      <c r="A8353" s="5" t="str">
        <f>T("   ZZ_Total_Produit_SH6")</f>
        <v xml:space="preserve">   ZZ_Total_Produit_SH6</v>
      </c>
      <c r="B8353" s="5" t="str">
        <f>T("   ZZ_Total_Produit_SH6")</f>
        <v xml:space="preserve">   ZZ_Total_Produit_SH6</v>
      </c>
      <c r="C8353" s="1">
        <v>267</v>
      </c>
      <c r="D8353" s="1">
        <v>1266003</v>
      </c>
    </row>
    <row r="8354" spans="1:4" s="5" customFormat="1" x14ac:dyDescent="0.25">
      <c r="B8354" s="5" t="str">
        <f>T("Niger")</f>
        <v>Niger</v>
      </c>
      <c r="C8354" s="1"/>
      <c r="D8354" s="1"/>
    </row>
    <row r="8355" spans="1:4" x14ac:dyDescent="0.25">
      <c r="A8355" t="str">
        <f>T("   010511")</f>
        <v xml:space="preserve">   010511</v>
      </c>
      <c r="B8355" t="str">
        <f>T("   COQS ET POULES")</f>
        <v xml:space="preserve">   COQS ET POULES</v>
      </c>
      <c r="C8355" s="4">
        <v>560</v>
      </c>
      <c r="D8355" s="4">
        <v>8435646</v>
      </c>
    </row>
    <row r="8356" spans="1:4" x14ac:dyDescent="0.25">
      <c r="A8356" t="str">
        <f>T("   030219")</f>
        <v xml:space="preserve">   030219</v>
      </c>
      <c r="B8356" t="str">
        <f>T("   AUTRES")</f>
        <v xml:space="preserve">   AUTRES</v>
      </c>
      <c r="C8356" s="4">
        <v>27325</v>
      </c>
      <c r="D8356" s="4">
        <v>10930000</v>
      </c>
    </row>
    <row r="8357" spans="1:4" x14ac:dyDescent="0.25">
      <c r="A8357" t="str">
        <f>T("   100640")</f>
        <v xml:space="preserve">   100640</v>
      </c>
      <c r="B8357" t="str">
        <f>T("   RIZ EN BRISURES")</f>
        <v xml:space="preserve">   RIZ EN BRISURES</v>
      </c>
      <c r="C8357" s="4">
        <v>260000</v>
      </c>
      <c r="D8357" s="4">
        <v>95078552.457000002</v>
      </c>
    </row>
    <row r="8358" spans="1:4" x14ac:dyDescent="0.25">
      <c r="A8358" t="str">
        <f>T("   491110")</f>
        <v xml:space="preserve">   491110</v>
      </c>
      <c r="B8358" t="str">
        <f>T("   IMPRIMES PUBLICITAIRES, CATALOGUES COMMERCIAUX ET SIMILAIRES")</f>
        <v xml:space="preserve">   IMPRIMES PUBLICITAIRES, CATALOGUES COMMERCIAUX ET SIMILAIRES</v>
      </c>
      <c r="C8358" s="4">
        <v>52</v>
      </c>
      <c r="D8358" s="4">
        <v>548383</v>
      </c>
    </row>
    <row r="8359" spans="1:4" x14ac:dyDescent="0.25">
      <c r="A8359" t="str">
        <f>T("   520849")</f>
        <v xml:space="preserve">   520849</v>
      </c>
      <c r="B8359" t="str">
        <f>T("   AUTRES TISSUS")</f>
        <v xml:space="preserve">   AUTRES TISSUS</v>
      </c>
      <c r="C8359" s="4">
        <v>1530</v>
      </c>
      <c r="D8359" s="4">
        <v>2550000</v>
      </c>
    </row>
    <row r="8360" spans="1:4" x14ac:dyDescent="0.25">
      <c r="A8360" t="str">
        <f>T("   520852")</f>
        <v xml:space="preserve">   520852</v>
      </c>
      <c r="B8360" t="str">
        <f>T("   A ARMURE TOILE, D'UN POIDS EXCEDANT 100 G/M²")</f>
        <v xml:space="preserve">   A ARMURE TOILE, D'UN POIDS EXCEDANT 100 G/M²</v>
      </c>
      <c r="C8360" s="4">
        <v>111157</v>
      </c>
      <c r="D8360" s="4">
        <v>709803720</v>
      </c>
    </row>
    <row r="8361" spans="1:4" x14ac:dyDescent="0.25">
      <c r="A8361" t="str">
        <f>T("   580890")</f>
        <v xml:space="preserve">   580890</v>
      </c>
      <c r="B8361" t="str">
        <f>T("   AUTRES")</f>
        <v xml:space="preserve">   AUTRES</v>
      </c>
      <c r="C8361" s="4">
        <v>243</v>
      </c>
      <c r="D8361" s="4">
        <v>1500000</v>
      </c>
    </row>
    <row r="8362" spans="1:4" x14ac:dyDescent="0.25">
      <c r="A8362" t="str">
        <f>T("   611490")</f>
        <v xml:space="preserve">   611490</v>
      </c>
      <c r="B8362" t="str">
        <f>T("   D'AUTRES MATIERES TEXTILES")</f>
        <v xml:space="preserve">   D'AUTRES MATIERES TEXTILES</v>
      </c>
      <c r="C8362" s="4">
        <v>289</v>
      </c>
      <c r="D8362" s="4">
        <v>30000</v>
      </c>
    </row>
    <row r="8363" spans="1:4" x14ac:dyDescent="0.25">
      <c r="A8363" t="str">
        <f>T("   620349")</f>
        <v xml:space="preserve">   620349</v>
      </c>
      <c r="B8363" t="str">
        <f>T("   D'AUTRES MATIERES TEXTILES")</f>
        <v xml:space="preserve">   D'AUTRES MATIERES TEXTILES</v>
      </c>
      <c r="C8363" s="4">
        <v>187</v>
      </c>
      <c r="D8363" s="4">
        <v>300000</v>
      </c>
    </row>
    <row r="8364" spans="1:4" x14ac:dyDescent="0.25">
      <c r="A8364" t="str">
        <f>T("   621710")</f>
        <v xml:space="preserve">   621710</v>
      </c>
      <c r="B8364" t="str">
        <f>T("   ACCESSOIRES")</f>
        <v xml:space="preserve">   ACCESSOIRES</v>
      </c>
      <c r="C8364" s="4">
        <v>32</v>
      </c>
      <c r="D8364" s="4">
        <v>813390</v>
      </c>
    </row>
    <row r="8365" spans="1:4" x14ac:dyDescent="0.25">
      <c r="A8365" t="str">
        <f>T("   640590")</f>
        <v xml:space="preserve">   640590</v>
      </c>
      <c r="B8365" t="str">
        <f>T("   AUTRES")</f>
        <v xml:space="preserve">   AUTRES</v>
      </c>
      <c r="C8365" s="4">
        <v>55240</v>
      </c>
      <c r="D8365" s="4">
        <v>14263194</v>
      </c>
    </row>
    <row r="8366" spans="1:4" x14ac:dyDescent="0.25">
      <c r="A8366" t="str">
        <f>T("   830630")</f>
        <v xml:space="preserve">   830630</v>
      </c>
      <c r="B8366" t="str">
        <f>T("   CADRES POUR PHOTOGRAPHIES, GRAVURES OU SIMILAIRES; MIROIRS")</f>
        <v xml:space="preserve">   CADRES POUR PHOTOGRAPHIES, GRAVURES OU SIMILAIRES; MIROIRS</v>
      </c>
      <c r="C8366" s="4">
        <v>28</v>
      </c>
      <c r="D8366" s="4">
        <v>381113</v>
      </c>
    </row>
    <row r="8367" spans="1:4" x14ac:dyDescent="0.25">
      <c r="A8367" t="str">
        <f>T("   842959")</f>
        <v xml:space="preserve">   842959</v>
      </c>
      <c r="B8367" t="str">
        <f>T("   AUTRES")</f>
        <v xml:space="preserve">   AUTRES</v>
      </c>
      <c r="C8367" s="4">
        <v>48990</v>
      </c>
      <c r="D8367" s="4">
        <v>25038000</v>
      </c>
    </row>
    <row r="8368" spans="1:4" x14ac:dyDescent="0.25">
      <c r="A8368" t="str">
        <f>T("   843143")</f>
        <v xml:space="preserve">   843143</v>
      </c>
      <c r="B8368" t="str">
        <f>T("   PARTIES DE MACHINES DE SONDAGE OU DE FORAGE DES N°S 8430.41 OU 8430.49")</f>
        <v xml:space="preserve">   PARTIES DE MACHINES DE SONDAGE OU DE FORAGE DES N°S 8430.41 OU 8430.49</v>
      </c>
      <c r="C8368" s="4">
        <v>1109</v>
      </c>
      <c r="D8368" s="4">
        <v>37025254</v>
      </c>
    </row>
    <row r="8369" spans="1:4" x14ac:dyDescent="0.25">
      <c r="A8369" t="str">
        <f>T("   847180")</f>
        <v xml:space="preserve">   847180</v>
      </c>
      <c r="B8369" t="str">
        <f>T("   AUTRES UNITES DE MACHINES AUTOMATIQUES DE TRAITEMENT DE L'INFORMATION")</f>
        <v xml:space="preserve">   AUTRES UNITES DE MACHINES AUTOMATIQUES DE TRAITEMENT DE L'INFORMATION</v>
      </c>
      <c r="C8369" s="4">
        <v>90</v>
      </c>
      <c r="D8369" s="4">
        <v>2808952</v>
      </c>
    </row>
    <row r="8370" spans="1:4" x14ac:dyDescent="0.25">
      <c r="A8370" t="str">
        <f>T("   870120")</f>
        <v xml:space="preserve">   870120</v>
      </c>
      <c r="B8370" t="str">
        <f>T("   TRACTEURS ROUTIERS POUR SEMIREMORQUES")</f>
        <v xml:space="preserve">   TRACTEURS ROUTIERS POUR SEMIREMORQUES</v>
      </c>
      <c r="C8370" s="4">
        <v>6500</v>
      </c>
      <c r="D8370" s="4">
        <v>2000000</v>
      </c>
    </row>
    <row r="8371" spans="1:4" x14ac:dyDescent="0.25">
      <c r="A8371" t="str">
        <f>T("   870323")</f>
        <v xml:space="preserve">   870323</v>
      </c>
      <c r="B8371" t="str">
        <f>T("   D’UNE CYLINDREE EXCEDANT 1.500 CM³ MAIS N’EXCEDANT PAS 3.000 CM³")</f>
        <v xml:space="preserve">   D’UNE CYLINDREE EXCEDANT 1.500 CM³ MAIS N’EXCEDANT PAS 3.000 CM³</v>
      </c>
      <c r="C8371" s="4">
        <v>5800</v>
      </c>
      <c r="D8371" s="4">
        <v>5735953</v>
      </c>
    </row>
    <row r="8372" spans="1:4" x14ac:dyDescent="0.25">
      <c r="A8372" t="str">
        <f>T("   870332")</f>
        <v xml:space="preserve">   870332</v>
      </c>
      <c r="B8372" t="str">
        <f>T("   D'UNE CYLINDREE EXCEDANT 1.500 CM³ MAIS N'EXCEDANT PAS 2.500 CM³")</f>
        <v xml:space="preserve">   D'UNE CYLINDREE EXCEDANT 1.500 CM³ MAIS N'EXCEDANT PAS 2.500 CM³</v>
      </c>
      <c r="C8372" s="4">
        <v>1930</v>
      </c>
      <c r="D8372" s="4">
        <v>2922436</v>
      </c>
    </row>
    <row r="8373" spans="1:4" x14ac:dyDescent="0.25">
      <c r="A8373" t="str">
        <f>T("   870421")</f>
        <v xml:space="preserve">   870421</v>
      </c>
      <c r="B8373" t="str">
        <f>T("   D'UN POIDS EN CHARGE MAXIMAL N'EXCEDANT PAS 5 TONNES")</f>
        <v xml:space="preserve">   D'UN POIDS EN CHARGE MAXIMAL N'EXCEDANT PAS 5 TONNES</v>
      </c>
      <c r="C8373" s="4">
        <v>1160</v>
      </c>
      <c r="D8373" s="4">
        <v>1200000</v>
      </c>
    </row>
    <row r="8374" spans="1:4" x14ac:dyDescent="0.25">
      <c r="A8374" t="str">
        <f>T("   870423")</f>
        <v xml:space="preserve">   870423</v>
      </c>
      <c r="B8374" t="str">
        <f>T("   D'UN POIDS EN CHARGE MAXIMAL EXCEDANT 20 TONNES")</f>
        <v xml:space="preserve">   D'UN POIDS EN CHARGE MAXIMAL EXCEDANT 20 TONNES</v>
      </c>
      <c r="C8374" s="4">
        <v>39600</v>
      </c>
      <c r="D8374" s="4">
        <v>110540999</v>
      </c>
    </row>
    <row r="8375" spans="1:4" s="5" customFormat="1" x14ac:dyDescent="0.25">
      <c r="A8375" s="5" t="str">
        <f>T("   ZZ_Total_Produit_SH6")</f>
        <v xml:space="preserve">   ZZ_Total_Produit_SH6</v>
      </c>
      <c r="B8375" s="5" t="str">
        <f>T("   ZZ_Total_Produit_SH6")</f>
        <v xml:space="preserve">   ZZ_Total_Produit_SH6</v>
      </c>
      <c r="C8375" s="1">
        <v>561822</v>
      </c>
      <c r="D8375" s="1">
        <v>1031905592.457</v>
      </c>
    </row>
    <row r="8376" spans="1:4" s="5" customFormat="1" x14ac:dyDescent="0.25">
      <c r="B8376" s="5" t="str">
        <f>T("Norfolk, île")</f>
        <v>Norfolk, île</v>
      </c>
      <c r="C8376" s="1"/>
      <c r="D8376" s="1"/>
    </row>
    <row r="8377" spans="1:4" x14ac:dyDescent="0.25">
      <c r="A8377" t="str">
        <f>T("   020714")</f>
        <v xml:space="preserve">   020714</v>
      </c>
      <c r="B8377" t="str">
        <f>T("   MORCEAUX ET ABATS, CONGELES")</f>
        <v xml:space="preserve">   MORCEAUX ET ABATS, CONGELES</v>
      </c>
      <c r="C8377" s="4">
        <v>50000</v>
      </c>
      <c r="D8377" s="4">
        <v>31100000</v>
      </c>
    </row>
    <row r="8378" spans="1:4" s="5" customFormat="1" x14ac:dyDescent="0.25">
      <c r="A8378" s="5" t="str">
        <f>T("   ZZ_Total_Produit_SH6")</f>
        <v xml:space="preserve">   ZZ_Total_Produit_SH6</v>
      </c>
      <c r="B8378" s="5" t="str">
        <f>T("   ZZ_Total_Produit_SH6")</f>
        <v xml:space="preserve">   ZZ_Total_Produit_SH6</v>
      </c>
      <c r="C8378" s="1">
        <v>50000</v>
      </c>
      <c r="D8378" s="1">
        <v>31100000</v>
      </c>
    </row>
    <row r="8379" spans="1:4" s="5" customFormat="1" x14ac:dyDescent="0.25">
      <c r="B8379" s="5" t="str">
        <f>T("Nigéria")</f>
        <v>Nigéria</v>
      </c>
      <c r="C8379" s="1"/>
      <c r="D8379" s="1"/>
    </row>
    <row r="8380" spans="1:4" x14ac:dyDescent="0.25">
      <c r="A8380" t="str">
        <f>T("   030613")</f>
        <v xml:space="preserve">   030613</v>
      </c>
      <c r="B8380" t="str">
        <f>T("   CREVETTES CONGELEES")</f>
        <v xml:space="preserve">   CREVETTES CONGELEES</v>
      </c>
      <c r="C8380" s="4">
        <v>400</v>
      </c>
      <c r="D8380" s="4">
        <v>120000</v>
      </c>
    </row>
    <row r="8381" spans="1:4" x14ac:dyDescent="0.25">
      <c r="A8381" t="str">
        <f>T("   040210")</f>
        <v xml:space="preserve">   040210</v>
      </c>
      <c r="B8381" t="str">
        <f>T("   EN POUDRE, EN GRANULES OU SOUS D’AUTRES FORMES SOLIDES, D’UNE TENEUR EN POIDS DE MATI")</f>
        <v xml:space="preserve">   EN POUDRE, EN GRANULES OU SOUS D’AUTRES FORMES SOLIDES, D’UNE TENEUR EN POIDS DE MATI</v>
      </c>
      <c r="C8381" s="4">
        <v>7798</v>
      </c>
      <c r="D8381" s="4">
        <v>10136281</v>
      </c>
    </row>
    <row r="8382" spans="1:4" x14ac:dyDescent="0.25">
      <c r="A8382" t="str">
        <f>T("   070310")</f>
        <v xml:space="preserve">   070310</v>
      </c>
      <c r="B8382" t="str">
        <f>T("   OIGNONS ET ECHALOTES")</f>
        <v xml:space="preserve">   OIGNONS ET ECHALOTES</v>
      </c>
      <c r="C8382" s="4">
        <v>16100</v>
      </c>
      <c r="D8382" s="4">
        <v>2355000</v>
      </c>
    </row>
    <row r="8383" spans="1:4" x14ac:dyDescent="0.25">
      <c r="A8383" t="str">
        <f>T("   071339")</f>
        <v xml:space="preserve">   071339</v>
      </c>
      <c r="B8383" t="str">
        <f>T("   AUTRES")</f>
        <v xml:space="preserve">   AUTRES</v>
      </c>
      <c r="C8383" s="4">
        <v>48900</v>
      </c>
      <c r="D8383" s="4">
        <v>3667500</v>
      </c>
    </row>
    <row r="8384" spans="1:4" x14ac:dyDescent="0.25">
      <c r="A8384" t="str">
        <f>T("   080290")</f>
        <v xml:space="preserve">   080290</v>
      </c>
      <c r="B8384" t="str">
        <f>T("   AUTRES")</f>
        <v xml:space="preserve">   AUTRES</v>
      </c>
      <c r="C8384" s="4">
        <v>200</v>
      </c>
      <c r="D8384" s="4">
        <v>18000</v>
      </c>
    </row>
    <row r="8385" spans="1:4" x14ac:dyDescent="0.25">
      <c r="A8385" t="str">
        <f>T("   090240")</f>
        <v xml:space="preserve">   090240</v>
      </c>
      <c r="B8385" t="str">
        <f>T("   THE NOIR (FERMENTE) ET THE PARTIELLEMENT FERMENTE, PRESENTES AUTREMENT")</f>
        <v xml:space="preserve">   THE NOIR (FERMENTE) ET THE PARTIELLEMENT FERMENTE, PRESENTES AUTREMENT</v>
      </c>
      <c r="C8385" s="4">
        <v>27</v>
      </c>
      <c r="D8385" s="4">
        <v>93555</v>
      </c>
    </row>
    <row r="8386" spans="1:4" x14ac:dyDescent="0.25">
      <c r="A8386" t="str">
        <f>T("   090411")</f>
        <v xml:space="preserve">   090411</v>
      </c>
      <c r="B8386" t="str">
        <f>T("   NON BROYE NI PULVERISE")</f>
        <v xml:space="preserve">   NON BROYE NI PULVERISE</v>
      </c>
      <c r="C8386" s="4">
        <v>50</v>
      </c>
      <c r="D8386" s="4">
        <v>29262</v>
      </c>
    </row>
    <row r="8387" spans="1:4" x14ac:dyDescent="0.25">
      <c r="A8387" t="str">
        <f>T("   090420")</f>
        <v xml:space="preserve">   090420</v>
      </c>
      <c r="B8387" t="str">
        <f>T("   PIMENTS SECHES OU BROYES OU PULVERISES")</f>
        <v xml:space="preserve">   PIMENTS SECHES OU BROYES OU PULVERISES</v>
      </c>
      <c r="C8387" s="4">
        <v>2853</v>
      </c>
      <c r="D8387" s="4">
        <v>277300</v>
      </c>
    </row>
    <row r="8388" spans="1:4" x14ac:dyDescent="0.25">
      <c r="A8388" t="str">
        <f>T("   091010")</f>
        <v xml:space="preserve">   091010</v>
      </c>
      <c r="B8388" t="str">
        <f>T("   Gingembre")</f>
        <v xml:space="preserve">   Gingembre</v>
      </c>
      <c r="C8388" s="4">
        <v>180260</v>
      </c>
      <c r="D8388" s="4">
        <v>16232000</v>
      </c>
    </row>
    <row r="8389" spans="1:4" x14ac:dyDescent="0.25">
      <c r="A8389" t="str">
        <f>T("   100510")</f>
        <v xml:space="preserve">   100510</v>
      </c>
      <c r="B8389" t="str">
        <f>T("   DE SEMENCE")</f>
        <v xml:space="preserve">   DE SEMENCE</v>
      </c>
      <c r="C8389" s="4">
        <v>22</v>
      </c>
      <c r="D8389" s="4">
        <v>14700</v>
      </c>
    </row>
    <row r="8390" spans="1:4" x14ac:dyDescent="0.25">
      <c r="A8390" t="str">
        <f>T("   110100")</f>
        <v xml:space="preserve">   110100</v>
      </c>
      <c r="B8390" t="str">
        <f>T("   FARINES DE FROMENT (BLE) OU DE METEIL.")</f>
        <v xml:space="preserve">   FARINES DE FROMENT (BLE) OU DE METEIL.</v>
      </c>
      <c r="C8390" s="4">
        <v>59243</v>
      </c>
      <c r="D8390" s="4">
        <v>15804985.651000001</v>
      </c>
    </row>
    <row r="8391" spans="1:4" x14ac:dyDescent="0.25">
      <c r="A8391" t="str">
        <f>T("   110313")</f>
        <v xml:space="preserve">   110313</v>
      </c>
      <c r="B8391" t="str">
        <f>T("   DE MAIS")</f>
        <v xml:space="preserve">   DE MAIS</v>
      </c>
      <c r="C8391" s="4">
        <v>810</v>
      </c>
      <c r="D8391" s="4">
        <v>279960</v>
      </c>
    </row>
    <row r="8392" spans="1:4" x14ac:dyDescent="0.25">
      <c r="A8392" t="str">
        <f>T("   120740")</f>
        <v xml:space="preserve">   120740</v>
      </c>
      <c r="B8392" t="str">
        <f>T("   GRAINES DE SESAME")</f>
        <v xml:space="preserve">   GRAINES DE SESAME</v>
      </c>
      <c r="C8392" s="4">
        <v>1000</v>
      </c>
      <c r="D8392" s="4">
        <v>75000</v>
      </c>
    </row>
    <row r="8393" spans="1:4" x14ac:dyDescent="0.25">
      <c r="A8393" t="str">
        <f>T("   121190")</f>
        <v xml:space="preserve">   121190</v>
      </c>
      <c r="B8393" t="str">
        <f>T("   AUTRES")</f>
        <v xml:space="preserve">   AUTRES</v>
      </c>
      <c r="C8393" s="4">
        <v>139750</v>
      </c>
      <c r="D8393" s="4">
        <v>7039080</v>
      </c>
    </row>
    <row r="8394" spans="1:4" x14ac:dyDescent="0.25">
      <c r="A8394" t="str">
        <f>T("   160250")</f>
        <v xml:space="preserve">   160250</v>
      </c>
      <c r="B8394" t="str">
        <f>T("   DE L'ESPECE BOVINE")</f>
        <v xml:space="preserve">   DE L'ESPECE BOVINE</v>
      </c>
      <c r="C8394" s="4">
        <v>50</v>
      </c>
      <c r="D8394" s="4">
        <v>40180</v>
      </c>
    </row>
    <row r="8395" spans="1:4" x14ac:dyDescent="0.25">
      <c r="A8395" t="str">
        <f>T("   160413")</f>
        <v xml:space="preserve">   160413</v>
      </c>
      <c r="B8395" t="str">
        <f>T("   SARDINES, SARDINELLES ET SPRATS OU ESPROTS")</f>
        <v xml:space="preserve">   SARDINES, SARDINELLES ET SPRATS OU ESPROTS</v>
      </c>
      <c r="C8395" s="4">
        <v>50705</v>
      </c>
      <c r="D8395" s="4">
        <v>54048658</v>
      </c>
    </row>
    <row r="8396" spans="1:4" x14ac:dyDescent="0.25">
      <c r="A8396" t="str">
        <f>T("   160419")</f>
        <v xml:space="preserve">   160419</v>
      </c>
      <c r="B8396" t="str">
        <f>T("   AUTRES")</f>
        <v xml:space="preserve">   AUTRES</v>
      </c>
      <c r="C8396" s="4">
        <v>200</v>
      </c>
      <c r="D8396" s="4">
        <v>372000</v>
      </c>
    </row>
    <row r="8397" spans="1:4" x14ac:dyDescent="0.25">
      <c r="A8397" t="str">
        <f>T("   170410")</f>
        <v xml:space="preserve">   170410</v>
      </c>
      <c r="B8397" t="str">
        <f>T("   GOMMES A MACHER (CHEWINGGUM), MEME ENROBEES DE SUCRE")</f>
        <v xml:space="preserve">   GOMMES A MACHER (CHEWINGGUM), MEME ENROBEES DE SUCRE</v>
      </c>
      <c r="C8397" s="4">
        <v>15516</v>
      </c>
      <c r="D8397" s="4">
        <v>2916000</v>
      </c>
    </row>
    <row r="8398" spans="1:4" x14ac:dyDescent="0.25">
      <c r="A8398" t="str">
        <f>T("   170490")</f>
        <v xml:space="preserve">   170490</v>
      </c>
      <c r="B8398" t="str">
        <f>T("   AUTRES")</f>
        <v xml:space="preserve">   AUTRES</v>
      </c>
      <c r="C8398" s="4">
        <v>19366</v>
      </c>
      <c r="D8398" s="4">
        <v>6587000</v>
      </c>
    </row>
    <row r="8399" spans="1:4" x14ac:dyDescent="0.25">
      <c r="A8399" t="str">
        <f>T("   190110")</f>
        <v xml:space="preserve">   190110</v>
      </c>
      <c r="B8399" t="str">
        <f>T("   PREPARATIONS POUR L'ALIMENTATION DES ENFANTS, CONDITIONNEES POUR LA VENTE AU DETAIL")</f>
        <v xml:space="preserve">   PREPARATIONS POUR L'ALIMENTATION DES ENFANTS, CONDITIONNEES POUR LA VENTE AU DETAIL</v>
      </c>
      <c r="C8399" s="4">
        <v>218075</v>
      </c>
      <c r="D8399" s="4">
        <v>86883719</v>
      </c>
    </row>
    <row r="8400" spans="1:4" x14ac:dyDescent="0.25">
      <c r="A8400" t="str">
        <f>T("   190120")</f>
        <v xml:space="preserve">   190120</v>
      </c>
      <c r="B8400" t="str">
        <f>T("   MELANGES ET PATES POUR LA PREPARATION DES PRODUITS DE LA BOULANGERIE, DE LA PATISSERI")</f>
        <v xml:space="preserve">   MELANGES ET PATES POUR LA PREPARATION DES PRODUITS DE LA BOULANGERIE, DE LA PATISSERI</v>
      </c>
      <c r="C8400" s="4">
        <v>100</v>
      </c>
      <c r="D8400" s="4">
        <v>418000</v>
      </c>
    </row>
    <row r="8401" spans="1:4" x14ac:dyDescent="0.25">
      <c r="A8401" t="str">
        <f>T("   190220")</f>
        <v xml:space="preserve">   190220</v>
      </c>
      <c r="B8401" t="str">
        <f>T("   PATES ALIMENTAIRES FARCIES (MEME CUITES OU AUTREMENT PREPAREES)")</f>
        <v xml:space="preserve">   PATES ALIMENTAIRES FARCIES (MEME CUITES OU AUTREMENT PREPAREES)</v>
      </c>
      <c r="C8401" s="4">
        <v>340974</v>
      </c>
      <c r="D8401" s="4">
        <v>284963086</v>
      </c>
    </row>
    <row r="8402" spans="1:4" x14ac:dyDescent="0.25">
      <c r="A8402" t="str">
        <f>T("   190230")</f>
        <v xml:space="preserve">   190230</v>
      </c>
      <c r="B8402" t="str">
        <f>T("   AUTRES PATES ALIMENTAIRES")</f>
        <v xml:space="preserve">   AUTRES PATES ALIMENTAIRES</v>
      </c>
      <c r="C8402" s="4">
        <v>1489</v>
      </c>
      <c r="D8402" s="4">
        <v>573961</v>
      </c>
    </row>
    <row r="8403" spans="1:4" x14ac:dyDescent="0.25">
      <c r="A8403" t="str">
        <f>T("   190240")</f>
        <v xml:space="preserve">   190240</v>
      </c>
      <c r="B8403" t="str">
        <f>T("   COUSCOUS")</f>
        <v xml:space="preserve">   COUSCOUS</v>
      </c>
      <c r="C8403" s="4">
        <v>29030</v>
      </c>
      <c r="D8403" s="4">
        <v>13448092</v>
      </c>
    </row>
    <row r="8404" spans="1:4" x14ac:dyDescent="0.25">
      <c r="A8404" t="str">
        <f>T("   190590")</f>
        <v xml:space="preserve">   190590</v>
      </c>
      <c r="B8404" t="str">
        <f>T("   AUTRES")</f>
        <v xml:space="preserve">   AUTRES</v>
      </c>
      <c r="C8404" s="4">
        <v>856614</v>
      </c>
      <c r="D8404" s="4">
        <v>173514332</v>
      </c>
    </row>
    <row r="8405" spans="1:4" x14ac:dyDescent="0.25">
      <c r="A8405" t="str">
        <f>T("   200290")</f>
        <v xml:space="preserve">   200290</v>
      </c>
      <c r="B8405" t="str">
        <f>T("   AUTRES")</f>
        <v xml:space="preserve">   AUTRES</v>
      </c>
      <c r="C8405" s="4">
        <v>255423</v>
      </c>
      <c r="D8405" s="4">
        <v>83554707</v>
      </c>
    </row>
    <row r="8406" spans="1:4" x14ac:dyDescent="0.25">
      <c r="A8406" t="str">
        <f>T("   200990")</f>
        <v xml:space="preserve">   200990</v>
      </c>
      <c r="B8406" t="str">
        <f>T("   MELANGES DE JUS")</f>
        <v xml:space="preserve">   MELANGES DE JUS</v>
      </c>
      <c r="C8406" s="4">
        <v>37388</v>
      </c>
      <c r="D8406" s="4">
        <v>10181637</v>
      </c>
    </row>
    <row r="8407" spans="1:4" x14ac:dyDescent="0.25">
      <c r="A8407" t="str">
        <f>T("   210210")</f>
        <v xml:space="preserve">   210210</v>
      </c>
      <c r="B8407" t="str">
        <f>T("   Levures vivantes")</f>
        <v xml:space="preserve">   Levures vivantes</v>
      </c>
      <c r="C8407" s="4">
        <v>100</v>
      </c>
      <c r="D8407" s="4">
        <v>68000</v>
      </c>
    </row>
    <row r="8408" spans="1:4" x14ac:dyDescent="0.25">
      <c r="A8408" t="str">
        <f>T("   210320")</f>
        <v xml:space="preserve">   210320</v>
      </c>
      <c r="B8408" t="str">
        <f>T("   «TOMATOKETCHUP» ET AUTRES SAUCES TOMATES")</f>
        <v xml:space="preserve">   «TOMATOKETCHUP» ET AUTRES SAUCES TOMATES</v>
      </c>
      <c r="C8408" s="4">
        <v>88</v>
      </c>
      <c r="D8408" s="4">
        <v>203350</v>
      </c>
    </row>
    <row r="8409" spans="1:4" x14ac:dyDescent="0.25">
      <c r="A8409" t="str">
        <f>T("   210390")</f>
        <v xml:space="preserve">   210390</v>
      </c>
      <c r="B8409" t="str">
        <f>T("   AUTRES")</f>
        <v xml:space="preserve">   AUTRES</v>
      </c>
      <c r="C8409" s="4">
        <v>6512</v>
      </c>
      <c r="D8409" s="4">
        <v>2604800</v>
      </c>
    </row>
    <row r="8410" spans="1:4" x14ac:dyDescent="0.25">
      <c r="A8410" t="str">
        <f>T("   210410")</f>
        <v xml:space="preserve">   210410</v>
      </c>
      <c r="B8410" t="str">
        <f>T("   PREPARATIONS POUR SOUPES, POTAGES OU BOUILLONS; SOUPES, POTAGES OU BOUILLONS PREPARES")</f>
        <v xml:space="preserve">   PREPARATIONS POUR SOUPES, POTAGES OU BOUILLONS; SOUPES, POTAGES OU BOUILLONS PREPARES</v>
      </c>
      <c r="C8410" s="4">
        <v>375133.16</v>
      </c>
      <c r="D8410" s="4">
        <v>481076800</v>
      </c>
    </row>
    <row r="8411" spans="1:4" x14ac:dyDescent="0.25">
      <c r="A8411" t="str">
        <f>T("   210610")</f>
        <v xml:space="preserve">   210610</v>
      </c>
      <c r="B8411" t="str">
        <f>T("   CONCENTRATS DE PROTEINES ET SUBSTANCES PROTEIQUES TEXTUREES")</f>
        <v xml:space="preserve">   CONCENTRATS DE PROTEINES ET SUBSTANCES PROTEIQUES TEXTUREES</v>
      </c>
      <c r="C8411" s="4">
        <v>1248</v>
      </c>
      <c r="D8411" s="4">
        <v>808751</v>
      </c>
    </row>
    <row r="8412" spans="1:4" x14ac:dyDescent="0.25">
      <c r="A8412" t="str">
        <f>T("   220110")</f>
        <v xml:space="preserve">   220110</v>
      </c>
      <c r="B8412" t="str">
        <f>T("   EAUX MINERALES ET EAUX GAZEIFIEES")</f>
        <v xml:space="preserve">   EAUX MINERALES ET EAUX GAZEIFIEES</v>
      </c>
      <c r="C8412" s="4">
        <v>900</v>
      </c>
      <c r="D8412" s="4">
        <v>128892</v>
      </c>
    </row>
    <row r="8413" spans="1:4" x14ac:dyDescent="0.25">
      <c r="A8413" t="str">
        <f>T("   220210")</f>
        <v xml:space="preserve">   220210</v>
      </c>
      <c r="B8413" t="str">
        <f>T("   EAUX, Y COMPRIS LES EAUX MINERALES ET LES EAUX GAZEIFIEES, ADDITIONNEES DE SUCRE OU D")</f>
        <v xml:space="preserve">   EAUX, Y COMPRIS LES EAUX MINERALES ET LES EAUX GAZEIFIEES, ADDITIONNEES DE SUCRE OU D</v>
      </c>
      <c r="C8413" s="4">
        <v>1562980</v>
      </c>
      <c r="D8413" s="4">
        <v>110988939</v>
      </c>
    </row>
    <row r="8414" spans="1:4" x14ac:dyDescent="0.25">
      <c r="A8414" t="str">
        <f>T("   220290")</f>
        <v xml:space="preserve">   220290</v>
      </c>
      <c r="B8414" t="str">
        <f>T("   AUTRES")</f>
        <v xml:space="preserve">   AUTRES</v>
      </c>
      <c r="C8414" s="4">
        <v>61798</v>
      </c>
      <c r="D8414" s="4">
        <v>13598976</v>
      </c>
    </row>
    <row r="8415" spans="1:4" x14ac:dyDescent="0.25">
      <c r="A8415" t="str">
        <f>T("   220300")</f>
        <v xml:space="preserve">   220300</v>
      </c>
      <c r="B8415" t="str">
        <f>T("   BIERES DE MALT.")</f>
        <v xml:space="preserve">   BIERES DE MALT.</v>
      </c>
      <c r="C8415" s="4">
        <v>2714143.8</v>
      </c>
      <c r="D8415" s="4">
        <v>401484399</v>
      </c>
    </row>
    <row r="8416" spans="1:4" x14ac:dyDescent="0.25">
      <c r="A8416" t="str">
        <f>T("   220410")</f>
        <v xml:space="preserve">   220410</v>
      </c>
      <c r="B8416" t="str">
        <f>T("   Vins mousseux")</f>
        <v xml:space="preserve">   Vins mousseux</v>
      </c>
      <c r="C8416" s="4">
        <v>75</v>
      </c>
      <c r="D8416" s="4">
        <v>84112</v>
      </c>
    </row>
    <row r="8417" spans="1:4" x14ac:dyDescent="0.25">
      <c r="A8417" t="str">
        <f>T("   220590")</f>
        <v xml:space="preserve">   220590</v>
      </c>
      <c r="B8417" t="str">
        <f>T("   AUTRES")</f>
        <v xml:space="preserve">   AUTRES</v>
      </c>
      <c r="C8417" s="4">
        <v>12</v>
      </c>
      <c r="D8417" s="4">
        <v>30000</v>
      </c>
    </row>
    <row r="8418" spans="1:4" x14ac:dyDescent="0.25">
      <c r="A8418" t="str">
        <f>T("   220890")</f>
        <v xml:space="preserve">   220890</v>
      </c>
      <c r="B8418" t="str">
        <f>T("   AUTRES")</f>
        <v xml:space="preserve">   AUTRES</v>
      </c>
      <c r="C8418" s="4">
        <v>2162</v>
      </c>
      <c r="D8418" s="4">
        <v>1833700</v>
      </c>
    </row>
    <row r="8419" spans="1:4" x14ac:dyDescent="0.25">
      <c r="A8419" t="str">
        <f>T("   230230")</f>
        <v xml:space="preserve">   230230</v>
      </c>
      <c r="B8419" t="str">
        <f>T("   DE FROMENT")</f>
        <v xml:space="preserve">   DE FROMENT</v>
      </c>
      <c r="C8419" s="4">
        <v>4450</v>
      </c>
      <c r="D8419" s="4">
        <v>667500</v>
      </c>
    </row>
    <row r="8420" spans="1:4" x14ac:dyDescent="0.25">
      <c r="A8420" t="str">
        <f>T("   240110")</f>
        <v xml:space="preserve">   240110</v>
      </c>
      <c r="B8420" t="str">
        <f>T("   TABACS NON ECOTES")</f>
        <v xml:space="preserve">   TABACS NON ECOTES</v>
      </c>
      <c r="C8420" s="4">
        <v>2520</v>
      </c>
      <c r="D8420" s="4">
        <v>581678</v>
      </c>
    </row>
    <row r="8421" spans="1:4" x14ac:dyDescent="0.25">
      <c r="A8421" t="str">
        <f>T("   240220")</f>
        <v xml:space="preserve">   240220</v>
      </c>
      <c r="B8421" t="str">
        <f>T("   Cigarettes contenant du tabac")</f>
        <v xml:space="preserve">   Cigarettes contenant du tabac</v>
      </c>
      <c r="C8421" s="4">
        <v>544200</v>
      </c>
      <c r="D8421" s="4">
        <v>960719292</v>
      </c>
    </row>
    <row r="8422" spans="1:4" x14ac:dyDescent="0.25">
      <c r="A8422" t="str">
        <f>T("   250100")</f>
        <v xml:space="preserve">   250100</v>
      </c>
      <c r="B8422" t="str">
        <f>T("   SEL (Y COMPRIS LE SEL PREPARE POUR LA TABLE ET LE SEL DENATURE) ET CHLORURE DE SODIUM P")</f>
        <v xml:space="preserve">   SEL (Y COMPRIS LE SEL PREPARE POUR LA TABLE ET LE SEL DENATURE) ET CHLORURE DE SODIUM P</v>
      </c>
      <c r="C8422" s="4">
        <v>14179</v>
      </c>
      <c r="D8422" s="4">
        <v>708988</v>
      </c>
    </row>
    <row r="8423" spans="1:4" x14ac:dyDescent="0.25">
      <c r="A8423" t="str">
        <f>T("   250590")</f>
        <v xml:space="preserve">   250590</v>
      </c>
      <c r="B8423" t="str">
        <f>T("   AUTRES SABLES")</f>
        <v xml:space="preserve">   AUTRES SABLES</v>
      </c>
      <c r="C8423" s="4">
        <v>37000</v>
      </c>
      <c r="D8423" s="4">
        <v>925000</v>
      </c>
    </row>
    <row r="8424" spans="1:4" x14ac:dyDescent="0.25">
      <c r="A8424" t="str">
        <f>T("   250700")</f>
        <v xml:space="preserve">   250700</v>
      </c>
      <c r="B8424" t="str">
        <f>T("   KAOLIN ET AUTRES ARGILES KAOLINIQUES, MEME CALCINES.")</f>
        <v xml:space="preserve">   KAOLIN ET AUTRES ARGILES KAOLINIQUES, MEME CALCINES.</v>
      </c>
      <c r="C8424" s="4">
        <v>174465</v>
      </c>
      <c r="D8424" s="4">
        <v>15731735</v>
      </c>
    </row>
    <row r="8425" spans="1:4" x14ac:dyDescent="0.25">
      <c r="A8425" t="str">
        <f>T("   251311")</f>
        <v xml:space="preserve">   251311</v>
      </c>
      <c r="B8425" t="str">
        <f>T("   PIERRE PONCE,BRUTE OU EN MORCEAUX IRREGULIERS,YC LA PIERRE PONCE CONCASSEE")</f>
        <v xml:space="preserve">   PIERRE PONCE,BRUTE OU EN MORCEAUX IRREGULIERS,YC LA PIERRE PONCE CONCASSEE</v>
      </c>
      <c r="C8425" s="4">
        <v>2635</v>
      </c>
      <c r="D8425" s="4">
        <v>65875</v>
      </c>
    </row>
    <row r="8426" spans="1:4" x14ac:dyDescent="0.25">
      <c r="A8426" t="str">
        <f>T("   252321")</f>
        <v xml:space="preserve">   252321</v>
      </c>
      <c r="B8426" t="str">
        <f>T("   CIMENTS BLANCS, MEME COLORES ARTIFICIELLEMENT")</f>
        <v xml:space="preserve">   CIMENTS BLANCS, MEME COLORES ARTIFICIELLEMENT</v>
      </c>
      <c r="C8426" s="4">
        <v>15901</v>
      </c>
      <c r="D8426" s="4">
        <v>3301510</v>
      </c>
    </row>
    <row r="8427" spans="1:4" x14ac:dyDescent="0.25">
      <c r="A8427" t="str">
        <f>T("   253090")</f>
        <v xml:space="preserve">   253090</v>
      </c>
      <c r="B8427" t="str">
        <f>T("   AUTRES")</f>
        <v xml:space="preserve">   AUTRES</v>
      </c>
      <c r="C8427" s="4">
        <v>2300</v>
      </c>
      <c r="D8427" s="4">
        <v>293000</v>
      </c>
    </row>
    <row r="8428" spans="1:4" x14ac:dyDescent="0.25">
      <c r="A8428" t="str">
        <f>T("   271000")</f>
        <v xml:space="preserve">   271000</v>
      </c>
      <c r="B8428" t="str">
        <f>T("   Huiles et preparations de petrole ou mineraux bitumineux a 70 % ou +")</f>
        <v xml:space="preserve">   Huiles et preparations de petrole ou mineraux bitumineux a 70 % ou +</v>
      </c>
      <c r="C8428" s="4">
        <v>22880</v>
      </c>
      <c r="D8428" s="4">
        <v>15370811</v>
      </c>
    </row>
    <row r="8429" spans="1:4" x14ac:dyDescent="0.25">
      <c r="A8429" t="str">
        <f>T("   271011")</f>
        <v xml:space="preserve">   271011</v>
      </c>
      <c r="B8429" t="str">
        <f>T("   HUILLES DE PETROLE OU D'ESSENCE")</f>
        <v xml:space="preserve">   HUILLES DE PETROLE OU D'ESSENCE</v>
      </c>
      <c r="C8429" s="4">
        <v>16033416</v>
      </c>
      <c r="D8429" s="4">
        <v>5284123704</v>
      </c>
    </row>
    <row r="8430" spans="1:4" x14ac:dyDescent="0.25">
      <c r="A8430" t="str">
        <f>T("   271019")</f>
        <v xml:space="preserve">   271019</v>
      </c>
      <c r="B8430" t="str">
        <f>T("   AUTRES")</f>
        <v xml:space="preserve">   AUTRES</v>
      </c>
      <c r="C8430" s="4">
        <v>24464826</v>
      </c>
      <c r="D8430" s="4">
        <v>8521756332</v>
      </c>
    </row>
    <row r="8431" spans="1:4" x14ac:dyDescent="0.25">
      <c r="A8431" t="str">
        <f>T("   271113")</f>
        <v xml:space="preserve">   271113</v>
      </c>
      <c r="B8431" t="str">
        <f>T("   BUTANES")</f>
        <v xml:space="preserve">   BUTANES</v>
      </c>
      <c r="C8431" s="4">
        <v>1929398</v>
      </c>
      <c r="D8431" s="4">
        <v>673677899</v>
      </c>
    </row>
    <row r="8432" spans="1:4" x14ac:dyDescent="0.25">
      <c r="A8432" t="str">
        <f>T("   280110")</f>
        <v xml:space="preserve">   280110</v>
      </c>
      <c r="B8432" t="str">
        <f>T("   Chlore")</f>
        <v xml:space="preserve">   Chlore</v>
      </c>
      <c r="C8432" s="4">
        <v>5915</v>
      </c>
      <c r="D8432" s="4">
        <v>743625</v>
      </c>
    </row>
    <row r="8433" spans="1:4" x14ac:dyDescent="0.25">
      <c r="A8433" t="str">
        <f>T("   280429")</f>
        <v xml:space="preserve">   280429</v>
      </c>
      <c r="B8433" t="str">
        <f>T("   AUTRES")</f>
        <v xml:space="preserve">   AUTRES</v>
      </c>
      <c r="C8433" s="4">
        <v>56630</v>
      </c>
      <c r="D8433" s="4">
        <v>28857000</v>
      </c>
    </row>
    <row r="8434" spans="1:4" x14ac:dyDescent="0.25">
      <c r="A8434" t="str">
        <f>T("   280440")</f>
        <v xml:space="preserve">   280440</v>
      </c>
      <c r="B8434" t="str">
        <f>T("   OXYGENE")</f>
        <v xml:space="preserve">   OXYGENE</v>
      </c>
      <c r="C8434" s="4">
        <v>8070</v>
      </c>
      <c r="D8434" s="4">
        <v>6381273</v>
      </c>
    </row>
    <row r="8435" spans="1:4" x14ac:dyDescent="0.25">
      <c r="A8435" t="str">
        <f>T("   280610")</f>
        <v xml:space="preserve">   280610</v>
      </c>
      <c r="B8435" t="str">
        <f>T("   CHLORURE D'HYDROGENE (ACIDE CHLORHYDRIQUE)")</f>
        <v xml:space="preserve">   CHLORURE D'HYDROGENE (ACIDE CHLORHYDRIQUE)</v>
      </c>
      <c r="C8435" s="4">
        <v>4725</v>
      </c>
      <c r="D8435" s="4">
        <v>595000</v>
      </c>
    </row>
    <row r="8436" spans="1:4" x14ac:dyDescent="0.25">
      <c r="A8436" t="str">
        <f>T("   280700")</f>
        <v xml:space="preserve">   280700</v>
      </c>
      <c r="B8436" t="str">
        <f>T("   ACIDE SULFURIQUE; OLEUM.")</f>
        <v xml:space="preserve">   ACIDE SULFURIQUE; OLEUM.</v>
      </c>
      <c r="C8436" s="4">
        <v>5945</v>
      </c>
      <c r="D8436" s="4">
        <v>1515750</v>
      </c>
    </row>
    <row r="8437" spans="1:4" x14ac:dyDescent="0.25">
      <c r="A8437" t="str">
        <f>T("   281129")</f>
        <v xml:space="preserve">   281129</v>
      </c>
      <c r="B8437" t="str">
        <f>T("   AUTRES")</f>
        <v xml:space="preserve">   AUTRES</v>
      </c>
      <c r="C8437" s="4">
        <v>500</v>
      </c>
      <c r="D8437" s="4">
        <v>252731</v>
      </c>
    </row>
    <row r="8438" spans="1:4" x14ac:dyDescent="0.25">
      <c r="A8438" t="str">
        <f>T("   281511")</f>
        <v xml:space="preserve">   281511</v>
      </c>
      <c r="B8438" t="str">
        <f>T("   SOLIDE")</f>
        <v xml:space="preserve">   SOLIDE</v>
      </c>
      <c r="C8438" s="4">
        <v>221732</v>
      </c>
      <c r="D8438" s="4">
        <v>14280720</v>
      </c>
    </row>
    <row r="8439" spans="1:4" x14ac:dyDescent="0.25">
      <c r="A8439" t="str">
        <f>T("   281512")</f>
        <v xml:space="preserve">   281512</v>
      </c>
      <c r="B8439" t="str">
        <f>T("   EN SOLUTION AQUEUSE (LESSIVE DE SOUDE CAUSTIQUE)")</f>
        <v xml:space="preserve">   EN SOLUTION AQUEUSE (LESSIVE DE SOUDE CAUSTIQUE)</v>
      </c>
      <c r="C8439" s="4">
        <v>91922</v>
      </c>
      <c r="D8439" s="4">
        <v>7819070</v>
      </c>
    </row>
    <row r="8440" spans="1:4" x14ac:dyDescent="0.25">
      <c r="A8440" t="str">
        <f>T("   282720")</f>
        <v xml:space="preserve">   282720</v>
      </c>
      <c r="B8440" t="str">
        <f>T("   Chlorure de calcium")</f>
        <v xml:space="preserve">   Chlorure de calcium</v>
      </c>
      <c r="C8440" s="4">
        <v>3600</v>
      </c>
      <c r="D8440" s="4">
        <v>418125</v>
      </c>
    </row>
    <row r="8441" spans="1:4" x14ac:dyDescent="0.25">
      <c r="A8441" t="str">
        <f>T("   282890")</f>
        <v xml:space="preserve">   282890</v>
      </c>
      <c r="B8441" t="str">
        <f>T("   AUTRES")</f>
        <v xml:space="preserve">   AUTRES</v>
      </c>
      <c r="C8441" s="4">
        <v>267639</v>
      </c>
      <c r="D8441" s="4">
        <v>37355480</v>
      </c>
    </row>
    <row r="8442" spans="1:4" x14ac:dyDescent="0.25">
      <c r="A8442" t="str">
        <f>T("   283650")</f>
        <v xml:space="preserve">   283650</v>
      </c>
      <c r="B8442" t="str">
        <f>T("   Carbonate de calcium")</f>
        <v xml:space="preserve">   Carbonate de calcium</v>
      </c>
      <c r="C8442" s="4">
        <v>3089</v>
      </c>
      <c r="D8442" s="4">
        <v>599100</v>
      </c>
    </row>
    <row r="8443" spans="1:4" x14ac:dyDescent="0.25">
      <c r="A8443" t="str">
        <f>T("   284110")</f>
        <v xml:space="preserve">   284110</v>
      </c>
      <c r="B8443" t="str">
        <f>T("   Aluminates")</f>
        <v xml:space="preserve">   Aluminates</v>
      </c>
      <c r="C8443" s="4">
        <v>1200</v>
      </c>
      <c r="D8443" s="4">
        <v>334449</v>
      </c>
    </row>
    <row r="8444" spans="1:4" x14ac:dyDescent="0.25">
      <c r="A8444" t="str">
        <f>T("   284700")</f>
        <v xml:space="preserve">   284700</v>
      </c>
      <c r="B8444" t="str">
        <f>T("   PEROXYDE D'HYDROGENE (EAU OXYGENEE) MEME SOLIDIFIE AVEC DE L'UREE.")</f>
        <v xml:space="preserve">   PEROXYDE D'HYDROGENE (EAU OXYGENEE) MEME SOLIDIFIE AVEC DE L'UREE.</v>
      </c>
      <c r="C8444" s="4">
        <v>200</v>
      </c>
      <c r="D8444" s="4">
        <v>30062</v>
      </c>
    </row>
    <row r="8445" spans="1:4" x14ac:dyDescent="0.25">
      <c r="A8445" t="str">
        <f>T("   284910")</f>
        <v xml:space="preserve">   284910</v>
      </c>
      <c r="B8445" t="str">
        <f>T("   DE CALCIUM")</f>
        <v xml:space="preserve">   DE CALCIUM</v>
      </c>
      <c r="C8445" s="4">
        <v>4100</v>
      </c>
      <c r="D8445" s="4">
        <v>615000</v>
      </c>
    </row>
    <row r="8446" spans="1:4" x14ac:dyDescent="0.25">
      <c r="A8446" t="str">
        <f>T("   284990")</f>
        <v xml:space="preserve">   284990</v>
      </c>
      <c r="B8446" t="str">
        <f>T("   AUTRES")</f>
        <v xml:space="preserve">   AUTRES</v>
      </c>
      <c r="C8446" s="4">
        <v>1000</v>
      </c>
      <c r="D8446" s="4">
        <v>185000</v>
      </c>
    </row>
    <row r="8447" spans="1:4" x14ac:dyDescent="0.25">
      <c r="A8447" t="str">
        <f>T("   290532")</f>
        <v xml:space="preserve">   290532</v>
      </c>
      <c r="B8447" t="str">
        <f>T("   PROPYLENE GLYCOL (PROPANE1,2DIOL)")</f>
        <v xml:space="preserve">   PROPYLENE GLYCOL (PROPANE1,2DIOL)</v>
      </c>
      <c r="C8447" s="4">
        <v>2240</v>
      </c>
      <c r="D8447" s="4">
        <v>1350000</v>
      </c>
    </row>
    <row r="8448" spans="1:4" x14ac:dyDescent="0.25">
      <c r="A8448" t="str">
        <f>T("   291421")</f>
        <v xml:space="preserve">   291421</v>
      </c>
      <c r="B8448" t="str">
        <f>T("   Camphre")</f>
        <v xml:space="preserve">   Camphre</v>
      </c>
      <c r="C8448" s="4">
        <v>561</v>
      </c>
      <c r="D8448" s="4">
        <v>168300</v>
      </c>
    </row>
    <row r="8449" spans="1:4" x14ac:dyDescent="0.25">
      <c r="A8449" t="str">
        <f>T("   300490")</f>
        <v xml:space="preserve">   300490</v>
      </c>
      <c r="B8449" t="str">
        <f>T("   AUTRES")</f>
        <v xml:space="preserve">   AUTRES</v>
      </c>
      <c r="C8449" s="4">
        <v>34.11</v>
      </c>
      <c r="D8449" s="4">
        <v>6580591</v>
      </c>
    </row>
    <row r="8450" spans="1:4" x14ac:dyDescent="0.25">
      <c r="A8450" t="str">
        <f>T("   300590")</f>
        <v xml:space="preserve">   300590</v>
      </c>
      <c r="B8450" t="str">
        <f>T("   AUTRES")</f>
        <v xml:space="preserve">   AUTRES</v>
      </c>
      <c r="C8450" s="4">
        <v>20</v>
      </c>
      <c r="D8450" s="4">
        <v>26000</v>
      </c>
    </row>
    <row r="8451" spans="1:4" x14ac:dyDescent="0.25">
      <c r="A8451" t="str">
        <f>T("   310520")</f>
        <v xml:space="preserve">   310520</v>
      </c>
      <c r="B8451" t="str">
        <f>T("   ENGRAIS MINERAUX OU CHIMIQUES CONTENANT LES TROIS ELEMENTS FERTILISANTS : AZOTE, PHOS")</f>
        <v xml:space="preserve">   ENGRAIS MINERAUX OU CHIMIQUES CONTENANT LES TROIS ELEMENTS FERTILISANTS : AZOTE, PHOS</v>
      </c>
      <c r="C8451" s="4">
        <v>51900</v>
      </c>
      <c r="D8451" s="4">
        <v>2766509</v>
      </c>
    </row>
    <row r="8452" spans="1:4" x14ac:dyDescent="0.25">
      <c r="A8452" t="str">
        <f>T("   320300")</f>
        <v xml:space="preserve">   320300</v>
      </c>
      <c r="B8452" t="str">
        <f>T("   MATIERES COLORANTES D'ORIGINE VEGETALE OU ANIMALE (Y COMPRIS LES EXTRAITS TINCTORIAUX M")</f>
        <v xml:space="preserve">   MATIERES COLORANTES D'ORIGINE VEGETALE OU ANIMALE (Y COMPRIS LES EXTRAITS TINCTORIAUX M</v>
      </c>
      <c r="C8452" s="4">
        <v>300</v>
      </c>
      <c r="D8452" s="4">
        <v>191431</v>
      </c>
    </row>
    <row r="8453" spans="1:4" x14ac:dyDescent="0.25">
      <c r="A8453" t="str">
        <f>T("   320413")</f>
        <v xml:space="preserve">   320413</v>
      </c>
      <c r="B8453" t="str">
        <f>T("   Colorants basiques et preparations a base de ces colorants")</f>
        <v xml:space="preserve">   Colorants basiques et preparations a base de ces colorants</v>
      </c>
      <c r="C8453" s="4">
        <v>638</v>
      </c>
      <c r="D8453" s="4">
        <v>127000</v>
      </c>
    </row>
    <row r="8454" spans="1:4" x14ac:dyDescent="0.25">
      <c r="A8454" t="str">
        <f>T("   320490")</f>
        <v xml:space="preserve">   320490</v>
      </c>
      <c r="B8454" t="str">
        <f>T("   AUTRES")</f>
        <v xml:space="preserve">   AUTRES</v>
      </c>
      <c r="C8454" s="4">
        <v>400</v>
      </c>
      <c r="D8454" s="4">
        <v>400000</v>
      </c>
    </row>
    <row r="8455" spans="1:4" x14ac:dyDescent="0.25">
      <c r="A8455" t="str">
        <f>T("   320820")</f>
        <v xml:space="preserve">   320820</v>
      </c>
      <c r="B8455" t="str">
        <f>T("   A BASE DE POLYMERES ACRYLIQUES OU VINYLIQUES")</f>
        <v xml:space="preserve">   A BASE DE POLYMERES ACRYLIQUES OU VINYLIQUES</v>
      </c>
      <c r="C8455" s="4">
        <v>2220</v>
      </c>
      <c r="D8455" s="4">
        <v>1335330</v>
      </c>
    </row>
    <row r="8456" spans="1:4" x14ac:dyDescent="0.25">
      <c r="A8456" t="str">
        <f>T("   320910")</f>
        <v xml:space="preserve">   320910</v>
      </c>
      <c r="B8456" t="str">
        <f>T("   A BASE DE POLYMERES ACRYLIQUES OU VINYLIQUES")</f>
        <v xml:space="preserve">   A BASE DE POLYMERES ACRYLIQUES OU VINYLIQUES</v>
      </c>
      <c r="C8456" s="4">
        <v>2342</v>
      </c>
      <c r="D8456" s="4">
        <v>737730</v>
      </c>
    </row>
    <row r="8457" spans="1:4" x14ac:dyDescent="0.25">
      <c r="A8457" t="str">
        <f>T("   321519")</f>
        <v xml:space="preserve">   321519</v>
      </c>
      <c r="B8457" t="str">
        <f>T("   AUTRES")</f>
        <v xml:space="preserve">   AUTRES</v>
      </c>
      <c r="C8457" s="4">
        <v>2157</v>
      </c>
      <c r="D8457" s="4">
        <v>2581267</v>
      </c>
    </row>
    <row r="8458" spans="1:4" x14ac:dyDescent="0.25">
      <c r="A8458" t="str">
        <f>T("   330300")</f>
        <v xml:space="preserve">   330300</v>
      </c>
      <c r="B8458" t="str">
        <f>T("   PARFUMS ET EAUX DE TOILETTE.")</f>
        <v xml:space="preserve">   PARFUMS ET EAUX DE TOILETTE.</v>
      </c>
      <c r="C8458" s="4">
        <v>140</v>
      </c>
      <c r="D8458" s="4">
        <v>112000</v>
      </c>
    </row>
    <row r="8459" spans="1:4" x14ac:dyDescent="0.25">
      <c r="A8459" t="str">
        <f>T("   330499")</f>
        <v xml:space="preserve">   330499</v>
      </c>
      <c r="B8459" t="str">
        <f>T("   AUTRES")</f>
        <v xml:space="preserve">   AUTRES</v>
      </c>
      <c r="C8459" s="4">
        <v>199463</v>
      </c>
      <c r="D8459" s="4">
        <v>124384090</v>
      </c>
    </row>
    <row r="8460" spans="1:4" x14ac:dyDescent="0.25">
      <c r="A8460" t="str">
        <f>T("   330720")</f>
        <v xml:space="preserve">   330720</v>
      </c>
      <c r="B8460" t="str">
        <f>T("   Desodorisants corporels et antisudoraux")</f>
        <v xml:space="preserve">   Desodorisants corporels et antisudoraux</v>
      </c>
      <c r="C8460" s="4">
        <v>2147</v>
      </c>
      <c r="D8460" s="4">
        <v>2111640</v>
      </c>
    </row>
    <row r="8461" spans="1:4" x14ac:dyDescent="0.25">
      <c r="A8461" t="str">
        <f>T("   330730")</f>
        <v xml:space="preserve">   330730</v>
      </c>
      <c r="B8461" t="str">
        <f>T("   SELS PARFUMES ET AUTRES PREPARATIONS POUR BAINS")</f>
        <v xml:space="preserve">   SELS PARFUMES ET AUTRES PREPARATIONS POUR BAINS</v>
      </c>
      <c r="C8461" s="4">
        <v>269</v>
      </c>
      <c r="D8461" s="4">
        <v>269000</v>
      </c>
    </row>
    <row r="8462" spans="1:4" x14ac:dyDescent="0.25">
      <c r="A8462" t="str">
        <f>T("   330749")</f>
        <v xml:space="preserve">   330749</v>
      </c>
      <c r="B8462" t="str">
        <f>T("   AUTRES")</f>
        <v xml:space="preserve">   AUTRES</v>
      </c>
      <c r="C8462" s="4">
        <v>3436</v>
      </c>
      <c r="D8462" s="4">
        <v>1991046</v>
      </c>
    </row>
    <row r="8463" spans="1:4" x14ac:dyDescent="0.25">
      <c r="A8463" t="str">
        <f>T("   330790")</f>
        <v xml:space="preserve">   330790</v>
      </c>
      <c r="B8463" t="str">
        <f>T("   AUTRES")</f>
        <v xml:space="preserve">   AUTRES</v>
      </c>
      <c r="C8463" s="4">
        <v>762</v>
      </c>
      <c r="D8463" s="4">
        <v>685600</v>
      </c>
    </row>
    <row r="8464" spans="1:4" x14ac:dyDescent="0.25">
      <c r="A8464" t="str">
        <f>T("   340111")</f>
        <v xml:space="preserve">   340111</v>
      </c>
      <c r="B8464" t="str">
        <f>T("   DE TOILETTE (Y COMPRIS CEUX A USAGES MEDICAUX)")</f>
        <v xml:space="preserve">   DE TOILETTE (Y COMPRIS CEUX A USAGES MEDICAUX)</v>
      </c>
      <c r="C8464" s="4">
        <v>3029</v>
      </c>
      <c r="D8464" s="4">
        <v>4182291</v>
      </c>
    </row>
    <row r="8465" spans="1:4" x14ac:dyDescent="0.25">
      <c r="A8465" t="str">
        <f>T("   340119")</f>
        <v xml:space="preserve">   340119</v>
      </c>
      <c r="B8465" t="str">
        <f>T("   AUTRES")</f>
        <v xml:space="preserve">   AUTRES</v>
      </c>
      <c r="C8465" s="4">
        <v>220</v>
      </c>
      <c r="D8465" s="4">
        <v>110000</v>
      </c>
    </row>
    <row r="8466" spans="1:4" x14ac:dyDescent="0.25">
      <c r="A8466" t="str">
        <f>T("   340120")</f>
        <v xml:space="preserve">   340120</v>
      </c>
      <c r="B8466" t="str">
        <f>T("   SAVONS SOUS AUTRES FORMES")</f>
        <v xml:space="preserve">   SAVONS SOUS AUTRES FORMES</v>
      </c>
      <c r="C8466" s="4">
        <v>816</v>
      </c>
      <c r="D8466" s="4">
        <v>640000</v>
      </c>
    </row>
    <row r="8467" spans="1:4" x14ac:dyDescent="0.25">
      <c r="A8467" t="str">
        <f>T("   340220")</f>
        <v xml:space="preserve">   340220</v>
      </c>
      <c r="B8467" t="str">
        <f>T("   PREPARATIONS CONDITIONNEES POUR LA VENTE AU DETAIL")</f>
        <v xml:space="preserve">   PREPARATIONS CONDITIONNEES POUR LA VENTE AU DETAIL</v>
      </c>
      <c r="C8467" s="4">
        <v>43069</v>
      </c>
      <c r="D8467" s="4">
        <v>10778405</v>
      </c>
    </row>
    <row r="8468" spans="1:4" x14ac:dyDescent="0.25">
      <c r="A8468" t="str">
        <f>T("   340290")</f>
        <v xml:space="preserve">   340290</v>
      </c>
      <c r="B8468" t="str">
        <f>T("   AUTRES")</f>
        <v xml:space="preserve">   AUTRES</v>
      </c>
      <c r="C8468" s="4">
        <v>80</v>
      </c>
      <c r="D8468" s="4">
        <v>20000</v>
      </c>
    </row>
    <row r="8469" spans="1:4" x14ac:dyDescent="0.25">
      <c r="A8469" t="str">
        <f>T("   340520")</f>
        <v xml:space="preserve">   340520</v>
      </c>
      <c r="B8469" t="str">
        <f>T("   ENCAUSTIQUES ET PREPARATIONS SIMILAIRES POUR L'ENTRETIEN DES MEUBLES EN BOIS, DES PAR")</f>
        <v xml:space="preserve">   ENCAUSTIQUES ET PREPARATIONS SIMILAIRES POUR L'ENTRETIEN DES MEUBLES EN BOIS, DES PAR</v>
      </c>
      <c r="C8469" s="4">
        <v>5940</v>
      </c>
      <c r="D8469" s="4">
        <v>5940000</v>
      </c>
    </row>
    <row r="8470" spans="1:4" x14ac:dyDescent="0.25">
      <c r="A8470" t="str">
        <f>T("   340530")</f>
        <v xml:space="preserve">   340530</v>
      </c>
      <c r="B8470" t="str">
        <f>T("   BRILLANTS ET PREPARATIONS SIMILAIRES POUR CARROSSERIES, AUTRES QUE LES BRILLANTS POUR")</f>
        <v xml:space="preserve">   BRILLANTS ET PREPARATIONS SIMILAIRES POUR CARROSSERIES, AUTRES QUE LES BRILLANTS POUR</v>
      </c>
      <c r="C8470" s="4">
        <v>2680</v>
      </c>
      <c r="D8470" s="4">
        <v>650000</v>
      </c>
    </row>
    <row r="8471" spans="1:4" x14ac:dyDescent="0.25">
      <c r="A8471" t="str">
        <f>T("   340540")</f>
        <v xml:space="preserve">   340540</v>
      </c>
      <c r="B8471" t="str">
        <f>T("   PATES, POUDRES ET AUTRES PREPARATIONS A RECURER")</f>
        <v xml:space="preserve">   PATES, POUDRES ET AUTRES PREPARATIONS A RECURER</v>
      </c>
      <c r="C8471" s="4">
        <v>7101</v>
      </c>
      <c r="D8471" s="4">
        <v>4399583</v>
      </c>
    </row>
    <row r="8472" spans="1:4" x14ac:dyDescent="0.25">
      <c r="A8472" t="str">
        <f>T("   340600")</f>
        <v xml:space="preserve">   340600</v>
      </c>
      <c r="B8472" t="str">
        <f>T("   BOUGIES, CHANDELLES, CIERGES ET ARTICLES SIMILAIRES.")</f>
        <v xml:space="preserve">   BOUGIES, CHANDELLES, CIERGES ET ARTICLES SIMILAIRES.</v>
      </c>
      <c r="C8472" s="4">
        <v>203210</v>
      </c>
      <c r="D8472" s="4">
        <v>72670589</v>
      </c>
    </row>
    <row r="8473" spans="1:4" x14ac:dyDescent="0.25">
      <c r="A8473" t="str">
        <f>T("   350510")</f>
        <v xml:space="preserve">   350510</v>
      </c>
      <c r="B8473" t="str">
        <f>T("   Dextrine et autres amidons et fecules modifies")</f>
        <v xml:space="preserve">   Dextrine et autres amidons et fecules modifies</v>
      </c>
      <c r="C8473" s="4">
        <v>120</v>
      </c>
      <c r="D8473" s="4">
        <v>47000</v>
      </c>
    </row>
    <row r="8474" spans="1:4" x14ac:dyDescent="0.25">
      <c r="A8474" t="str">
        <f>T("   350610")</f>
        <v xml:space="preserve">   350610</v>
      </c>
      <c r="B8474" t="str">
        <f>T("   PRODUITS DE TOUTE ESPECE A USAGE DE COLLES OU D'ADHESIFS, CONDITIONNES POUR LA VENTE")</f>
        <v xml:space="preserve">   PRODUITS DE TOUTE ESPECE A USAGE DE COLLES OU D'ADHESIFS, CONDITIONNES POUR LA VENTE</v>
      </c>
      <c r="C8474" s="4">
        <v>14219</v>
      </c>
      <c r="D8474" s="4">
        <v>10942759</v>
      </c>
    </row>
    <row r="8475" spans="1:4" x14ac:dyDescent="0.25">
      <c r="A8475" t="str">
        <f>T("   350699")</f>
        <v xml:space="preserve">   350699</v>
      </c>
      <c r="B8475" t="str">
        <f>T("   AUTRES")</f>
        <v xml:space="preserve">   AUTRES</v>
      </c>
      <c r="C8475" s="4">
        <v>131</v>
      </c>
      <c r="D8475" s="4">
        <v>75980</v>
      </c>
    </row>
    <row r="8476" spans="1:4" x14ac:dyDescent="0.25">
      <c r="A8476" t="str">
        <f>T("   360500")</f>
        <v xml:space="preserve">   360500</v>
      </c>
      <c r="B8476" t="str">
        <f>T("   ALLUMETTES, AUTRES QUE LES ARTICLES DE PYROTECHNIE DU N° 36.04.")</f>
        <v xml:space="preserve">   ALLUMETTES, AUTRES QUE LES ARTICLES DE PYROTECHNIE DU N° 36.04.</v>
      </c>
      <c r="C8476" s="4">
        <v>681</v>
      </c>
      <c r="D8476" s="4">
        <v>835250</v>
      </c>
    </row>
    <row r="8477" spans="1:4" x14ac:dyDescent="0.25">
      <c r="A8477" t="str">
        <f>T("   370110")</f>
        <v xml:space="preserve">   370110</v>
      </c>
      <c r="B8477" t="str">
        <f>T("   POUR RAYONS X")</f>
        <v xml:space="preserve">   POUR RAYONS X</v>
      </c>
      <c r="C8477" s="4">
        <v>20</v>
      </c>
      <c r="D8477" s="4">
        <v>175000</v>
      </c>
    </row>
    <row r="8478" spans="1:4" x14ac:dyDescent="0.25">
      <c r="A8478" t="str">
        <f>T("   370239")</f>
        <v xml:space="preserve">   370239</v>
      </c>
      <c r="B8478" t="str">
        <f>T("   AUTRES")</f>
        <v xml:space="preserve">   AUTRES</v>
      </c>
      <c r="C8478" s="4">
        <v>15</v>
      </c>
      <c r="D8478" s="4">
        <v>32400</v>
      </c>
    </row>
    <row r="8479" spans="1:4" x14ac:dyDescent="0.25">
      <c r="A8479" t="str">
        <f>T("   370390")</f>
        <v xml:space="preserve">   370390</v>
      </c>
      <c r="B8479" t="str">
        <f>T("   AUTRES")</f>
        <v xml:space="preserve">   AUTRES</v>
      </c>
      <c r="C8479" s="4">
        <v>300</v>
      </c>
      <c r="D8479" s="4">
        <v>84000</v>
      </c>
    </row>
    <row r="8480" spans="1:4" x14ac:dyDescent="0.25">
      <c r="A8480" t="str">
        <f>T("   370590")</f>
        <v xml:space="preserve">   370590</v>
      </c>
      <c r="B8480" t="str">
        <f>T("   AUTRES")</f>
        <v xml:space="preserve">   AUTRES</v>
      </c>
      <c r="C8480" s="4">
        <v>200</v>
      </c>
      <c r="D8480" s="4">
        <v>30000</v>
      </c>
    </row>
    <row r="8481" spans="1:4" x14ac:dyDescent="0.25">
      <c r="A8481" t="str">
        <f>T("   370790")</f>
        <v xml:space="preserve">   370790</v>
      </c>
      <c r="B8481" t="str">
        <f>T("   AUTRES")</f>
        <v xml:space="preserve">   AUTRES</v>
      </c>
      <c r="C8481" s="4">
        <v>240</v>
      </c>
      <c r="D8481" s="4">
        <v>90000</v>
      </c>
    </row>
    <row r="8482" spans="1:4" x14ac:dyDescent="0.25">
      <c r="A8482" t="str">
        <f>T("   380810")</f>
        <v xml:space="preserve">   380810</v>
      </c>
      <c r="B8482" t="str">
        <f>T("   Insecticides")</f>
        <v xml:space="preserve">   Insecticides</v>
      </c>
      <c r="C8482" s="4">
        <v>115938</v>
      </c>
      <c r="D8482" s="4">
        <v>17492440</v>
      </c>
    </row>
    <row r="8483" spans="1:4" x14ac:dyDescent="0.25">
      <c r="A8483" t="str">
        <f>T("   380890")</f>
        <v xml:space="preserve">   380890</v>
      </c>
      <c r="B8483" t="str">
        <f>T("   AUTRES PRODUITS DU N 38.08")</f>
        <v xml:space="preserve">   AUTRES PRODUITS DU N 38.08</v>
      </c>
      <c r="C8483" s="4">
        <v>5100</v>
      </c>
      <c r="D8483" s="4">
        <v>1667037</v>
      </c>
    </row>
    <row r="8484" spans="1:4" x14ac:dyDescent="0.25">
      <c r="A8484" t="str">
        <f>T("   381400")</f>
        <v xml:space="preserve">   381400</v>
      </c>
      <c r="B8484" t="str">
        <f>T("   SOLVANTS ET DILUANTS ORGANIQUES COMPOSITES, NON DENOMMES NI COMPRIS AILLEURS; PREPARATI")</f>
        <v xml:space="preserve">   SOLVANTS ET DILUANTS ORGANIQUES COMPOSITES, NON DENOMMES NI COMPRIS AILLEURS; PREPARATI</v>
      </c>
      <c r="C8484" s="4">
        <v>50</v>
      </c>
      <c r="D8484" s="4">
        <v>31200</v>
      </c>
    </row>
    <row r="8485" spans="1:4" x14ac:dyDescent="0.25">
      <c r="A8485" t="str">
        <f>T("   390210")</f>
        <v xml:space="preserve">   390210</v>
      </c>
      <c r="B8485" t="str">
        <f>T("   POLYPROPYLENE")</f>
        <v xml:space="preserve">   POLYPROPYLENE</v>
      </c>
      <c r="C8485" s="4">
        <v>427013</v>
      </c>
      <c r="D8485" s="4">
        <v>35731977</v>
      </c>
    </row>
    <row r="8486" spans="1:4" x14ac:dyDescent="0.25">
      <c r="A8486" t="str">
        <f>T("   390599")</f>
        <v xml:space="preserve">   390599</v>
      </c>
      <c r="B8486" t="str">
        <f>T("   AUTRES")</f>
        <v xml:space="preserve">   AUTRES</v>
      </c>
      <c r="C8486" s="4">
        <v>600</v>
      </c>
      <c r="D8486" s="4">
        <v>816480</v>
      </c>
    </row>
    <row r="8487" spans="1:4" x14ac:dyDescent="0.25">
      <c r="A8487" t="str">
        <f>T("   390760")</f>
        <v xml:space="preserve">   390760</v>
      </c>
      <c r="B8487" t="str">
        <f>T("   POLY(ETHYLENE TEREPHTALATE)")</f>
        <v xml:space="preserve">   POLY(ETHYLENE TEREPHTALATE)</v>
      </c>
      <c r="C8487" s="4">
        <v>1200</v>
      </c>
      <c r="D8487" s="4">
        <v>162000</v>
      </c>
    </row>
    <row r="8488" spans="1:4" x14ac:dyDescent="0.25">
      <c r="A8488" t="str">
        <f>T("   391290")</f>
        <v xml:space="preserve">   391290</v>
      </c>
      <c r="B8488" t="str">
        <f>T("   AUTRES")</f>
        <v xml:space="preserve">   AUTRES</v>
      </c>
      <c r="C8488" s="4">
        <v>1625</v>
      </c>
      <c r="D8488" s="4">
        <v>975000</v>
      </c>
    </row>
    <row r="8489" spans="1:4" x14ac:dyDescent="0.25">
      <c r="A8489" t="str">
        <f>T("   391723")</f>
        <v xml:space="preserve">   391723</v>
      </c>
      <c r="B8489" t="str">
        <f>T("   EN POLYMERES DU CHLORURE DE VINYLE")</f>
        <v xml:space="preserve">   EN POLYMERES DU CHLORURE DE VINYLE</v>
      </c>
      <c r="C8489" s="4">
        <v>1400</v>
      </c>
      <c r="D8489" s="4">
        <v>3360592</v>
      </c>
    </row>
    <row r="8490" spans="1:4" x14ac:dyDescent="0.25">
      <c r="A8490" t="str">
        <f>T("   391739")</f>
        <v xml:space="preserve">   391739</v>
      </c>
      <c r="B8490" t="str">
        <f>T("   AUTRES")</f>
        <v xml:space="preserve">   AUTRES</v>
      </c>
      <c r="C8490" s="4">
        <v>655</v>
      </c>
      <c r="D8490" s="4">
        <v>266000</v>
      </c>
    </row>
    <row r="8491" spans="1:4" x14ac:dyDescent="0.25">
      <c r="A8491" t="str">
        <f>T("   391990")</f>
        <v xml:space="preserve">   391990</v>
      </c>
      <c r="B8491" t="str">
        <f>T("   AUTRES")</f>
        <v xml:space="preserve">   AUTRES</v>
      </c>
      <c r="C8491" s="4">
        <v>500</v>
      </c>
      <c r="D8491" s="4">
        <v>590406</v>
      </c>
    </row>
    <row r="8492" spans="1:4" x14ac:dyDescent="0.25">
      <c r="A8492" t="str">
        <f>T("   392190")</f>
        <v xml:space="preserve">   392190</v>
      </c>
      <c r="B8492" t="str">
        <f>T("   AUTRES")</f>
        <v xml:space="preserve">   AUTRES</v>
      </c>
      <c r="C8492" s="4">
        <v>17752</v>
      </c>
      <c r="D8492" s="4">
        <v>12460251</v>
      </c>
    </row>
    <row r="8493" spans="1:4" x14ac:dyDescent="0.25">
      <c r="A8493" t="str">
        <f>T("   392210")</f>
        <v xml:space="preserve">   392210</v>
      </c>
      <c r="B8493" t="str">
        <f>T("   BAIGNOIRES, DOUCHES, EVIERS ET LAVABOS")</f>
        <v xml:space="preserve">   BAIGNOIRES, DOUCHES, EVIERS ET LAVABOS</v>
      </c>
      <c r="C8493" s="4">
        <v>100</v>
      </c>
      <c r="D8493" s="4">
        <v>30000</v>
      </c>
    </row>
    <row r="8494" spans="1:4" x14ac:dyDescent="0.25">
      <c r="A8494" t="str">
        <f>T("   392310")</f>
        <v xml:space="preserve">   392310</v>
      </c>
      <c r="B8494" t="str">
        <f>T("   BOITES, CAISSES, CASIERS ET ARTICLES SIMILAIRES")</f>
        <v xml:space="preserve">   BOITES, CAISSES, CASIERS ET ARTICLES SIMILAIRES</v>
      </c>
      <c r="C8494" s="4">
        <v>1500</v>
      </c>
      <c r="D8494" s="4">
        <v>603775</v>
      </c>
    </row>
    <row r="8495" spans="1:4" x14ac:dyDescent="0.25">
      <c r="A8495" t="str">
        <f>T("   392329")</f>
        <v xml:space="preserve">   392329</v>
      </c>
      <c r="B8495" t="str">
        <f>T("   EN AUTRES MATIERES PLASTIQUES")</f>
        <v xml:space="preserve">   EN AUTRES MATIERES PLASTIQUES</v>
      </c>
      <c r="C8495" s="4">
        <v>122891</v>
      </c>
      <c r="D8495" s="4">
        <v>25075635</v>
      </c>
    </row>
    <row r="8496" spans="1:4" x14ac:dyDescent="0.25">
      <c r="A8496" t="str">
        <f>T("   392330")</f>
        <v xml:space="preserve">   392330</v>
      </c>
      <c r="B8496" t="str">
        <f>T("   BONBONNES, BOUTEILLES, FLACONS ET ARTICLES SIMILAIRES")</f>
        <v xml:space="preserve">   BONBONNES, BOUTEILLES, FLACONS ET ARTICLES SIMILAIRES</v>
      </c>
      <c r="C8496" s="4">
        <v>35075</v>
      </c>
      <c r="D8496" s="4">
        <v>5484491</v>
      </c>
    </row>
    <row r="8497" spans="1:4" x14ac:dyDescent="0.25">
      <c r="A8497" t="str">
        <f>T("   392340")</f>
        <v xml:space="preserve">   392340</v>
      </c>
      <c r="B8497" t="str">
        <f>T("   BOBINES, FUSETTES, CANETTES ET SUPPORTS SIMILAIRES")</f>
        <v xml:space="preserve">   BOBINES, FUSETTES, CANETTES ET SUPPORTS SIMILAIRES</v>
      </c>
      <c r="C8497" s="4">
        <v>280</v>
      </c>
      <c r="D8497" s="4">
        <v>1067747</v>
      </c>
    </row>
    <row r="8498" spans="1:4" x14ac:dyDescent="0.25">
      <c r="A8498" t="str">
        <f>T("   392390")</f>
        <v xml:space="preserve">   392390</v>
      </c>
      <c r="B8498" t="str">
        <f>T("   AUTRES")</f>
        <v xml:space="preserve">   AUTRES</v>
      </c>
      <c r="C8498" s="4">
        <v>2600</v>
      </c>
      <c r="D8498" s="4">
        <v>259000</v>
      </c>
    </row>
    <row r="8499" spans="1:4" x14ac:dyDescent="0.25">
      <c r="A8499" t="str">
        <f>T("   392490")</f>
        <v xml:space="preserve">   392490</v>
      </c>
      <c r="B8499" t="str">
        <f>T("   AUTRES")</f>
        <v xml:space="preserve">   AUTRES</v>
      </c>
      <c r="C8499" s="4">
        <v>2135</v>
      </c>
      <c r="D8499" s="4">
        <v>733155</v>
      </c>
    </row>
    <row r="8500" spans="1:4" x14ac:dyDescent="0.25">
      <c r="A8500" t="str">
        <f>T("   392510")</f>
        <v xml:space="preserve">   392510</v>
      </c>
      <c r="B8500" t="str">
        <f>T("   RESERVOIRS, FOUDRES, CUVES ET RECIPIENTS ANALOGUES, D'UNE CONTENANCE EXCEDANT 300 L")</f>
        <v xml:space="preserve">   RESERVOIRS, FOUDRES, CUVES ET RECIPIENTS ANALOGUES, D'UNE CONTENANCE EXCEDANT 300 L</v>
      </c>
      <c r="C8500" s="4">
        <v>130500</v>
      </c>
      <c r="D8500" s="4">
        <v>34495010</v>
      </c>
    </row>
    <row r="8501" spans="1:4" x14ac:dyDescent="0.25">
      <c r="A8501" t="str">
        <f>T("   392590")</f>
        <v xml:space="preserve">   392590</v>
      </c>
      <c r="B8501" t="str">
        <f>T("   AUTRES")</f>
        <v xml:space="preserve">   AUTRES</v>
      </c>
      <c r="C8501" s="4">
        <v>4265</v>
      </c>
      <c r="D8501" s="4">
        <v>1856101</v>
      </c>
    </row>
    <row r="8502" spans="1:4" x14ac:dyDescent="0.25">
      <c r="A8502" t="str">
        <f>T("   392640")</f>
        <v xml:space="preserve">   392640</v>
      </c>
      <c r="B8502" t="str">
        <f>T("   STATUETTES ET AUTRES OBJETS D'ORNEMENTATION")</f>
        <v xml:space="preserve">   STATUETTES ET AUTRES OBJETS D'ORNEMENTATION</v>
      </c>
      <c r="C8502" s="4">
        <v>7300</v>
      </c>
      <c r="D8502" s="4">
        <v>2881592</v>
      </c>
    </row>
    <row r="8503" spans="1:4" x14ac:dyDescent="0.25">
      <c r="A8503" t="str">
        <f>T("   392690")</f>
        <v xml:space="preserve">   392690</v>
      </c>
      <c r="B8503" t="str">
        <f>T("   AUTRES")</f>
        <v xml:space="preserve">   AUTRES</v>
      </c>
      <c r="C8503" s="4">
        <v>254348</v>
      </c>
      <c r="D8503" s="4">
        <v>91659452</v>
      </c>
    </row>
    <row r="8504" spans="1:4" x14ac:dyDescent="0.25">
      <c r="A8504" t="str">
        <f>T("   400510")</f>
        <v xml:space="preserve">   400510</v>
      </c>
      <c r="B8504" t="str">
        <f>T("   Caoutchouc additionne de noir de carbone ou de silice")</f>
        <v xml:space="preserve">   Caoutchouc additionne de noir de carbone ou de silice</v>
      </c>
      <c r="C8504" s="4">
        <v>128</v>
      </c>
      <c r="D8504" s="4">
        <v>145800</v>
      </c>
    </row>
    <row r="8505" spans="1:4" x14ac:dyDescent="0.25">
      <c r="A8505" t="str">
        <f>T("   400700")</f>
        <v xml:space="preserve">   400700</v>
      </c>
      <c r="B8505" t="str">
        <f>T("   FILS ET CORDES DE CAOUTCHOUC VULCANISE.")</f>
        <v xml:space="preserve">   FILS ET CORDES DE CAOUTCHOUC VULCANISE.</v>
      </c>
      <c r="C8505" s="4">
        <v>2120</v>
      </c>
      <c r="D8505" s="4">
        <v>606254</v>
      </c>
    </row>
    <row r="8506" spans="1:4" x14ac:dyDescent="0.25">
      <c r="A8506" t="str">
        <f>T("   401110")</f>
        <v xml:space="preserve">   401110</v>
      </c>
      <c r="B8506" t="str">
        <f>T("   DES TYPES UTILISES POUR LES VOITURES DE TOURISME (Y COMPRIS LES VOITURES DU TYPE «BRE")</f>
        <v xml:space="preserve">   DES TYPES UTILISES POUR LES VOITURES DE TOURISME (Y COMPRIS LES VOITURES DU TYPE «BRE</v>
      </c>
      <c r="C8506" s="4">
        <v>10350</v>
      </c>
      <c r="D8506" s="4">
        <v>14034324</v>
      </c>
    </row>
    <row r="8507" spans="1:4" x14ac:dyDescent="0.25">
      <c r="A8507" t="str">
        <f>T("   401120")</f>
        <v xml:space="preserve">   401120</v>
      </c>
      <c r="B8507" t="str">
        <f>T("   DES TYPES UTILISES POUR AUTOBUS OU CAMIONS")</f>
        <v xml:space="preserve">   DES TYPES UTILISES POUR AUTOBUS OU CAMIONS</v>
      </c>
      <c r="C8507" s="4">
        <v>25760</v>
      </c>
      <c r="D8507" s="4">
        <v>34097768</v>
      </c>
    </row>
    <row r="8508" spans="1:4" x14ac:dyDescent="0.25">
      <c r="A8508" t="str">
        <f>T("   401140")</f>
        <v xml:space="preserve">   401140</v>
      </c>
      <c r="B8508" t="str">
        <f>T("   DES TYPES UTILISES POUR MOTOCYCLES")</f>
        <v xml:space="preserve">   DES TYPES UTILISES POUR MOTOCYCLES</v>
      </c>
      <c r="C8508" s="4">
        <v>105865</v>
      </c>
      <c r="D8508" s="4">
        <v>68897115</v>
      </c>
    </row>
    <row r="8509" spans="1:4" x14ac:dyDescent="0.25">
      <c r="A8509" t="str">
        <f>T("   401169")</f>
        <v xml:space="preserve">   401169</v>
      </c>
      <c r="B8509" t="str">
        <f>T("   AUTRES")</f>
        <v xml:space="preserve">   AUTRES</v>
      </c>
      <c r="C8509" s="4">
        <v>800</v>
      </c>
      <c r="D8509" s="4">
        <v>1324000</v>
      </c>
    </row>
    <row r="8510" spans="1:4" x14ac:dyDescent="0.25">
      <c r="A8510" t="str">
        <f>T("   401191")</f>
        <v xml:space="preserve">   401191</v>
      </c>
      <c r="B8510" t="str">
        <f>T("   PNEUMATIQUES NEUFS A CRAMPONS,A CHEVRONS OU SIMILAIRES")</f>
        <v xml:space="preserve">   PNEUMATIQUES NEUFS A CRAMPONS,A CHEVRONS OU SIMILAIRES</v>
      </c>
      <c r="C8510" s="4">
        <v>200</v>
      </c>
      <c r="D8510" s="4">
        <v>640005</v>
      </c>
    </row>
    <row r="8511" spans="1:4" x14ac:dyDescent="0.25">
      <c r="A8511" t="str">
        <f>T("   401194")</f>
        <v xml:space="preserve">   401194</v>
      </c>
      <c r="B8511" t="str">
        <f>T("   DES TYPES UTILISES POUR LES VEHICULES ET ENGINS DE GENIE CIVIL ET DE MANUTENTION IND")</f>
        <v xml:space="preserve">   DES TYPES UTILISES POUR LES VEHICULES ET ENGINS DE GENIE CIVIL ET DE MANUTENTION IND</v>
      </c>
      <c r="C8511" s="4">
        <v>400</v>
      </c>
      <c r="D8511" s="4">
        <v>1125600</v>
      </c>
    </row>
    <row r="8512" spans="1:4" x14ac:dyDescent="0.25">
      <c r="A8512" t="str">
        <f>T("   401519")</f>
        <v xml:space="preserve">   401519</v>
      </c>
      <c r="B8512" t="str">
        <f t="shared" ref="B8512:B8517" si="6">T("   AUTRES")</f>
        <v xml:space="preserve">   AUTRES</v>
      </c>
      <c r="C8512" s="4">
        <v>100</v>
      </c>
      <c r="D8512" s="4">
        <v>72400</v>
      </c>
    </row>
    <row r="8513" spans="1:4" x14ac:dyDescent="0.25">
      <c r="A8513" t="str">
        <f>T("   420239")</f>
        <v xml:space="preserve">   420239</v>
      </c>
      <c r="B8513" t="str">
        <f t="shared" si="6"/>
        <v xml:space="preserve">   AUTRES</v>
      </c>
      <c r="C8513" s="4">
        <v>23</v>
      </c>
      <c r="D8513" s="4">
        <v>34500</v>
      </c>
    </row>
    <row r="8514" spans="1:4" x14ac:dyDescent="0.25">
      <c r="A8514" t="str">
        <f>T("   420299")</f>
        <v xml:space="preserve">   420299</v>
      </c>
      <c r="B8514" t="str">
        <f t="shared" si="6"/>
        <v xml:space="preserve">   AUTRES</v>
      </c>
      <c r="C8514" s="4">
        <v>20</v>
      </c>
      <c r="D8514" s="4">
        <v>7336</v>
      </c>
    </row>
    <row r="8515" spans="1:4" x14ac:dyDescent="0.25">
      <c r="A8515" t="str">
        <f>T("   430390")</f>
        <v xml:space="preserve">   430390</v>
      </c>
      <c r="B8515" t="str">
        <f t="shared" si="6"/>
        <v xml:space="preserve">   AUTRES</v>
      </c>
      <c r="C8515" s="4">
        <v>100</v>
      </c>
      <c r="D8515" s="4">
        <v>894467</v>
      </c>
    </row>
    <row r="8516" spans="1:4" x14ac:dyDescent="0.25">
      <c r="A8516" t="str">
        <f>T("   440349")</f>
        <v xml:space="preserve">   440349</v>
      </c>
      <c r="B8516" t="str">
        <f t="shared" si="6"/>
        <v xml:space="preserve">   AUTRES</v>
      </c>
      <c r="C8516" s="4">
        <v>722443</v>
      </c>
      <c r="D8516" s="4">
        <v>18481927</v>
      </c>
    </row>
    <row r="8517" spans="1:4" x14ac:dyDescent="0.25">
      <c r="A8517" t="str">
        <f>T("   440729")</f>
        <v xml:space="preserve">   440729</v>
      </c>
      <c r="B8517" t="str">
        <f t="shared" si="6"/>
        <v xml:space="preserve">   AUTRES</v>
      </c>
      <c r="C8517" s="4">
        <v>294750</v>
      </c>
      <c r="D8517" s="4">
        <v>18510300</v>
      </c>
    </row>
    <row r="8518" spans="1:4" x14ac:dyDescent="0.25">
      <c r="A8518" t="str">
        <f>T("   441229")</f>
        <v xml:space="preserve">   441229</v>
      </c>
      <c r="B8518" t="str">
        <f>T("   BOIS PLAQUES OU STRATIFIES A 1 PLI EXTERIEUR AUTRE QUE DE CONIFERES")</f>
        <v xml:space="preserve">   BOIS PLAQUES OU STRATIFIES A 1 PLI EXTERIEUR AUTRE QUE DE CONIFERES</v>
      </c>
      <c r="C8518" s="4">
        <v>200</v>
      </c>
      <c r="D8518" s="4">
        <v>84780</v>
      </c>
    </row>
    <row r="8519" spans="1:4" x14ac:dyDescent="0.25">
      <c r="A8519" t="str">
        <f>T("   441400")</f>
        <v xml:space="preserve">   441400</v>
      </c>
      <c r="B8519" t="str">
        <f>T("   CADRES EN BOIS POUR TABLEAUX, PHOTOGRAPHIES, MIROIRS OU OBJETS SIMILAIRES.")</f>
        <v xml:space="preserve">   CADRES EN BOIS POUR TABLEAUX, PHOTOGRAPHIES, MIROIRS OU OBJETS SIMILAIRES.</v>
      </c>
      <c r="C8519" s="4">
        <v>435</v>
      </c>
      <c r="D8519" s="4">
        <v>256200</v>
      </c>
    </row>
    <row r="8520" spans="1:4" x14ac:dyDescent="0.25">
      <c r="A8520" t="str">
        <f>T("   441820")</f>
        <v xml:space="preserve">   441820</v>
      </c>
      <c r="B8520" t="str">
        <f>T("   PORTES ET LEURS CADRES, CHAMBRANLES ET SEUILS")</f>
        <v xml:space="preserve">   PORTES ET LEURS CADRES, CHAMBRANLES ET SEUILS</v>
      </c>
      <c r="C8520" s="4">
        <v>100</v>
      </c>
      <c r="D8520" s="4">
        <v>90000</v>
      </c>
    </row>
    <row r="8521" spans="1:4" x14ac:dyDescent="0.25">
      <c r="A8521" t="str">
        <f>T("   441840")</f>
        <v xml:space="preserve">   441840</v>
      </c>
      <c r="B8521" t="str">
        <f>T("   COFFRAGES POUR LE BETONNAGE")</f>
        <v xml:space="preserve">   COFFRAGES POUR LE BETONNAGE</v>
      </c>
      <c r="C8521" s="4">
        <v>47000</v>
      </c>
      <c r="D8521" s="4">
        <v>35168496</v>
      </c>
    </row>
    <row r="8522" spans="1:4" x14ac:dyDescent="0.25">
      <c r="A8522" t="str">
        <f>T("   441900")</f>
        <v xml:space="preserve">   441900</v>
      </c>
      <c r="B8522" t="str">
        <f>T("   ARTICLES EN BOIS POUR LA TABLE OU LA CUISINE.")</f>
        <v xml:space="preserve">   ARTICLES EN BOIS POUR LA TABLE OU LA CUISINE.</v>
      </c>
      <c r="C8522" s="4">
        <v>100</v>
      </c>
      <c r="D8522" s="4">
        <v>64000</v>
      </c>
    </row>
    <row r="8523" spans="1:4" x14ac:dyDescent="0.25">
      <c r="A8523" t="str">
        <f>T("   442010")</f>
        <v xml:space="preserve">   442010</v>
      </c>
      <c r="B8523" t="str">
        <f>T("   STATUETTES ET AUTRES OBJETS D'ORNEMENT, EN BOIS")</f>
        <v xml:space="preserve">   STATUETTES ET AUTRES OBJETS D'ORNEMENT, EN BOIS</v>
      </c>
      <c r="C8523" s="4">
        <v>50</v>
      </c>
      <c r="D8523" s="4">
        <v>100000</v>
      </c>
    </row>
    <row r="8524" spans="1:4" x14ac:dyDescent="0.25">
      <c r="A8524" t="str">
        <f>T("   442190")</f>
        <v xml:space="preserve">   442190</v>
      </c>
      <c r="B8524" t="str">
        <f>T("   AUTRES")</f>
        <v xml:space="preserve">   AUTRES</v>
      </c>
      <c r="C8524" s="4">
        <v>900</v>
      </c>
      <c r="D8524" s="4">
        <v>117417</v>
      </c>
    </row>
    <row r="8525" spans="1:4" x14ac:dyDescent="0.25">
      <c r="A8525" t="str">
        <f>T("   460120")</f>
        <v xml:space="preserve">   460120</v>
      </c>
      <c r="B8525" t="str">
        <f>T("   NATTES,PAILLASSONS ET CLAIES EN MATIERES VEGETALES")</f>
        <v xml:space="preserve">   NATTES,PAILLASSONS ET CLAIES EN MATIERES VEGETALES</v>
      </c>
      <c r="C8525" s="4">
        <v>560</v>
      </c>
      <c r="D8525" s="4">
        <v>364000</v>
      </c>
    </row>
    <row r="8526" spans="1:4" x14ac:dyDescent="0.25">
      <c r="A8526" t="str">
        <f>T("   470790")</f>
        <v xml:space="preserve">   470790</v>
      </c>
      <c r="B8526" t="str">
        <f>T("   AUTRES, Y COMPRIS LES DECHETS ET REBUTS NON TRIES")</f>
        <v xml:space="preserve">   AUTRES, Y COMPRIS LES DECHETS ET REBUTS NON TRIES</v>
      </c>
      <c r="C8526" s="4">
        <v>5000</v>
      </c>
      <c r="D8526" s="4">
        <v>735545</v>
      </c>
    </row>
    <row r="8527" spans="1:4" x14ac:dyDescent="0.25">
      <c r="A8527" t="str">
        <f>T("   480100")</f>
        <v xml:space="preserve">   480100</v>
      </c>
      <c r="B8527" t="str">
        <f>T("   PAPIER JOURNAL, EN ROULEAUX OU EN FEUILLES.")</f>
        <v xml:space="preserve">   PAPIER JOURNAL, EN ROULEAUX OU EN FEUILLES.</v>
      </c>
      <c r="C8527" s="4">
        <v>10474</v>
      </c>
      <c r="D8527" s="4">
        <v>10761640</v>
      </c>
    </row>
    <row r="8528" spans="1:4" x14ac:dyDescent="0.25">
      <c r="A8528" t="str">
        <f>T("   480210")</f>
        <v xml:space="preserve">   480210</v>
      </c>
      <c r="B8528" t="str">
        <f>T("   Papiers et cartons formes feuille a feuille (papiers a la main)")</f>
        <v xml:space="preserve">   Papiers et cartons formes feuille a feuille (papiers a la main)</v>
      </c>
      <c r="C8528" s="4">
        <v>11508</v>
      </c>
      <c r="D8528" s="4">
        <v>5395642</v>
      </c>
    </row>
    <row r="8529" spans="1:4" x14ac:dyDescent="0.25">
      <c r="A8529" t="str">
        <f>T("   480300")</f>
        <v xml:space="preserve">   480300</v>
      </c>
      <c r="B8529" t="str">
        <f>T("   PAPIERS DES TYPES UTILISES POUR PAPIERS DE TOILETTE, POUR SERVIETTES A DEMAQUILLER, POU")</f>
        <v xml:space="preserve">   PAPIERS DES TYPES UTILISES POUR PAPIERS DE TOILETTE, POUR SERVIETTES A DEMAQUILLER, POU</v>
      </c>
      <c r="C8529" s="4">
        <v>131484</v>
      </c>
      <c r="D8529" s="4">
        <v>35698633</v>
      </c>
    </row>
    <row r="8530" spans="1:4" x14ac:dyDescent="0.25">
      <c r="A8530" t="str">
        <f>T("   480700")</f>
        <v xml:space="preserve">   480700</v>
      </c>
      <c r="B8530" t="str">
        <f>T("   PAPIERS ET CARTONS ASSEMBLES A PLAT PAR COLLAGE, NON COUCHES NI ENDUITS A LA SURFACE NI")</f>
        <v xml:space="preserve">   PAPIERS ET CARTONS ASSEMBLES A PLAT PAR COLLAGE, NON COUCHES NI ENDUITS A LA SURFACE NI</v>
      </c>
      <c r="C8530" s="4">
        <v>39385</v>
      </c>
      <c r="D8530" s="4">
        <v>17559672</v>
      </c>
    </row>
    <row r="8531" spans="1:4" x14ac:dyDescent="0.25">
      <c r="A8531" t="str">
        <f>T("   481129")</f>
        <v xml:space="preserve">   481129</v>
      </c>
      <c r="B8531" t="str">
        <f>T("   AUTRES PAPIERS ET CARTONS GOMMES OU ADHESIFS EN ROULEAUX OU FEUILLES")</f>
        <v xml:space="preserve">   AUTRES PAPIERS ET CARTONS GOMMES OU ADHESIFS EN ROULEAUX OU FEUILLES</v>
      </c>
      <c r="C8531" s="4">
        <v>390</v>
      </c>
      <c r="D8531" s="4">
        <v>246200</v>
      </c>
    </row>
    <row r="8532" spans="1:4" x14ac:dyDescent="0.25">
      <c r="A8532" t="str">
        <f>T("   481710")</f>
        <v xml:space="preserve">   481710</v>
      </c>
      <c r="B8532" t="str">
        <f>T("   Enveloppes")</f>
        <v xml:space="preserve">   Enveloppes</v>
      </c>
      <c r="C8532" s="4">
        <v>500</v>
      </c>
      <c r="D8532" s="4">
        <v>65000</v>
      </c>
    </row>
    <row r="8533" spans="1:4" x14ac:dyDescent="0.25">
      <c r="A8533" t="str">
        <f>T("   481820")</f>
        <v xml:space="preserve">   481820</v>
      </c>
      <c r="B8533" t="str">
        <f>T("   MOUCHOIRS, SERVIETTES A DEMAQUILLER ET ESSUIEMAINS")</f>
        <v xml:space="preserve">   MOUCHOIRS, SERVIETTES A DEMAQUILLER ET ESSUIEMAINS</v>
      </c>
      <c r="C8533" s="4">
        <v>19641</v>
      </c>
      <c r="D8533" s="4">
        <v>5796037</v>
      </c>
    </row>
    <row r="8534" spans="1:4" x14ac:dyDescent="0.25">
      <c r="A8534" t="str">
        <f>T("   481840")</f>
        <v xml:space="preserve">   481840</v>
      </c>
      <c r="B8534" t="str">
        <f>T("   SERVIETTES,TAMPONS HYGIENIQUES,COUCHES POUR BEBES ET SIMILAIRES EN PAPIER")</f>
        <v xml:space="preserve">   SERVIETTES,TAMPONS HYGIENIQUES,COUCHES POUR BEBES ET SIMILAIRES EN PAPIER</v>
      </c>
      <c r="C8534" s="4">
        <v>2802</v>
      </c>
      <c r="D8534" s="4">
        <v>1297255</v>
      </c>
    </row>
    <row r="8535" spans="1:4" x14ac:dyDescent="0.25">
      <c r="A8535" t="str">
        <f>T("   481910")</f>
        <v xml:space="preserve">   481910</v>
      </c>
      <c r="B8535" t="str">
        <f>T("   BOITES ET CAISSES EN PAPIER OU CARTON ONDULE")</f>
        <v xml:space="preserve">   BOITES ET CAISSES EN PAPIER OU CARTON ONDULE</v>
      </c>
      <c r="C8535" s="4">
        <v>25944</v>
      </c>
      <c r="D8535" s="4">
        <v>11002646</v>
      </c>
    </row>
    <row r="8536" spans="1:4" x14ac:dyDescent="0.25">
      <c r="A8536" t="str">
        <f>T("   481920")</f>
        <v xml:space="preserve">   481920</v>
      </c>
      <c r="B8536" t="str">
        <f>T("   BOITES ET CARTONNAGES, PLIANTS, EN PAPIER OU CARTON NON ONDULE")</f>
        <v xml:space="preserve">   BOITES ET CARTONNAGES, PLIANTS, EN PAPIER OU CARTON NON ONDULE</v>
      </c>
      <c r="C8536" s="4">
        <v>400</v>
      </c>
      <c r="D8536" s="4">
        <v>170800</v>
      </c>
    </row>
    <row r="8537" spans="1:4" x14ac:dyDescent="0.25">
      <c r="A8537" t="str">
        <f>T("   481940")</f>
        <v xml:space="preserve">   481940</v>
      </c>
      <c r="B8537" t="str">
        <f>T("   AUTRES SACS; SACHETS, POCHETTES (AUTRES QUE CELLES POUR DISQUES) ET CORNETS")</f>
        <v xml:space="preserve">   AUTRES SACS; SACHETS, POCHETTES (AUTRES QUE CELLES POUR DISQUES) ET CORNETS</v>
      </c>
      <c r="C8537" s="4">
        <v>150</v>
      </c>
      <c r="D8537" s="4">
        <v>60000</v>
      </c>
    </row>
    <row r="8538" spans="1:4" x14ac:dyDescent="0.25">
      <c r="A8538" t="str">
        <f>T("   482010")</f>
        <v xml:space="preserve">   482010</v>
      </c>
      <c r="B8538" t="str">
        <f>T("   REGISTRES, LIVRES COMPTABLES, CARNETS (DE NOTES, DE COMMANDES, DE QUITTANCES), BLOCS")</f>
        <v xml:space="preserve">   REGISTRES, LIVRES COMPTABLES, CARNETS (DE NOTES, DE COMMANDES, DE QUITTANCES), BLOCS</v>
      </c>
      <c r="C8538" s="4">
        <v>54</v>
      </c>
      <c r="D8538" s="4">
        <v>159731</v>
      </c>
    </row>
    <row r="8539" spans="1:4" x14ac:dyDescent="0.25">
      <c r="A8539" t="str">
        <f>T("   482020")</f>
        <v xml:space="preserve">   482020</v>
      </c>
      <c r="B8539" t="str">
        <f>T("   Cahiers")</f>
        <v xml:space="preserve">   Cahiers</v>
      </c>
      <c r="C8539" s="4">
        <v>1200</v>
      </c>
      <c r="D8539" s="4">
        <v>147000</v>
      </c>
    </row>
    <row r="8540" spans="1:4" x14ac:dyDescent="0.25">
      <c r="A8540" t="str">
        <f>T("   482050")</f>
        <v xml:space="preserve">   482050</v>
      </c>
      <c r="B8540" t="str">
        <f>T("   Albums pour echantillonnages ou pour collections")</f>
        <v xml:space="preserve">   Albums pour echantillonnages ou pour collections</v>
      </c>
      <c r="C8540" s="4">
        <v>698</v>
      </c>
      <c r="D8540" s="4">
        <v>655609</v>
      </c>
    </row>
    <row r="8541" spans="1:4" x14ac:dyDescent="0.25">
      <c r="A8541" t="str">
        <f>T("   482311")</f>
        <v xml:space="preserve">   482311</v>
      </c>
      <c r="B8541" t="str">
        <f>T("   PAPIERS AUTO-ADHESIFS EN BANDES OU EN ROULEAUX")</f>
        <v xml:space="preserve">   PAPIERS AUTO-ADHESIFS EN BANDES OU EN ROULEAUX</v>
      </c>
      <c r="C8541" s="4">
        <v>15478</v>
      </c>
      <c r="D8541" s="4">
        <v>9159763</v>
      </c>
    </row>
    <row r="8542" spans="1:4" x14ac:dyDescent="0.25">
      <c r="A8542" t="str">
        <f>T("   490199")</f>
        <v xml:space="preserve">   490199</v>
      </c>
      <c r="B8542" t="str">
        <f>T("   AUTRES")</f>
        <v xml:space="preserve">   AUTRES</v>
      </c>
      <c r="C8542" s="4">
        <v>35000</v>
      </c>
      <c r="D8542" s="4">
        <v>56461306</v>
      </c>
    </row>
    <row r="8543" spans="1:4" x14ac:dyDescent="0.25">
      <c r="A8543" t="str">
        <f>T("   490900")</f>
        <v xml:space="preserve">   490900</v>
      </c>
      <c r="B8543" t="str">
        <f>T("   CARTES POSTALES IMPRIMEES OU ILLUSTREES; CARTES IMPRIMEES COMPORTANT DES VœUX OU DES ME")</f>
        <v xml:space="preserve">   CARTES POSTALES IMPRIMEES OU ILLUSTREES; CARTES IMPRIMEES COMPORTANT DES VœUX OU DES ME</v>
      </c>
      <c r="C8543" s="4">
        <v>12</v>
      </c>
      <c r="D8543" s="4">
        <v>295885</v>
      </c>
    </row>
    <row r="8544" spans="1:4" x14ac:dyDescent="0.25">
      <c r="A8544" t="str">
        <f>T("   491110")</f>
        <v xml:space="preserve">   491110</v>
      </c>
      <c r="B8544" t="str">
        <f>T("   IMPRIMES PUBLICITAIRES, CATALOGUES COMMERCIAUX ET SIMILAIRES")</f>
        <v xml:space="preserve">   IMPRIMES PUBLICITAIRES, CATALOGUES COMMERCIAUX ET SIMILAIRES</v>
      </c>
      <c r="C8544" s="4">
        <v>6120</v>
      </c>
      <c r="D8544" s="4">
        <v>1157878</v>
      </c>
    </row>
    <row r="8545" spans="1:4" x14ac:dyDescent="0.25">
      <c r="A8545" t="str">
        <f>T("   491191")</f>
        <v xml:space="preserve">   491191</v>
      </c>
      <c r="B8545" t="str">
        <f>T("   IMAGES, GRAVURES ET PHOTOGRAPHIES")</f>
        <v xml:space="preserve">   IMAGES, GRAVURES ET PHOTOGRAPHIES</v>
      </c>
      <c r="C8545" s="4">
        <v>105</v>
      </c>
      <c r="D8545" s="4">
        <v>17325</v>
      </c>
    </row>
    <row r="8546" spans="1:4" x14ac:dyDescent="0.25">
      <c r="A8546" t="str">
        <f>T("   491199")</f>
        <v xml:space="preserve">   491199</v>
      </c>
      <c r="B8546" t="str">
        <f>T("   AUTRES")</f>
        <v xml:space="preserve">   AUTRES</v>
      </c>
      <c r="C8546" s="4">
        <v>4134</v>
      </c>
      <c r="D8546" s="4">
        <v>15163200</v>
      </c>
    </row>
    <row r="8547" spans="1:4" x14ac:dyDescent="0.25">
      <c r="A8547" t="str">
        <f>T("   510910")</f>
        <v xml:space="preserve">   510910</v>
      </c>
      <c r="B8547" t="str">
        <f>T("   CONTENANT AU MOINS 85 % EN POIDS DE LAINE OU DE POILS FINS")</f>
        <v xml:space="preserve">   CONTENANT AU MOINS 85 % EN POIDS DE LAINE OU DE POILS FINS</v>
      </c>
      <c r="C8547" s="4">
        <v>20</v>
      </c>
      <c r="D8547" s="4">
        <v>54300</v>
      </c>
    </row>
    <row r="8548" spans="1:4" x14ac:dyDescent="0.25">
      <c r="A8548" t="str">
        <f>T("   520100")</f>
        <v xml:space="preserve">   520100</v>
      </c>
      <c r="B8548" t="str">
        <f>T("   COTON, NON CARDE NI PEIGNE.")</f>
        <v xml:space="preserve">   COTON, NON CARDE NI PEIGNE.</v>
      </c>
      <c r="C8548" s="4">
        <v>100</v>
      </c>
      <c r="D8548" s="4">
        <v>335000</v>
      </c>
    </row>
    <row r="8549" spans="1:4" x14ac:dyDescent="0.25">
      <c r="A8549" t="str">
        <f>T("   520300")</f>
        <v xml:space="preserve">   520300</v>
      </c>
      <c r="B8549" t="str">
        <f>T("   COTON, CARDE OU PEIGNE.")</f>
        <v xml:space="preserve">   COTON, CARDE OU PEIGNE.</v>
      </c>
      <c r="C8549" s="4">
        <v>3205</v>
      </c>
      <c r="D8549" s="4">
        <v>1912621</v>
      </c>
    </row>
    <row r="8550" spans="1:4" x14ac:dyDescent="0.25">
      <c r="A8550" t="str">
        <f>T("   520420")</f>
        <v xml:space="preserve">   520420</v>
      </c>
      <c r="B8550" t="str">
        <f>T("   CONDITIONNES POUR LA VENTE AU DETAIL")</f>
        <v xml:space="preserve">   CONDITIONNES POUR LA VENTE AU DETAIL</v>
      </c>
      <c r="C8550" s="4">
        <v>1256</v>
      </c>
      <c r="D8550" s="4">
        <v>933640</v>
      </c>
    </row>
    <row r="8551" spans="1:4" x14ac:dyDescent="0.25">
      <c r="A8551" t="str">
        <f>T("   520710")</f>
        <v xml:space="preserve">   520710</v>
      </c>
      <c r="B8551" t="str">
        <f>T("   CONTENANT AU MOINS 85 % EN POIDS DE COTON")</f>
        <v xml:space="preserve">   CONTENANT AU MOINS 85 % EN POIDS DE COTON</v>
      </c>
      <c r="C8551" s="4">
        <v>698</v>
      </c>
      <c r="D8551" s="4">
        <v>371216</v>
      </c>
    </row>
    <row r="8552" spans="1:4" x14ac:dyDescent="0.25">
      <c r="A8552" t="str">
        <f>T("   520790")</f>
        <v xml:space="preserve">   520790</v>
      </c>
      <c r="B8552" t="str">
        <f>T("   AUTRES")</f>
        <v xml:space="preserve">   AUTRES</v>
      </c>
      <c r="C8552" s="4">
        <v>8850</v>
      </c>
      <c r="D8552" s="4">
        <v>4425000</v>
      </c>
    </row>
    <row r="8553" spans="1:4" x14ac:dyDescent="0.25">
      <c r="A8553" t="str">
        <f>T("   520849")</f>
        <v xml:space="preserve">   520849</v>
      </c>
      <c r="B8553" t="str">
        <f>T("   AUTRES TISSUS")</f>
        <v xml:space="preserve">   AUTRES TISSUS</v>
      </c>
      <c r="C8553" s="4">
        <v>630</v>
      </c>
      <c r="D8553" s="4">
        <v>1503440</v>
      </c>
    </row>
    <row r="8554" spans="1:4" x14ac:dyDescent="0.25">
      <c r="A8554" t="str">
        <f>T("   520852")</f>
        <v xml:space="preserve">   520852</v>
      </c>
      <c r="B8554" t="str">
        <f>T("   A ARMURE TOILE, D'UN POIDS EXCEDANT 100 G/M²")</f>
        <v xml:space="preserve">   A ARMURE TOILE, D'UN POIDS EXCEDANT 100 G/M²</v>
      </c>
      <c r="C8554" s="4">
        <v>1056</v>
      </c>
      <c r="D8554" s="4">
        <v>5606164</v>
      </c>
    </row>
    <row r="8555" spans="1:4" x14ac:dyDescent="0.25">
      <c r="A8555" t="str">
        <f>T("   520859")</f>
        <v xml:space="preserve">   520859</v>
      </c>
      <c r="B8555" t="str">
        <f>T("   AUTRES TISSUS")</f>
        <v xml:space="preserve">   AUTRES TISSUS</v>
      </c>
      <c r="C8555" s="4">
        <v>7323</v>
      </c>
      <c r="D8555" s="4">
        <v>12171310</v>
      </c>
    </row>
    <row r="8556" spans="1:4" x14ac:dyDescent="0.25">
      <c r="A8556" t="str">
        <f>T("   520911")</f>
        <v xml:space="preserve">   520911</v>
      </c>
      <c r="B8556" t="str">
        <f>T("   A ARMURE TOILE")</f>
        <v xml:space="preserve">   A ARMURE TOILE</v>
      </c>
      <c r="C8556" s="4">
        <v>30</v>
      </c>
      <c r="D8556" s="4">
        <v>3000</v>
      </c>
    </row>
    <row r="8557" spans="1:4" x14ac:dyDescent="0.25">
      <c r="A8557" t="str">
        <f>T("   521141")</f>
        <v xml:space="preserve">   521141</v>
      </c>
      <c r="B8557" t="str">
        <f>T("   A ARMURE TOILE")</f>
        <v xml:space="preserve">   A ARMURE TOILE</v>
      </c>
      <c r="C8557" s="4">
        <v>275</v>
      </c>
      <c r="D8557" s="4">
        <v>319300</v>
      </c>
    </row>
    <row r="8558" spans="1:4" x14ac:dyDescent="0.25">
      <c r="A8558" t="str">
        <f>T("   521212")</f>
        <v xml:space="preserve">   521212</v>
      </c>
      <c r="B8558" t="str">
        <f>T("   BLANCHIS")</f>
        <v xml:space="preserve">   BLANCHIS</v>
      </c>
      <c r="C8558" s="4">
        <v>135</v>
      </c>
      <c r="D8558" s="4">
        <v>424031</v>
      </c>
    </row>
    <row r="8559" spans="1:4" x14ac:dyDescent="0.25">
      <c r="A8559" t="str">
        <f>T("   521214")</f>
        <v xml:space="preserve">   521214</v>
      </c>
      <c r="B8559" t="str">
        <f>T("   EN FILS DE DIVERSES COULEURS")</f>
        <v xml:space="preserve">   EN FILS DE DIVERSES COULEURS</v>
      </c>
      <c r="C8559" s="4">
        <v>13495</v>
      </c>
      <c r="D8559" s="4">
        <v>15446464</v>
      </c>
    </row>
    <row r="8560" spans="1:4" x14ac:dyDescent="0.25">
      <c r="A8560" t="str">
        <f>T("   531010")</f>
        <v xml:space="preserve">   531010</v>
      </c>
      <c r="B8560" t="str">
        <f>T("   ECRUS")</f>
        <v xml:space="preserve">   ECRUS</v>
      </c>
      <c r="C8560" s="4">
        <v>1500</v>
      </c>
      <c r="D8560" s="4">
        <v>1953630</v>
      </c>
    </row>
    <row r="8561" spans="1:4" x14ac:dyDescent="0.25">
      <c r="A8561" t="str">
        <f>T("   540620")</f>
        <v xml:space="preserve">   540620</v>
      </c>
      <c r="B8561" t="str">
        <f>T("   FILS DE FILAMENTS ARTIFICIELS,CONDITIONNES POUR LA VENTE AU DETAIL")</f>
        <v xml:space="preserve">   FILS DE FILAMENTS ARTIFICIELS,CONDITIONNES POUR LA VENTE AU DETAIL</v>
      </c>
      <c r="C8561" s="4">
        <v>40</v>
      </c>
      <c r="D8561" s="4">
        <v>33500</v>
      </c>
    </row>
    <row r="8562" spans="1:4" x14ac:dyDescent="0.25">
      <c r="A8562" t="str">
        <f>T("   551219")</f>
        <v xml:space="preserve">   551219</v>
      </c>
      <c r="B8562" t="str">
        <f>T("   AUTRES")</f>
        <v xml:space="preserve">   AUTRES</v>
      </c>
      <c r="C8562" s="4">
        <v>3458</v>
      </c>
      <c r="D8562" s="4">
        <v>1372844</v>
      </c>
    </row>
    <row r="8563" spans="1:4" x14ac:dyDescent="0.25">
      <c r="A8563" t="str">
        <f>T("   551443")</f>
        <v xml:space="preserve">   551443</v>
      </c>
      <c r="B8563" t="str">
        <f>T("   AUTRES TISSUS DE FIBRES DISCONTINUES DE POLYESTER")</f>
        <v xml:space="preserve">   AUTRES TISSUS DE FIBRES DISCONTINUES DE POLYESTER</v>
      </c>
      <c r="C8563" s="4">
        <v>77381</v>
      </c>
      <c r="D8563" s="4">
        <v>38243572</v>
      </c>
    </row>
    <row r="8564" spans="1:4" x14ac:dyDescent="0.25">
      <c r="A8564" t="str">
        <f>T("   551449")</f>
        <v xml:space="preserve">   551449</v>
      </c>
      <c r="B8564" t="str">
        <f>T("   AUTRES TISSUS")</f>
        <v xml:space="preserve">   AUTRES TISSUS</v>
      </c>
      <c r="C8564" s="4">
        <v>550</v>
      </c>
      <c r="D8564" s="4">
        <v>275000</v>
      </c>
    </row>
    <row r="8565" spans="1:4" x14ac:dyDescent="0.25">
      <c r="A8565" t="str">
        <f>T("   551599")</f>
        <v xml:space="preserve">   551599</v>
      </c>
      <c r="B8565" t="str">
        <f>T("   AUTRES")</f>
        <v xml:space="preserve">   AUTRES</v>
      </c>
      <c r="C8565" s="4">
        <v>130</v>
      </c>
      <c r="D8565" s="4">
        <v>224100</v>
      </c>
    </row>
    <row r="8566" spans="1:4" x14ac:dyDescent="0.25">
      <c r="A8566" t="str">
        <f>T("   560490")</f>
        <v xml:space="preserve">   560490</v>
      </c>
      <c r="B8566" t="str">
        <f>T("   AUTRES")</f>
        <v xml:space="preserve">   AUTRES</v>
      </c>
      <c r="C8566" s="4">
        <v>22031</v>
      </c>
      <c r="D8566" s="4">
        <v>7928220</v>
      </c>
    </row>
    <row r="8567" spans="1:4" x14ac:dyDescent="0.25">
      <c r="A8567" t="str">
        <f>T("   560811")</f>
        <v xml:space="preserve">   560811</v>
      </c>
      <c r="B8567" t="str">
        <f>T("   FILETS CONFECTIONNES POUR LA PECHE")</f>
        <v xml:space="preserve">   FILETS CONFECTIONNES POUR LA PECHE</v>
      </c>
      <c r="C8567" s="4">
        <v>379</v>
      </c>
      <c r="D8567" s="4">
        <v>94750</v>
      </c>
    </row>
    <row r="8568" spans="1:4" x14ac:dyDescent="0.25">
      <c r="A8568" t="str">
        <f>T("   570390")</f>
        <v xml:space="preserve">   570390</v>
      </c>
      <c r="B8568" t="str">
        <f>T("   D'AUTRES MATIERES TEXTILES")</f>
        <v xml:space="preserve">   D'AUTRES MATIERES TEXTILES</v>
      </c>
      <c r="C8568" s="4">
        <v>2865</v>
      </c>
      <c r="D8568" s="4">
        <v>1083253</v>
      </c>
    </row>
    <row r="8569" spans="1:4" x14ac:dyDescent="0.25">
      <c r="A8569" t="str">
        <f>T("   590190")</f>
        <v xml:space="preserve">   590190</v>
      </c>
      <c r="B8569" t="str">
        <f>T("   AUTRES")</f>
        <v xml:space="preserve">   AUTRES</v>
      </c>
      <c r="C8569" s="4">
        <v>141599</v>
      </c>
      <c r="D8569" s="4">
        <v>113533574</v>
      </c>
    </row>
    <row r="8570" spans="1:4" x14ac:dyDescent="0.25">
      <c r="A8570" t="str">
        <f>T("   600292")</f>
        <v xml:space="preserve">   600292</v>
      </c>
      <c r="B8570" t="str">
        <f>T("   AUTRES ETOFFES DE BONNETERIE EN COTON")</f>
        <v xml:space="preserve">   AUTRES ETOFFES DE BONNETERIE EN COTON</v>
      </c>
      <c r="C8570" s="4">
        <v>150</v>
      </c>
      <c r="D8570" s="4">
        <v>191250</v>
      </c>
    </row>
    <row r="8571" spans="1:4" x14ac:dyDescent="0.25">
      <c r="A8571" t="str">
        <f>T("   610910")</f>
        <v xml:space="preserve">   610910</v>
      </c>
      <c r="B8571" t="str">
        <f>T("   DE COTON")</f>
        <v xml:space="preserve">   DE COTON</v>
      </c>
      <c r="C8571" s="4">
        <v>11249</v>
      </c>
      <c r="D8571" s="4">
        <v>8338756</v>
      </c>
    </row>
    <row r="8572" spans="1:4" x14ac:dyDescent="0.25">
      <c r="A8572" t="str">
        <f>T("   610990")</f>
        <v xml:space="preserve">   610990</v>
      </c>
      <c r="B8572" t="str">
        <f>T("   D'AUTRES MATIERES TEXTILES")</f>
        <v xml:space="preserve">   D'AUTRES MATIERES TEXTILES</v>
      </c>
      <c r="C8572" s="4">
        <v>800</v>
      </c>
      <c r="D8572" s="4">
        <v>860950</v>
      </c>
    </row>
    <row r="8573" spans="1:4" x14ac:dyDescent="0.25">
      <c r="A8573" t="str">
        <f>T("   611610")</f>
        <v xml:space="preserve">   611610</v>
      </c>
      <c r="B8573" t="str">
        <f>T("   IMPREGNES, ENDUITS OU RECOUVERTS DE MATIERES PLASTIQUES OU DE CAOUTCHOUC")</f>
        <v xml:space="preserve">   IMPREGNES, ENDUITS OU RECOUVERTS DE MATIERES PLASTIQUES OU DE CAOUTCHOUC</v>
      </c>
      <c r="C8573" s="4">
        <v>70</v>
      </c>
      <c r="D8573" s="4">
        <v>35000</v>
      </c>
    </row>
    <row r="8574" spans="1:4" x14ac:dyDescent="0.25">
      <c r="A8574" t="str">
        <f>T("   620319")</f>
        <v xml:space="preserve">   620319</v>
      </c>
      <c r="B8574" t="str">
        <f>T("   D'AUTRES MATIERES TEXTILES")</f>
        <v xml:space="preserve">   D'AUTRES MATIERES TEXTILES</v>
      </c>
      <c r="C8574" s="4">
        <v>1080</v>
      </c>
      <c r="D8574" s="4">
        <v>764776</v>
      </c>
    </row>
    <row r="8575" spans="1:4" x14ac:dyDescent="0.25">
      <c r="A8575" t="str">
        <f>T("   620412")</f>
        <v xml:space="preserve">   620412</v>
      </c>
      <c r="B8575" t="str">
        <f>T("   DE COTON")</f>
        <v xml:space="preserve">   DE COTON</v>
      </c>
      <c r="C8575" s="4">
        <v>185</v>
      </c>
      <c r="D8575" s="4">
        <v>205571</v>
      </c>
    </row>
    <row r="8576" spans="1:4" x14ac:dyDescent="0.25">
      <c r="A8576" t="str">
        <f>T("   620429")</f>
        <v xml:space="preserve">   620429</v>
      </c>
      <c r="B8576" t="str">
        <f>T("   D'AUTRES MATIERES TEXTILES")</f>
        <v xml:space="preserve">   D'AUTRES MATIERES TEXTILES</v>
      </c>
      <c r="C8576" s="4">
        <v>50</v>
      </c>
      <c r="D8576" s="4">
        <v>94801</v>
      </c>
    </row>
    <row r="8577" spans="1:4" x14ac:dyDescent="0.25">
      <c r="A8577" t="str">
        <f>T("   620690")</f>
        <v xml:space="preserve">   620690</v>
      </c>
      <c r="B8577" t="str">
        <f>T("   D'AUTRES MATIERES TEXTILES")</f>
        <v xml:space="preserve">   D'AUTRES MATIERES TEXTILES</v>
      </c>
      <c r="C8577" s="4">
        <v>900</v>
      </c>
      <c r="D8577" s="4">
        <v>722870</v>
      </c>
    </row>
    <row r="8578" spans="1:4" x14ac:dyDescent="0.25">
      <c r="A8578" t="str">
        <f>T("   621040")</f>
        <v xml:space="preserve">   621040</v>
      </c>
      <c r="B8578" t="str">
        <f>T("   AUTRES VETEMENTS POUR HOMMES OU GARCONNETS")</f>
        <v xml:space="preserve">   AUTRES VETEMENTS POUR HOMMES OU GARCONNETS</v>
      </c>
      <c r="C8578" s="4">
        <v>924</v>
      </c>
      <c r="D8578" s="4">
        <v>1438761</v>
      </c>
    </row>
    <row r="8579" spans="1:4" x14ac:dyDescent="0.25">
      <c r="A8579" t="str">
        <f>T("   621050")</f>
        <v xml:space="preserve">   621050</v>
      </c>
      <c r="B8579" t="str">
        <f>T("   AUTRES VETEMENTS POUR FEMMES OU FILLETTES")</f>
        <v xml:space="preserve">   AUTRES VETEMENTS POUR FEMMES OU FILLETTES</v>
      </c>
      <c r="C8579" s="4">
        <v>172</v>
      </c>
      <c r="D8579" s="4">
        <v>195740</v>
      </c>
    </row>
    <row r="8580" spans="1:4" x14ac:dyDescent="0.25">
      <c r="A8580" t="str">
        <f>T("   630221")</f>
        <v xml:space="preserve">   630221</v>
      </c>
      <c r="B8580" t="str">
        <f>T("   DE COTON")</f>
        <v xml:space="preserve">   DE COTON</v>
      </c>
      <c r="C8580" s="4">
        <v>460</v>
      </c>
      <c r="D8580" s="4">
        <v>524000</v>
      </c>
    </row>
    <row r="8581" spans="1:4" x14ac:dyDescent="0.25">
      <c r="A8581" t="str">
        <f>T("   630222")</f>
        <v xml:space="preserve">   630222</v>
      </c>
      <c r="B8581" t="str">
        <f>T("   DE FIBRES SYNTHETIQUES OU ARTIFICIELLES")</f>
        <v xml:space="preserve">   DE FIBRES SYNTHETIQUES OU ARTIFICIELLES</v>
      </c>
      <c r="C8581" s="4">
        <v>100</v>
      </c>
      <c r="D8581" s="4">
        <v>324150</v>
      </c>
    </row>
    <row r="8582" spans="1:4" x14ac:dyDescent="0.25">
      <c r="A8582" t="str">
        <f>T("   630231")</f>
        <v xml:space="preserve">   630231</v>
      </c>
      <c r="B8582" t="str">
        <f>T("   DE COTON")</f>
        <v xml:space="preserve">   DE COTON</v>
      </c>
      <c r="C8582" s="4">
        <v>533</v>
      </c>
      <c r="D8582" s="4">
        <v>549250</v>
      </c>
    </row>
    <row r="8583" spans="1:4" x14ac:dyDescent="0.25">
      <c r="A8583" t="str">
        <f>T("   630260")</f>
        <v xml:space="preserve">   630260</v>
      </c>
      <c r="B8583" t="str">
        <f>T("   LINGE DE TOILETTE OU DE CUISINE, BOUCLE DU GENRE EPONGE, DE COTON")</f>
        <v xml:space="preserve">   LINGE DE TOILETTE OU DE CUISINE, BOUCLE DU GENRE EPONGE, DE COTON</v>
      </c>
      <c r="C8583" s="4">
        <v>2150</v>
      </c>
      <c r="D8583" s="4">
        <v>790393</v>
      </c>
    </row>
    <row r="8584" spans="1:4" x14ac:dyDescent="0.25">
      <c r="A8584" t="str">
        <f>T("   630319")</f>
        <v xml:space="preserve">   630319</v>
      </c>
      <c r="B8584" t="str">
        <f>T("   D'AUTRES MATIERES TEXTILES")</f>
        <v xml:space="preserve">   D'AUTRES MATIERES TEXTILES</v>
      </c>
      <c r="C8584" s="4">
        <v>220</v>
      </c>
      <c r="D8584" s="4">
        <v>109300</v>
      </c>
    </row>
    <row r="8585" spans="1:4" x14ac:dyDescent="0.25">
      <c r="A8585" t="str">
        <f>T("   630491")</f>
        <v xml:space="preserve">   630491</v>
      </c>
      <c r="B8585" t="str">
        <f>T("   EN BONNETERIE")</f>
        <v xml:space="preserve">   EN BONNETERIE</v>
      </c>
      <c r="C8585" s="4">
        <v>2950</v>
      </c>
      <c r="D8585" s="4">
        <v>11156707</v>
      </c>
    </row>
    <row r="8586" spans="1:4" x14ac:dyDescent="0.25">
      <c r="A8586" t="str">
        <f>T("   630510")</f>
        <v xml:space="preserve">   630510</v>
      </c>
      <c r="B8586" t="str">
        <f>T("   DE JUTE OU D'AUTRES FIBRES TEXTILES LIBERIENNES DU N° 53.03")</f>
        <v xml:space="preserve">   DE JUTE OU D'AUTRES FIBRES TEXTILES LIBERIENNES DU N° 53.03</v>
      </c>
      <c r="C8586" s="4">
        <v>8200</v>
      </c>
      <c r="D8586" s="4">
        <v>4303800</v>
      </c>
    </row>
    <row r="8587" spans="1:4" x14ac:dyDescent="0.25">
      <c r="A8587" t="str">
        <f>T("   630533")</f>
        <v xml:space="preserve">   630533</v>
      </c>
      <c r="B8587" t="str">
        <f>T("   AUTRES, OBTENUES A PARTIR DE LAMES OU FORMES SIMILAIRES DE POLYETHYLENE OU DE POLYPR")</f>
        <v xml:space="preserve">   AUTRES, OBTENUES A PARTIR DE LAMES OU FORMES SIMILAIRES DE POLYETHYLENE OU DE POLYPR</v>
      </c>
      <c r="C8587" s="4">
        <v>136351</v>
      </c>
      <c r="D8587" s="4">
        <v>23494672</v>
      </c>
    </row>
    <row r="8588" spans="1:4" x14ac:dyDescent="0.25">
      <c r="A8588" t="str">
        <f>T("   630619")</f>
        <v xml:space="preserve">   630619</v>
      </c>
      <c r="B8588" t="str">
        <f>T("   D'AUTRES MATIERES TEXTILES")</f>
        <v xml:space="preserve">   D'AUTRES MATIERES TEXTILES</v>
      </c>
      <c r="C8588" s="4">
        <v>23696</v>
      </c>
      <c r="D8588" s="4">
        <v>19960612</v>
      </c>
    </row>
    <row r="8589" spans="1:4" x14ac:dyDescent="0.25">
      <c r="A8589" t="str">
        <f>T("   630629")</f>
        <v xml:space="preserve">   630629</v>
      </c>
      <c r="B8589" t="str">
        <f>T("   D'AUTRES MATIERES TEXTILES")</f>
        <v xml:space="preserve">   D'AUTRES MATIERES TEXTILES</v>
      </c>
      <c r="C8589" s="4">
        <v>200</v>
      </c>
      <c r="D8589" s="4">
        <v>59900</v>
      </c>
    </row>
    <row r="8590" spans="1:4" x14ac:dyDescent="0.25">
      <c r="A8590" t="str">
        <f>T("   630649")</f>
        <v xml:space="preserve">   630649</v>
      </c>
      <c r="B8590" t="str">
        <f>T("   MATELAS PNEUMATIQUES D'AUTRES MATIERES TEXTILES")</f>
        <v xml:space="preserve">   MATELAS PNEUMATIQUES D'AUTRES MATIERES TEXTILES</v>
      </c>
      <c r="C8590" s="4">
        <v>254</v>
      </c>
      <c r="D8590" s="4">
        <v>279400</v>
      </c>
    </row>
    <row r="8591" spans="1:4" x14ac:dyDescent="0.25">
      <c r="A8591" t="str">
        <f>T("   630710")</f>
        <v xml:space="preserve">   630710</v>
      </c>
      <c r="B8591" t="str">
        <f>T("   SERPILLIERES OU WASSINGUES, LAVETTES, CHAMOISETTES ET ARTICLES D'ENTRETIEN SIMILAIRES")</f>
        <v xml:space="preserve">   SERPILLIERES OU WASSINGUES, LAVETTES, CHAMOISETTES ET ARTICLES D'ENTRETIEN SIMILAIRES</v>
      </c>
      <c r="C8591" s="4">
        <v>545</v>
      </c>
      <c r="D8591" s="4">
        <v>1421720</v>
      </c>
    </row>
    <row r="8592" spans="1:4" x14ac:dyDescent="0.25">
      <c r="A8592" t="str">
        <f>T("   630900")</f>
        <v xml:space="preserve">   630900</v>
      </c>
      <c r="B8592" t="str">
        <f>T("   ARTICLES DE FRIPERIE.")</f>
        <v xml:space="preserve">   ARTICLES DE FRIPERIE.</v>
      </c>
      <c r="C8592" s="4">
        <v>225</v>
      </c>
      <c r="D8592" s="4">
        <v>75987</v>
      </c>
    </row>
    <row r="8593" spans="1:4" x14ac:dyDescent="0.25">
      <c r="A8593" t="str">
        <f>T("   631010")</f>
        <v xml:space="preserve">   631010</v>
      </c>
      <c r="B8593" t="str">
        <f>T("   TRIES")</f>
        <v xml:space="preserve">   TRIES</v>
      </c>
      <c r="C8593" s="4">
        <v>12</v>
      </c>
      <c r="D8593" s="4">
        <v>6120</v>
      </c>
    </row>
    <row r="8594" spans="1:4" x14ac:dyDescent="0.25">
      <c r="A8594" t="str">
        <f>T("   640110")</f>
        <v xml:space="preserve">   640110</v>
      </c>
      <c r="B8594" t="str">
        <f>T("   CHAUSSURES COMPORTANT, A L'AVANT, UNE COQUILLE DE PROTECTION EN METAL")</f>
        <v xml:space="preserve">   CHAUSSURES COMPORTANT, A L'AVANT, UNE COQUILLE DE PROTECTION EN METAL</v>
      </c>
      <c r="C8594" s="4">
        <v>11</v>
      </c>
      <c r="D8594" s="4">
        <v>102522</v>
      </c>
    </row>
    <row r="8595" spans="1:4" x14ac:dyDescent="0.25">
      <c r="A8595" t="str">
        <f>T("   640220")</f>
        <v xml:space="preserve">   640220</v>
      </c>
      <c r="B8595" t="str">
        <f>T("   CHAUSSURES AVEC DESSUS EN LANIERES OU BRIDES FIXEES A LA SEMELLE PAR DES TETONS")</f>
        <v xml:space="preserve">   CHAUSSURES AVEC DESSUS EN LANIERES OU BRIDES FIXEES A LA SEMELLE PAR DES TETONS</v>
      </c>
      <c r="C8595" s="4">
        <v>115535</v>
      </c>
      <c r="D8595" s="4">
        <v>27162285</v>
      </c>
    </row>
    <row r="8596" spans="1:4" x14ac:dyDescent="0.25">
      <c r="A8596" t="str">
        <f>T("   640299")</f>
        <v xml:space="preserve">   640299</v>
      </c>
      <c r="B8596" t="str">
        <f>T("   AUTRES")</f>
        <v xml:space="preserve">   AUTRES</v>
      </c>
      <c r="C8596" s="4">
        <v>198</v>
      </c>
      <c r="D8596" s="4">
        <v>851648</v>
      </c>
    </row>
    <row r="8597" spans="1:4" x14ac:dyDescent="0.25">
      <c r="A8597" t="str">
        <f>T("   640419")</f>
        <v xml:space="preserve">   640419</v>
      </c>
      <c r="B8597" t="str">
        <f>T("   AUTRES")</f>
        <v xml:space="preserve">   AUTRES</v>
      </c>
      <c r="C8597" s="4">
        <v>45</v>
      </c>
      <c r="D8597" s="4">
        <v>22500</v>
      </c>
    </row>
    <row r="8598" spans="1:4" x14ac:dyDescent="0.25">
      <c r="A8598" t="str">
        <f>T("   640520")</f>
        <v xml:space="preserve">   640520</v>
      </c>
      <c r="B8598" t="str">
        <f>T("   A DESSUS EN MATIERES TEXTILES")</f>
        <v xml:space="preserve">   A DESSUS EN MATIERES TEXTILES</v>
      </c>
      <c r="C8598" s="4">
        <v>850</v>
      </c>
      <c r="D8598" s="4">
        <v>170000</v>
      </c>
    </row>
    <row r="8599" spans="1:4" x14ac:dyDescent="0.25">
      <c r="A8599" t="str">
        <f>T("   640590")</f>
        <v xml:space="preserve">   640590</v>
      </c>
      <c r="B8599" t="str">
        <f>T("   AUTRES")</f>
        <v xml:space="preserve">   AUTRES</v>
      </c>
      <c r="C8599" s="4">
        <v>104433</v>
      </c>
      <c r="D8599" s="4">
        <v>103222081</v>
      </c>
    </row>
    <row r="8600" spans="1:4" x14ac:dyDescent="0.25">
      <c r="A8600" t="str">
        <f>T("   640620")</f>
        <v xml:space="preserve">   640620</v>
      </c>
      <c r="B8600" t="str">
        <f>T("   SEMELLES EXTERIEURES ET TALONS, EN CAOUTCHOUC OU EN MATIERE PLASTIQUE")</f>
        <v xml:space="preserve">   SEMELLES EXTERIEURES ET TALONS, EN CAOUTCHOUC OU EN MATIERE PLASTIQUE</v>
      </c>
      <c r="C8600" s="4">
        <v>974</v>
      </c>
      <c r="D8600" s="4">
        <v>292200</v>
      </c>
    </row>
    <row r="8601" spans="1:4" x14ac:dyDescent="0.25">
      <c r="A8601" t="str">
        <f>T("   640699")</f>
        <v xml:space="preserve">   640699</v>
      </c>
      <c r="B8601" t="str">
        <f>T("   AUTRES PARTIES DE CHAUSSURES EN AUTRES MATIERES")</f>
        <v xml:space="preserve">   AUTRES PARTIES DE CHAUSSURES EN AUTRES MATIERES</v>
      </c>
      <c r="C8601" s="4">
        <v>100</v>
      </c>
      <c r="D8601" s="4">
        <v>30000</v>
      </c>
    </row>
    <row r="8602" spans="1:4" x14ac:dyDescent="0.25">
      <c r="A8602" t="str">
        <f>T("   650590")</f>
        <v xml:space="preserve">   650590</v>
      </c>
      <c r="B8602" t="str">
        <f>T("   AUTRES COIFFURES EN MATIERES TEXTILES,EN PIECES(MAIS NON EN BANDES)")</f>
        <v xml:space="preserve">   AUTRES COIFFURES EN MATIERES TEXTILES,EN PIECES(MAIS NON EN BANDES)</v>
      </c>
      <c r="C8602" s="4">
        <v>65</v>
      </c>
      <c r="D8602" s="4">
        <v>41726</v>
      </c>
    </row>
    <row r="8603" spans="1:4" x14ac:dyDescent="0.25">
      <c r="A8603" t="str">
        <f>T("   650610")</f>
        <v xml:space="preserve">   650610</v>
      </c>
      <c r="B8603" t="str">
        <f>T("   COIFFURES DE SECURITE")</f>
        <v xml:space="preserve">   COIFFURES DE SECURITE</v>
      </c>
      <c r="C8603" s="4">
        <v>1910</v>
      </c>
      <c r="D8603" s="4">
        <v>4968240</v>
      </c>
    </row>
    <row r="8604" spans="1:4" x14ac:dyDescent="0.25">
      <c r="A8604" t="str">
        <f>T("   660199")</f>
        <v xml:space="preserve">   660199</v>
      </c>
      <c r="B8604" t="str">
        <f>T("   AUTRES")</f>
        <v xml:space="preserve">   AUTRES</v>
      </c>
      <c r="C8604" s="4">
        <v>100</v>
      </c>
      <c r="D8604" s="4">
        <v>105000</v>
      </c>
    </row>
    <row r="8605" spans="1:4" x14ac:dyDescent="0.25">
      <c r="A8605" t="str">
        <f>T("   670419")</f>
        <v xml:space="preserve">   670419</v>
      </c>
      <c r="B8605" t="str">
        <f>T("   AUTRES")</f>
        <v xml:space="preserve">   AUTRES</v>
      </c>
      <c r="C8605" s="4">
        <v>94535</v>
      </c>
      <c r="D8605" s="4">
        <v>116538117</v>
      </c>
    </row>
    <row r="8606" spans="1:4" x14ac:dyDescent="0.25">
      <c r="A8606" t="str">
        <f>T("   670490")</f>
        <v xml:space="preserve">   670490</v>
      </c>
      <c r="B8606" t="str">
        <f>T("   EN AUTRES MATIERES")</f>
        <v xml:space="preserve">   EN AUTRES MATIERES</v>
      </c>
      <c r="C8606" s="4">
        <v>760</v>
      </c>
      <c r="D8606" s="4">
        <v>267050</v>
      </c>
    </row>
    <row r="8607" spans="1:4" x14ac:dyDescent="0.25">
      <c r="A8607" t="str">
        <f>T("   680990")</f>
        <v xml:space="preserve">   680990</v>
      </c>
      <c r="B8607" t="str">
        <f>T("   AUTRES OUVRAGES")</f>
        <v xml:space="preserve">   AUTRES OUVRAGES</v>
      </c>
      <c r="C8607" s="4">
        <v>38081</v>
      </c>
      <c r="D8607" s="4">
        <v>13431060</v>
      </c>
    </row>
    <row r="8608" spans="1:4" x14ac:dyDescent="0.25">
      <c r="A8608" t="str">
        <f>T("   681110")</f>
        <v xml:space="preserve">   681110</v>
      </c>
      <c r="B8608" t="str">
        <f>T("   PLAQUES ONDULEES,EN AMIANTE-CIMENT, CELLULOSE-CIMENT OU SIMILAIRES")</f>
        <v xml:space="preserve">   PLAQUES ONDULEES,EN AMIANTE-CIMENT, CELLULOSE-CIMENT OU SIMILAIRES</v>
      </c>
      <c r="C8608" s="4">
        <v>1173780</v>
      </c>
      <c r="D8608" s="4">
        <v>220566378</v>
      </c>
    </row>
    <row r="8609" spans="1:4" x14ac:dyDescent="0.25">
      <c r="A8609" t="str">
        <f>T("   681120")</f>
        <v xml:space="preserve">   681120</v>
      </c>
      <c r="B8609" t="str">
        <f>T("   PANNEAUX,TUILES ET ARTICLES SIMILAIRES,EN AMIANTE-CIMENT..")</f>
        <v xml:space="preserve">   PANNEAUX,TUILES ET ARTICLES SIMILAIRES,EN AMIANTE-CIMENT..</v>
      </c>
      <c r="C8609" s="4">
        <v>800</v>
      </c>
      <c r="D8609" s="4">
        <v>406587</v>
      </c>
    </row>
    <row r="8610" spans="1:4" x14ac:dyDescent="0.25">
      <c r="A8610" t="str">
        <f>T("   681520")</f>
        <v xml:space="preserve">   681520</v>
      </c>
      <c r="B8610" t="str">
        <f>T("   Ouvrages en tourbe")</f>
        <v xml:space="preserve">   Ouvrages en tourbe</v>
      </c>
      <c r="C8610" s="4">
        <v>48</v>
      </c>
      <c r="D8610" s="4">
        <v>48000</v>
      </c>
    </row>
    <row r="8611" spans="1:4" x14ac:dyDescent="0.25">
      <c r="A8611" t="str">
        <f>T("   690810")</f>
        <v xml:space="preserve">   690810</v>
      </c>
      <c r="B8611" t="str">
        <f>T("   CARREAUX, CUBES, DES ET ARTICLES SIMILAIRES, MEME DE FORME AUTRE QUE CARREE OU RECTAN")</f>
        <v xml:space="preserve">   CARREAUX, CUBES, DES ET ARTICLES SIMILAIRES, MEME DE FORME AUTRE QUE CARREE OU RECTAN</v>
      </c>
      <c r="C8611" s="4">
        <v>15518</v>
      </c>
      <c r="D8611" s="4">
        <v>1959935</v>
      </c>
    </row>
    <row r="8612" spans="1:4" x14ac:dyDescent="0.25">
      <c r="A8612" t="str">
        <f>T("   691110")</f>
        <v xml:space="preserve">   691110</v>
      </c>
      <c r="B8612" t="str">
        <f>T("   ARTICLES POUR LE SERVICE DE LA TABLE OU DE LA CUISINE")</f>
        <v xml:space="preserve">   ARTICLES POUR LE SERVICE DE LA TABLE OU DE LA CUISINE</v>
      </c>
      <c r="C8612" s="4">
        <v>190</v>
      </c>
      <c r="D8612" s="4">
        <v>201100</v>
      </c>
    </row>
    <row r="8613" spans="1:4" x14ac:dyDescent="0.25">
      <c r="A8613" t="str">
        <f>T("   691200")</f>
        <v xml:space="preserve">   691200</v>
      </c>
      <c r="B8613" t="str">
        <f>T("   VAISSELLE, AUTRES ARTICLES DE MENAGE OU D'ECONOMIE DOMESTIQUE ET ARTICLES D'HYGIENE OU")</f>
        <v xml:space="preserve">   VAISSELLE, AUTRES ARTICLES DE MENAGE OU D'ECONOMIE DOMESTIQUE ET ARTICLES D'HYGIENE OU</v>
      </c>
      <c r="C8613" s="4">
        <v>160</v>
      </c>
      <c r="D8613" s="4">
        <v>128340</v>
      </c>
    </row>
    <row r="8614" spans="1:4" x14ac:dyDescent="0.25">
      <c r="A8614" t="str">
        <f>T("   700510")</f>
        <v xml:space="preserve">   700510</v>
      </c>
      <c r="B8614" t="str">
        <f>T("   GLACE NON ARMEE, A COUCHE ABSORBANTE, REFLECHISSANTE OU NON REFLECHISSANTE")</f>
        <v xml:space="preserve">   GLACE NON ARMEE, A COUCHE ABSORBANTE, REFLECHISSANTE OU NON REFLECHISSANTE</v>
      </c>
      <c r="C8614" s="4">
        <v>1078</v>
      </c>
      <c r="D8614" s="4">
        <v>266189</v>
      </c>
    </row>
    <row r="8615" spans="1:4" x14ac:dyDescent="0.25">
      <c r="A8615" t="str">
        <f>T("   700529")</f>
        <v xml:space="preserve">   700529</v>
      </c>
      <c r="B8615" t="str">
        <f>T("   AUTRE")</f>
        <v xml:space="preserve">   AUTRE</v>
      </c>
      <c r="C8615" s="4">
        <v>71595</v>
      </c>
      <c r="D8615" s="4">
        <v>46617779</v>
      </c>
    </row>
    <row r="8616" spans="1:4" x14ac:dyDescent="0.25">
      <c r="A8616" t="str">
        <f>T("   700711")</f>
        <v xml:space="preserve">   700711</v>
      </c>
      <c r="B8616" t="str">
        <f>T("   DE DIMENSIONS ET FORMATS PERMETTANT LEUR EMPLOI DANS LES AUTOMOBILES, VEHICULES AERI")</f>
        <v xml:space="preserve">   DE DIMENSIONS ET FORMATS PERMETTANT LEUR EMPLOI DANS LES AUTOMOBILES, VEHICULES AERI</v>
      </c>
      <c r="C8616" s="4">
        <v>24770</v>
      </c>
      <c r="D8616" s="4">
        <v>21726800</v>
      </c>
    </row>
    <row r="8617" spans="1:4" x14ac:dyDescent="0.25">
      <c r="A8617" t="str">
        <f>T("   701090")</f>
        <v xml:space="preserve">   701090</v>
      </c>
      <c r="B8617" t="str">
        <f>T("   AUTRES")</f>
        <v xml:space="preserve">   AUTRES</v>
      </c>
      <c r="C8617" s="4">
        <v>74370</v>
      </c>
      <c r="D8617" s="4">
        <v>36410372</v>
      </c>
    </row>
    <row r="8618" spans="1:4" x14ac:dyDescent="0.25">
      <c r="A8618" t="str">
        <f>T("   701092")</f>
        <v xml:space="preserve">   701092</v>
      </c>
      <c r="B8618" t="str">
        <f>T("   BOUTEILLES,BONBONNES,FLACONS,BOCAUX,POTS,RECIPIENTS SIMILAIRES +0,33L A 1L")</f>
        <v xml:space="preserve">   BOUTEILLES,BONBONNES,FLACONS,BOCAUX,POTS,RECIPIENTS SIMILAIRES +0,33L A 1L</v>
      </c>
      <c r="C8618" s="4">
        <v>166350</v>
      </c>
      <c r="D8618" s="4">
        <v>8819185</v>
      </c>
    </row>
    <row r="8619" spans="1:4" x14ac:dyDescent="0.25">
      <c r="A8619" t="str">
        <f>T("   701329")</f>
        <v xml:space="preserve">   701329</v>
      </c>
      <c r="B8619" t="str">
        <f>T("   AUTRES VERRES A BOIRE,AUTRES QU'EN VITROCERAME")</f>
        <v xml:space="preserve">   AUTRES VERRES A BOIRE,AUTRES QU'EN VITROCERAME</v>
      </c>
      <c r="C8619" s="4">
        <v>28820</v>
      </c>
      <c r="D8619" s="4">
        <v>8873650</v>
      </c>
    </row>
    <row r="8620" spans="1:4" x14ac:dyDescent="0.25">
      <c r="A8620" t="str">
        <f>T("   701710")</f>
        <v xml:space="preserve">   701710</v>
      </c>
      <c r="B8620" t="str">
        <f>T("   EN QUARTZ OU EN AUTRE SILICE FONDUS")</f>
        <v xml:space="preserve">   EN QUARTZ OU EN AUTRE SILICE FONDUS</v>
      </c>
      <c r="C8620" s="4">
        <v>12</v>
      </c>
      <c r="D8620" s="4">
        <v>71580</v>
      </c>
    </row>
    <row r="8621" spans="1:4" x14ac:dyDescent="0.25">
      <c r="A8621" t="str">
        <f>T("   711790")</f>
        <v xml:space="preserve">   711790</v>
      </c>
      <c r="B8621" t="str">
        <f>T("   AUTRES")</f>
        <v xml:space="preserve">   AUTRES</v>
      </c>
      <c r="C8621" s="4">
        <v>22317</v>
      </c>
      <c r="D8621" s="4">
        <v>64647504</v>
      </c>
    </row>
    <row r="8622" spans="1:4" x14ac:dyDescent="0.25">
      <c r="A8622" t="str">
        <f>T("   720410")</f>
        <v xml:space="preserve">   720410</v>
      </c>
      <c r="B8622" t="str">
        <f>T("   Dechets et debris de fonte")</f>
        <v xml:space="preserve">   Dechets et debris de fonte</v>
      </c>
      <c r="C8622" s="4">
        <v>461881</v>
      </c>
      <c r="D8622" s="4">
        <v>36432856</v>
      </c>
    </row>
    <row r="8623" spans="1:4" x14ac:dyDescent="0.25">
      <c r="A8623" t="str">
        <f>T("   720836")</f>
        <v xml:space="preserve">   720836</v>
      </c>
      <c r="B8623" t="str">
        <f>T("   D'UNE EPAISSEUR EXCEDANT 10 MM")</f>
        <v xml:space="preserve">   D'UNE EPAISSEUR EXCEDANT 10 MM</v>
      </c>
      <c r="C8623" s="4">
        <v>40000</v>
      </c>
      <c r="D8623" s="4">
        <v>13917200</v>
      </c>
    </row>
    <row r="8624" spans="1:4" x14ac:dyDescent="0.25">
      <c r="A8624" t="str">
        <f>T("   720917")</f>
        <v xml:space="preserve">   720917</v>
      </c>
      <c r="B8624" t="str">
        <f>T("   D'UNE EPAISSEUR DE 0,5 MM OU PLUS MAIS N'EXCEDANT PAS 1 MM")</f>
        <v xml:space="preserve">   D'UNE EPAISSEUR DE 0,5 MM OU PLUS MAIS N'EXCEDANT PAS 1 MM</v>
      </c>
      <c r="C8624" s="4">
        <v>194000</v>
      </c>
      <c r="D8624" s="4">
        <v>67498790</v>
      </c>
    </row>
    <row r="8625" spans="1:4" x14ac:dyDescent="0.25">
      <c r="A8625" t="str">
        <f>T("   721041")</f>
        <v xml:space="preserve">   721041</v>
      </c>
      <c r="B8625" t="str">
        <f>T("   ONDULES")</f>
        <v xml:space="preserve">   ONDULES</v>
      </c>
      <c r="C8625" s="4">
        <v>297240</v>
      </c>
      <c r="D8625" s="4">
        <v>250018657</v>
      </c>
    </row>
    <row r="8626" spans="1:4" x14ac:dyDescent="0.25">
      <c r="A8626" t="str">
        <f>T("   721090")</f>
        <v xml:space="preserve">   721090</v>
      </c>
      <c r="B8626" t="str">
        <f>T("   AUTRES")</f>
        <v xml:space="preserve">   AUTRES</v>
      </c>
      <c r="C8626" s="4">
        <v>282350</v>
      </c>
      <c r="D8626" s="4">
        <v>108594332</v>
      </c>
    </row>
    <row r="8627" spans="1:4" x14ac:dyDescent="0.25">
      <c r="A8627" t="str">
        <f>T("   721391")</f>
        <v xml:space="preserve">   721391</v>
      </c>
      <c r="B8627" t="str">
        <f>T("   DE SECTION CIRCULAIRE D'UN DIAMETRE INFERIEUR A 14 MM")</f>
        <v xml:space="preserve">   DE SECTION CIRCULAIRE D'UN DIAMETRE INFERIEUR A 14 MM</v>
      </c>
      <c r="C8627" s="4">
        <v>398000</v>
      </c>
      <c r="D8627" s="4">
        <v>136833150</v>
      </c>
    </row>
    <row r="8628" spans="1:4" x14ac:dyDescent="0.25">
      <c r="A8628" t="str">
        <f>T("   721420")</f>
        <v xml:space="preserve">   721420</v>
      </c>
      <c r="B8628" t="str">
        <f>T("   COMPORTANT DES INDENTATIONS, BOURRELETS, CREUX OU RELIEFS OBTENUS AU COURS DU LAMINAG")</f>
        <v xml:space="preserve">   COMPORTANT DES INDENTATIONS, BOURRELETS, CREUX OU RELIEFS OBTENUS AU COURS DU LAMINAG</v>
      </c>
      <c r="C8628" s="4">
        <v>10535</v>
      </c>
      <c r="D8628" s="4">
        <v>7545800</v>
      </c>
    </row>
    <row r="8629" spans="1:4" x14ac:dyDescent="0.25">
      <c r="A8629" t="str">
        <f>T("   721590")</f>
        <v xml:space="preserve">   721590</v>
      </c>
      <c r="B8629" t="str">
        <f>T("   AUTRES")</f>
        <v xml:space="preserve">   AUTRES</v>
      </c>
      <c r="C8629" s="4">
        <v>809967</v>
      </c>
      <c r="D8629" s="4">
        <v>295760737</v>
      </c>
    </row>
    <row r="8630" spans="1:4" x14ac:dyDescent="0.25">
      <c r="A8630" t="str">
        <f>T("   721631")</f>
        <v xml:space="preserve">   721631</v>
      </c>
      <c r="B8630" t="str">
        <f>T("   PROFILES EN U")</f>
        <v xml:space="preserve">   PROFILES EN U</v>
      </c>
      <c r="C8630" s="4">
        <v>207245</v>
      </c>
      <c r="D8630" s="4">
        <v>66210276</v>
      </c>
    </row>
    <row r="8631" spans="1:4" x14ac:dyDescent="0.25">
      <c r="A8631" t="str">
        <f>T("   721632")</f>
        <v xml:space="preserve">   721632</v>
      </c>
      <c r="B8631" t="str">
        <f>T("   PROFILES EN I")</f>
        <v xml:space="preserve">   PROFILES EN I</v>
      </c>
      <c r="C8631" s="4">
        <v>1500</v>
      </c>
      <c r="D8631" s="4">
        <v>398400</v>
      </c>
    </row>
    <row r="8632" spans="1:4" x14ac:dyDescent="0.25">
      <c r="A8632" t="str">
        <f>T("   721633")</f>
        <v xml:space="preserve">   721633</v>
      </c>
      <c r="B8632" t="str">
        <f>T("   PROFILES EN H")</f>
        <v xml:space="preserve">   PROFILES EN H</v>
      </c>
      <c r="C8632" s="4">
        <v>12000</v>
      </c>
      <c r="D8632" s="4">
        <v>7157984</v>
      </c>
    </row>
    <row r="8633" spans="1:4" x14ac:dyDescent="0.25">
      <c r="A8633" t="str">
        <f>T("   721699")</f>
        <v xml:space="preserve">   721699</v>
      </c>
      <c r="B8633" t="str">
        <f>T("   AUTRES")</f>
        <v xml:space="preserve">   AUTRES</v>
      </c>
      <c r="C8633" s="4">
        <v>70000</v>
      </c>
      <c r="D8633" s="4">
        <v>23825000</v>
      </c>
    </row>
    <row r="8634" spans="1:4" x14ac:dyDescent="0.25">
      <c r="A8634" t="str">
        <f>T("   721790")</f>
        <v xml:space="preserve">   721790</v>
      </c>
      <c r="B8634" t="str">
        <f>T("   AUTRES")</f>
        <v xml:space="preserve">   AUTRES</v>
      </c>
      <c r="C8634" s="4">
        <v>700</v>
      </c>
      <c r="D8634" s="4">
        <v>263300</v>
      </c>
    </row>
    <row r="8635" spans="1:4" x14ac:dyDescent="0.25">
      <c r="A8635" t="str">
        <f>T("   730300")</f>
        <v xml:space="preserve">   730300</v>
      </c>
      <c r="B8635" t="str">
        <f>T("   TUBES, TUYAUX ET PROFILES CREUX, EN FONTE.")</f>
        <v xml:space="preserve">   TUBES, TUYAUX ET PROFILES CREUX, EN FONTE.</v>
      </c>
      <c r="C8635" s="4">
        <v>8120</v>
      </c>
      <c r="D8635" s="4">
        <v>5124129</v>
      </c>
    </row>
    <row r="8636" spans="1:4" x14ac:dyDescent="0.25">
      <c r="A8636" t="str">
        <f>T("   730439")</f>
        <v xml:space="preserve">   730439</v>
      </c>
      <c r="B8636" t="str">
        <f>T("   AUTRES")</f>
        <v xml:space="preserve">   AUTRES</v>
      </c>
      <c r="C8636" s="4">
        <v>200</v>
      </c>
      <c r="D8636" s="4">
        <v>1010000</v>
      </c>
    </row>
    <row r="8637" spans="1:4" x14ac:dyDescent="0.25">
      <c r="A8637" t="str">
        <f>T("   730490")</f>
        <v xml:space="preserve">   730490</v>
      </c>
      <c r="B8637" t="str">
        <f>T("   AUTRES")</f>
        <v xml:space="preserve">   AUTRES</v>
      </c>
      <c r="C8637" s="4">
        <v>650</v>
      </c>
      <c r="D8637" s="4">
        <v>249000</v>
      </c>
    </row>
    <row r="8638" spans="1:4" x14ac:dyDescent="0.25">
      <c r="A8638" t="str">
        <f>T("   730520")</f>
        <v xml:space="preserve">   730520</v>
      </c>
      <c r="B8638" t="str">
        <f>T("   TUBES ET TUYAUX DE CUVELAGE DES TYPES UTILISES POUR L'EXTRACTION DU PETROLE OU DU GAZ")</f>
        <v xml:space="preserve">   TUBES ET TUYAUX DE CUVELAGE DES TYPES UTILISES POUR L'EXTRACTION DU PETROLE OU DU GAZ</v>
      </c>
      <c r="C8638" s="4">
        <v>211</v>
      </c>
      <c r="D8638" s="4">
        <v>140724</v>
      </c>
    </row>
    <row r="8639" spans="1:4" x14ac:dyDescent="0.25">
      <c r="A8639" t="str">
        <f>T("   730630")</f>
        <v xml:space="preserve">   730630</v>
      </c>
      <c r="B8639" t="str">
        <f>T("   AUTRES, SOUDES, DE SECTION CIRCULAIRE, EN FER OU EN ACIERS NON ALLIES")</f>
        <v xml:space="preserve">   AUTRES, SOUDES, DE SECTION CIRCULAIRE, EN FER OU EN ACIERS NON ALLIES</v>
      </c>
      <c r="C8639" s="4">
        <v>8470</v>
      </c>
      <c r="D8639" s="4">
        <v>4884925</v>
      </c>
    </row>
    <row r="8640" spans="1:4" x14ac:dyDescent="0.25">
      <c r="A8640" t="str">
        <f>T("   730690")</f>
        <v xml:space="preserve">   730690</v>
      </c>
      <c r="B8640" t="str">
        <f>T("   AUTRES")</f>
        <v xml:space="preserve">   AUTRES</v>
      </c>
      <c r="C8640" s="4">
        <v>400</v>
      </c>
      <c r="D8640" s="4">
        <v>103000</v>
      </c>
    </row>
    <row r="8641" spans="1:4" x14ac:dyDescent="0.25">
      <c r="A8641" t="str">
        <f>T("   730799")</f>
        <v xml:space="preserve">   730799</v>
      </c>
      <c r="B8641" t="str">
        <f>T("   AUTRES")</f>
        <v xml:space="preserve">   AUTRES</v>
      </c>
      <c r="C8641" s="4">
        <v>60</v>
      </c>
      <c r="D8641" s="4">
        <v>1000771</v>
      </c>
    </row>
    <row r="8642" spans="1:4" x14ac:dyDescent="0.25">
      <c r="A8642" t="str">
        <f>T("   731010")</f>
        <v xml:space="preserve">   731010</v>
      </c>
      <c r="B8642" t="str">
        <f>T("   D'UNE CONTENANCE DE 50 L OU PLUS")</f>
        <v xml:space="preserve">   D'UNE CONTENANCE DE 50 L OU PLUS</v>
      </c>
      <c r="C8642" s="4">
        <v>15100</v>
      </c>
      <c r="D8642" s="4">
        <v>3158673</v>
      </c>
    </row>
    <row r="8643" spans="1:4" x14ac:dyDescent="0.25">
      <c r="A8643" t="str">
        <f>T("   731449")</f>
        <v xml:space="preserve">   731449</v>
      </c>
      <c r="B8643" t="str">
        <f>T("   AUTRES")</f>
        <v xml:space="preserve">   AUTRES</v>
      </c>
      <c r="C8643" s="4">
        <v>704</v>
      </c>
      <c r="D8643" s="4">
        <v>311500</v>
      </c>
    </row>
    <row r="8644" spans="1:4" x14ac:dyDescent="0.25">
      <c r="A8644" t="str">
        <f>T("   731700")</f>
        <v xml:space="preserve">   731700</v>
      </c>
      <c r="B8644" t="str">
        <f>T("   POINTES, CLOUS, PUNAISES, CRAMPONS APPOINTES, AGRAFES ONDULEES OU BISEAUTEES ET ARTICLE")</f>
        <v xml:space="preserve">   POINTES, CLOUS, PUNAISES, CRAMPONS APPOINTES, AGRAFES ONDULEES OU BISEAUTEES ET ARTICLE</v>
      </c>
      <c r="C8644" s="4">
        <v>214</v>
      </c>
      <c r="D8644" s="4">
        <v>82440</v>
      </c>
    </row>
    <row r="8645" spans="1:4" x14ac:dyDescent="0.25">
      <c r="A8645" t="str">
        <f>T("   732111")</f>
        <v xml:space="preserve">   732111</v>
      </c>
      <c r="B8645" t="str">
        <f>T("   A COMBUSTIBLES GAZEUX OU A GAZ ET AUTRES COMBUSTIBLES")</f>
        <v xml:space="preserve">   A COMBUSTIBLES GAZEUX OU A GAZ ET AUTRES COMBUSTIBLES</v>
      </c>
      <c r="C8645" s="4">
        <v>195</v>
      </c>
      <c r="D8645" s="4">
        <v>645000</v>
      </c>
    </row>
    <row r="8646" spans="1:4" x14ac:dyDescent="0.25">
      <c r="A8646" t="str">
        <f>T("   732112")</f>
        <v xml:space="preserve">   732112</v>
      </c>
      <c r="B8646" t="str">
        <f>T("   A COMBUSTIBLES LIQUIDES")</f>
        <v xml:space="preserve">   A COMBUSTIBLES LIQUIDES</v>
      </c>
      <c r="C8646" s="4">
        <v>250</v>
      </c>
      <c r="D8646" s="4">
        <v>163700</v>
      </c>
    </row>
    <row r="8647" spans="1:4" x14ac:dyDescent="0.25">
      <c r="A8647" t="str">
        <f>T("   732392")</f>
        <v xml:space="preserve">   732392</v>
      </c>
      <c r="B8647" t="str">
        <f>T("   EN FONTE, EMAILLES")</f>
        <v xml:space="preserve">   EN FONTE, EMAILLES</v>
      </c>
      <c r="C8647" s="4">
        <v>1500</v>
      </c>
      <c r="D8647" s="4">
        <v>1953630</v>
      </c>
    </row>
    <row r="8648" spans="1:4" x14ac:dyDescent="0.25">
      <c r="A8648" t="str">
        <f>T("   732394")</f>
        <v xml:space="preserve">   732394</v>
      </c>
      <c r="B8648" t="str">
        <f>T("   EN FER OU EN ACIER, EMAILLES")</f>
        <v xml:space="preserve">   EN FER OU EN ACIER, EMAILLES</v>
      </c>
      <c r="C8648" s="4">
        <v>55739</v>
      </c>
      <c r="D8648" s="4">
        <v>19645681</v>
      </c>
    </row>
    <row r="8649" spans="1:4" x14ac:dyDescent="0.25">
      <c r="A8649" t="str">
        <f>T("   732399")</f>
        <v xml:space="preserve">   732399</v>
      </c>
      <c r="B8649" t="str">
        <f>T("   AUTRES")</f>
        <v xml:space="preserve">   AUTRES</v>
      </c>
      <c r="C8649" s="4">
        <v>146880</v>
      </c>
      <c r="D8649" s="4">
        <v>51394916</v>
      </c>
    </row>
    <row r="8650" spans="1:4" x14ac:dyDescent="0.25">
      <c r="A8650" t="str">
        <f>T("   732620")</f>
        <v xml:space="preserve">   732620</v>
      </c>
      <c r="B8650" t="str">
        <f>T("   OUVRAGES EN FILS DE FER OU D'ACIER")</f>
        <v xml:space="preserve">   OUVRAGES EN FILS DE FER OU D'ACIER</v>
      </c>
      <c r="C8650" s="4">
        <v>680</v>
      </c>
      <c r="D8650" s="4">
        <v>186680</v>
      </c>
    </row>
    <row r="8651" spans="1:4" x14ac:dyDescent="0.25">
      <c r="A8651" t="str">
        <f>T("   732690")</f>
        <v xml:space="preserve">   732690</v>
      </c>
      <c r="B8651" t="str">
        <f>T("   AUTRES")</f>
        <v xml:space="preserve">   AUTRES</v>
      </c>
      <c r="C8651" s="4">
        <v>229</v>
      </c>
      <c r="D8651" s="4">
        <v>1746262</v>
      </c>
    </row>
    <row r="8652" spans="1:4" x14ac:dyDescent="0.25">
      <c r="A8652" t="str">
        <f>T("   741510")</f>
        <v xml:space="preserve">   741510</v>
      </c>
      <c r="B8652" t="str">
        <f>T("   POINTES ET CLOUS, PUNAISES, CRAMPONS APPOINTES ET ARTICLES SIMILAIRES")</f>
        <v xml:space="preserve">   POINTES ET CLOUS, PUNAISES, CRAMPONS APPOINTES ET ARTICLES SIMILAIRES</v>
      </c>
      <c r="C8652" s="4">
        <v>212</v>
      </c>
      <c r="D8652" s="4">
        <v>88706</v>
      </c>
    </row>
    <row r="8653" spans="1:4" x14ac:dyDescent="0.25">
      <c r="A8653" t="str">
        <f>T("   760429")</f>
        <v xml:space="preserve">   760429</v>
      </c>
      <c r="B8653" t="str">
        <f>T("   AUTRES")</f>
        <v xml:space="preserve">   AUTRES</v>
      </c>
      <c r="C8653" s="4">
        <v>3387</v>
      </c>
      <c r="D8653" s="4">
        <v>4088810</v>
      </c>
    </row>
    <row r="8654" spans="1:4" x14ac:dyDescent="0.25">
      <c r="A8654" t="str">
        <f>T("   760719")</f>
        <v xml:space="preserve">   760719</v>
      </c>
      <c r="B8654" t="str">
        <f>T("   AUTRES")</f>
        <v xml:space="preserve">   AUTRES</v>
      </c>
      <c r="C8654" s="4">
        <v>20175</v>
      </c>
      <c r="D8654" s="4">
        <v>15482532</v>
      </c>
    </row>
    <row r="8655" spans="1:4" x14ac:dyDescent="0.25">
      <c r="A8655" t="str">
        <f>T("   761699")</f>
        <v xml:space="preserve">   761699</v>
      </c>
      <c r="B8655" t="str">
        <f>T("   AUTRES")</f>
        <v xml:space="preserve">   AUTRES</v>
      </c>
      <c r="C8655" s="4">
        <v>348</v>
      </c>
      <c r="D8655" s="4">
        <v>186104</v>
      </c>
    </row>
    <row r="8656" spans="1:4" x14ac:dyDescent="0.25">
      <c r="A8656" t="str">
        <f>T("   820420")</f>
        <v xml:space="preserve">   820420</v>
      </c>
      <c r="B8656" t="str">
        <f>T("   DOUILLES DE SERRAGE INTERCHANGEABLES, MEME AVEC MANCHES")</f>
        <v xml:space="preserve">   DOUILLES DE SERRAGE INTERCHANGEABLES, MEME AVEC MANCHES</v>
      </c>
      <c r="C8656" s="4">
        <v>119</v>
      </c>
      <c r="D8656" s="4">
        <v>142863</v>
      </c>
    </row>
    <row r="8657" spans="1:4" x14ac:dyDescent="0.25">
      <c r="A8657" t="str">
        <f>T("   820559")</f>
        <v xml:space="preserve">   820559</v>
      </c>
      <c r="B8657" t="str">
        <f>T("   AUTRES")</f>
        <v xml:space="preserve">   AUTRES</v>
      </c>
      <c r="C8657" s="4">
        <v>800</v>
      </c>
      <c r="D8657" s="4">
        <v>542120</v>
      </c>
    </row>
    <row r="8658" spans="1:4" x14ac:dyDescent="0.25">
      <c r="A8658" t="str">
        <f>T("   821210")</f>
        <v xml:space="preserve">   821210</v>
      </c>
      <c r="B8658" t="str">
        <f>T("   RASOIRS")</f>
        <v xml:space="preserve">   RASOIRS</v>
      </c>
      <c r="C8658" s="4">
        <v>121</v>
      </c>
      <c r="D8658" s="4">
        <v>226560</v>
      </c>
    </row>
    <row r="8659" spans="1:4" x14ac:dyDescent="0.25">
      <c r="A8659" t="str">
        <f>T("   821599")</f>
        <v xml:space="preserve">   821599</v>
      </c>
      <c r="B8659" t="str">
        <f>T("   AUTRES")</f>
        <v xml:space="preserve">   AUTRES</v>
      </c>
      <c r="C8659" s="4">
        <v>764456</v>
      </c>
      <c r="D8659" s="4">
        <v>278956397</v>
      </c>
    </row>
    <row r="8660" spans="1:4" x14ac:dyDescent="0.25">
      <c r="A8660" t="str">
        <f>T("   830130")</f>
        <v xml:space="preserve">   830130</v>
      </c>
      <c r="B8660" t="str">
        <f>T("   SERRURES DES TYPES UTILISES POUR MEUBLES")</f>
        <v xml:space="preserve">   SERRURES DES TYPES UTILISES POUR MEUBLES</v>
      </c>
      <c r="C8660" s="4">
        <v>360</v>
      </c>
      <c r="D8660" s="4">
        <v>62032</v>
      </c>
    </row>
    <row r="8661" spans="1:4" x14ac:dyDescent="0.25">
      <c r="A8661" t="str">
        <f>T("   830140")</f>
        <v xml:space="preserve">   830140</v>
      </c>
      <c r="B8661" t="str">
        <f>T("   AUTRES SERRURES; VERROUS")</f>
        <v xml:space="preserve">   AUTRES SERRURES; VERROUS</v>
      </c>
      <c r="C8661" s="4">
        <v>1347.7</v>
      </c>
      <c r="D8661" s="4">
        <v>2588613</v>
      </c>
    </row>
    <row r="8662" spans="1:4" x14ac:dyDescent="0.25">
      <c r="A8662" t="str">
        <f>T("   830300")</f>
        <v xml:space="preserve">   830300</v>
      </c>
      <c r="B8662" t="str">
        <f>T("   COFFRESFORTS, PORTES BLINDEES ET COMPARTIMENTS POUR CHAMBRES FORTES, COFFRES ET CASSET")</f>
        <v xml:space="preserve">   COFFRESFORTS, PORTES BLINDEES ET COMPARTIMENTS POUR CHAMBRES FORTES, COFFRES ET CASSET</v>
      </c>
      <c r="C8662" s="4">
        <v>2600</v>
      </c>
      <c r="D8662" s="4">
        <v>1969445</v>
      </c>
    </row>
    <row r="8663" spans="1:4" x14ac:dyDescent="0.25">
      <c r="A8663" t="str">
        <f>T("   830810")</f>
        <v xml:space="preserve">   830810</v>
      </c>
      <c r="B8663" t="str">
        <f>T("   AGRAFES, CROCHETS ET œILLETS")</f>
        <v xml:space="preserve">   AGRAFES, CROCHETS ET œILLETS</v>
      </c>
      <c r="C8663" s="4">
        <v>45</v>
      </c>
      <c r="D8663" s="4">
        <v>93750</v>
      </c>
    </row>
    <row r="8664" spans="1:4" x14ac:dyDescent="0.25">
      <c r="A8664" t="str">
        <f>T("   830990")</f>
        <v xml:space="preserve">   830990</v>
      </c>
      <c r="B8664" t="str">
        <f>T("   AUTRES")</f>
        <v xml:space="preserve">   AUTRES</v>
      </c>
      <c r="C8664" s="4">
        <v>81</v>
      </c>
      <c r="D8664" s="4">
        <v>35450</v>
      </c>
    </row>
    <row r="8665" spans="1:4" x14ac:dyDescent="0.25">
      <c r="A8665" t="str">
        <f>T("   831110")</f>
        <v xml:space="preserve">   831110</v>
      </c>
      <c r="B8665" t="str">
        <f>T("   ELECTRODES ENROBEES POUR LE SOUDAGE A L'ARC, EN METAUX COMMUNS")</f>
        <v xml:space="preserve">   ELECTRODES ENROBEES POUR LE SOUDAGE A L'ARC, EN METAUX COMMUNS</v>
      </c>
      <c r="C8665" s="4">
        <v>1998</v>
      </c>
      <c r="D8665" s="4">
        <v>615850</v>
      </c>
    </row>
    <row r="8666" spans="1:4" x14ac:dyDescent="0.25">
      <c r="A8666" t="str">
        <f>T("   831130")</f>
        <v xml:space="preserve">   831130</v>
      </c>
      <c r="B8666" t="str">
        <f>T("   BAGUETTES ENROBEES ET FILS FOURRES POUR LE BRASAGE OU LE SOUDAGE A LA FLAMME, EN META")</f>
        <v xml:space="preserve">   BAGUETTES ENROBEES ET FILS FOURRES POUR LE BRASAGE OU LE SOUDAGE A LA FLAMME, EN META</v>
      </c>
      <c r="C8666" s="4">
        <v>212</v>
      </c>
      <c r="D8666" s="4">
        <v>106000</v>
      </c>
    </row>
    <row r="8667" spans="1:4" x14ac:dyDescent="0.25">
      <c r="A8667" t="str">
        <f>T("   840410")</f>
        <v xml:space="preserve">   840410</v>
      </c>
      <c r="B8667" t="str">
        <f>T("   APPAREILS AUXILIAIRES POUR CHAUDIERES DES N°S 84.02 OU 84.03")</f>
        <v xml:space="preserve">   APPAREILS AUXILIAIRES POUR CHAUDIERES DES N°S 84.02 OU 84.03</v>
      </c>
      <c r="C8667" s="4">
        <v>100</v>
      </c>
      <c r="D8667" s="4">
        <v>101000</v>
      </c>
    </row>
    <row r="8668" spans="1:4" x14ac:dyDescent="0.25">
      <c r="A8668" t="str">
        <f>T("   840721")</f>
        <v xml:space="preserve">   840721</v>
      </c>
      <c r="B8668" t="str">
        <f>T("   DU TYPE HORSBORD")</f>
        <v xml:space="preserve">   DU TYPE HORSBORD</v>
      </c>
      <c r="C8668" s="4">
        <v>900</v>
      </c>
      <c r="D8668" s="4">
        <v>630800</v>
      </c>
    </row>
    <row r="8669" spans="1:4" x14ac:dyDescent="0.25">
      <c r="A8669" t="str">
        <f>T("   840734")</f>
        <v xml:space="preserve">   840734</v>
      </c>
      <c r="B8669" t="str">
        <f>T("   D'UNE CYLINDREE EXCEDANT 1.000 CM³")</f>
        <v xml:space="preserve">   D'UNE CYLINDREE EXCEDANT 1.000 CM³</v>
      </c>
      <c r="C8669" s="4">
        <v>101900</v>
      </c>
      <c r="D8669" s="4">
        <v>56986724</v>
      </c>
    </row>
    <row r="8670" spans="1:4" x14ac:dyDescent="0.25">
      <c r="A8670" t="str">
        <f>T("   840890")</f>
        <v xml:space="preserve">   840890</v>
      </c>
      <c r="B8670" t="str">
        <f>T("   AUTRES MOTEURS")</f>
        <v xml:space="preserve">   AUTRES MOTEURS</v>
      </c>
      <c r="C8670" s="4">
        <v>2350</v>
      </c>
      <c r="D8670" s="4">
        <v>2449684</v>
      </c>
    </row>
    <row r="8671" spans="1:4" x14ac:dyDescent="0.25">
      <c r="A8671" t="str">
        <f>T("   840999")</f>
        <v xml:space="preserve">   840999</v>
      </c>
      <c r="B8671" t="str">
        <f>T("   AUTRES")</f>
        <v xml:space="preserve">   AUTRES</v>
      </c>
      <c r="C8671" s="4">
        <v>24</v>
      </c>
      <c r="D8671" s="4">
        <v>298738</v>
      </c>
    </row>
    <row r="8672" spans="1:4" x14ac:dyDescent="0.25">
      <c r="A8672" t="str">
        <f>T("   841229")</f>
        <v xml:space="preserve">   841229</v>
      </c>
      <c r="B8672" t="str">
        <f>T("   AUTRES")</f>
        <v xml:space="preserve">   AUTRES</v>
      </c>
      <c r="C8672" s="4">
        <v>325</v>
      </c>
      <c r="D8672" s="4">
        <v>505420</v>
      </c>
    </row>
    <row r="8673" spans="1:4" x14ac:dyDescent="0.25">
      <c r="A8673" t="str">
        <f>T("   841311")</f>
        <v xml:space="preserve">   841311</v>
      </c>
      <c r="B8673" t="str">
        <f>T("   POMPES POUR LA DISTRIBUTION DE CARBURANTS OU DE LUBRIFIANTS, DES TYPES UTILISES DANS")</f>
        <v xml:space="preserve">   POMPES POUR LA DISTRIBUTION DE CARBURANTS OU DE LUBRIFIANTS, DES TYPES UTILISES DANS</v>
      </c>
      <c r="C8673" s="4">
        <v>150</v>
      </c>
      <c r="D8673" s="4">
        <v>692500</v>
      </c>
    </row>
    <row r="8674" spans="1:4" x14ac:dyDescent="0.25">
      <c r="A8674" t="str">
        <f>T("   841382")</f>
        <v xml:space="preserve">   841382</v>
      </c>
      <c r="B8674" t="str">
        <f>T("   ELEVATEURS A LIQUIDES")</f>
        <v xml:space="preserve">   ELEVATEURS A LIQUIDES</v>
      </c>
      <c r="C8674" s="4">
        <v>350</v>
      </c>
      <c r="D8674" s="4">
        <v>671612</v>
      </c>
    </row>
    <row r="8675" spans="1:4" x14ac:dyDescent="0.25">
      <c r="A8675" t="str">
        <f>T("   841420")</f>
        <v xml:space="preserve">   841420</v>
      </c>
      <c r="B8675" t="str">
        <f>T("   POMPES A AIR, A MAIN OU A PIED")</f>
        <v xml:space="preserve">   POMPES A AIR, A MAIN OU A PIED</v>
      </c>
      <c r="C8675" s="4">
        <v>410</v>
      </c>
      <c r="D8675" s="4">
        <v>370000</v>
      </c>
    </row>
    <row r="8676" spans="1:4" x14ac:dyDescent="0.25">
      <c r="A8676" t="str">
        <f>T("   841440")</f>
        <v xml:space="preserve">   841440</v>
      </c>
      <c r="B8676" t="str">
        <f>T("   COMPRESSEURS D'AIR MONTES SUR CHASSIS A ROUES ET REMORQUABLES")</f>
        <v xml:space="preserve">   COMPRESSEURS D'AIR MONTES SUR CHASSIS A ROUES ET REMORQUABLES</v>
      </c>
      <c r="C8676" s="4">
        <v>290</v>
      </c>
      <c r="D8676" s="4">
        <v>3541110</v>
      </c>
    </row>
    <row r="8677" spans="1:4" x14ac:dyDescent="0.25">
      <c r="A8677" t="str">
        <f>T("   841451")</f>
        <v xml:space="preserve">   841451</v>
      </c>
      <c r="B8677" t="str">
        <f>T("   VENTILATEURS DE TABLE, DE SOL, MURAUX, PLAFONNIERS, DE TOITURES OU DE FENETRES, A MO")</f>
        <v xml:space="preserve">   VENTILATEURS DE TABLE, DE SOL, MURAUX, PLAFONNIERS, DE TOITURES OU DE FENETRES, A MO</v>
      </c>
      <c r="C8677" s="4">
        <v>124240</v>
      </c>
      <c r="D8677" s="4">
        <v>82340589</v>
      </c>
    </row>
    <row r="8678" spans="1:4" x14ac:dyDescent="0.25">
      <c r="A8678" t="str">
        <f>T("   841510")</f>
        <v xml:space="preserve">   841510</v>
      </c>
      <c r="B8678" t="str">
        <f>T("   DU TYPE MURAL OU POUR FENETRES, FORMANT UN SEUL CORPS OU DU TYPE «SPLITSYSTEM» (SYST")</f>
        <v xml:space="preserve">   DU TYPE MURAL OU POUR FENETRES, FORMANT UN SEUL CORPS OU DU TYPE «SPLITSYSTEM» (SYST</v>
      </c>
      <c r="C8678" s="4">
        <v>19650</v>
      </c>
      <c r="D8678" s="4">
        <v>2953421</v>
      </c>
    </row>
    <row r="8679" spans="1:4" x14ac:dyDescent="0.25">
      <c r="A8679" t="str">
        <f>T("   841582")</f>
        <v xml:space="preserve">   841582</v>
      </c>
      <c r="B8679" t="str">
        <f>T("   AUTRES, AVEC DISPOSITIF DE REFRIGERATION")</f>
        <v xml:space="preserve">   AUTRES, AVEC DISPOSITIF DE REFRIGERATION</v>
      </c>
      <c r="C8679" s="4">
        <v>290</v>
      </c>
      <c r="D8679" s="4">
        <v>2158820</v>
      </c>
    </row>
    <row r="8680" spans="1:4" x14ac:dyDescent="0.25">
      <c r="A8680" t="str">
        <f>T("   841620")</f>
        <v xml:space="preserve">   841620</v>
      </c>
      <c r="B8680" t="str">
        <f>T("   AUTRES BRULEURS, Y COMPRIS LES BRULEURS MIXTES")</f>
        <v xml:space="preserve">   AUTRES BRULEURS, Y COMPRIS LES BRULEURS MIXTES</v>
      </c>
      <c r="C8680" s="4">
        <v>200</v>
      </c>
      <c r="D8680" s="4">
        <v>837000</v>
      </c>
    </row>
    <row r="8681" spans="1:4" x14ac:dyDescent="0.25">
      <c r="A8681" t="str">
        <f>T("   841690")</f>
        <v xml:space="preserve">   841690</v>
      </c>
      <c r="B8681" t="str">
        <f>T("   PARTIES")</f>
        <v xml:space="preserve">   PARTIES</v>
      </c>
      <c r="C8681" s="4">
        <v>150</v>
      </c>
      <c r="D8681" s="4">
        <v>112500</v>
      </c>
    </row>
    <row r="8682" spans="1:4" x14ac:dyDescent="0.25">
      <c r="A8682" t="str">
        <f>T("   841821")</f>
        <v xml:space="preserve">   841821</v>
      </c>
      <c r="B8682" t="str">
        <f>T("   A COMPRESSION")</f>
        <v xml:space="preserve">   A COMPRESSION</v>
      </c>
      <c r="C8682" s="4">
        <v>190400</v>
      </c>
      <c r="D8682" s="4">
        <v>410765795</v>
      </c>
    </row>
    <row r="8683" spans="1:4" x14ac:dyDescent="0.25">
      <c r="A8683" t="str">
        <f>T("   841830")</f>
        <v xml:space="preserve">   841830</v>
      </c>
      <c r="B8683" t="str">
        <f>T("   MEUBLES CONGELATEURSCONSERVATEURS DU TYPE COFFRE, D'UNE CAPACITE N'EXCEDANT PAS 800 ")</f>
        <v xml:space="preserve">   MEUBLES CONGELATEURSCONSERVATEURS DU TYPE COFFRE, D'UNE CAPACITE N'EXCEDANT PAS 800 </v>
      </c>
      <c r="C8683" s="4">
        <v>300</v>
      </c>
      <c r="D8683" s="4">
        <v>1089119</v>
      </c>
    </row>
    <row r="8684" spans="1:4" x14ac:dyDescent="0.25">
      <c r="A8684" t="str">
        <f>T("   841850")</f>
        <v xml:space="preserve">   841850</v>
      </c>
      <c r="B8684" t="str">
        <f>T("   AUTRES MEUBLES (COFFRES, ARMOIRES, VITRINES, COMPTOIRS ET SIMILAIRES), POUR LA CONSER")</f>
        <v xml:space="preserve">   AUTRES MEUBLES (COFFRES, ARMOIRES, VITRINES, COMPTOIRS ET SIMILAIRES), POUR LA CONSER</v>
      </c>
      <c r="C8684" s="4">
        <v>300</v>
      </c>
      <c r="D8684" s="4">
        <v>513600</v>
      </c>
    </row>
    <row r="8685" spans="1:4" x14ac:dyDescent="0.25">
      <c r="A8685" t="str">
        <f>T("   841899")</f>
        <v xml:space="preserve">   841899</v>
      </c>
      <c r="B8685" t="str">
        <f>T("   AUTRES")</f>
        <v xml:space="preserve">   AUTRES</v>
      </c>
      <c r="C8685" s="4">
        <v>8909</v>
      </c>
      <c r="D8685" s="4">
        <v>13481403</v>
      </c>
    </row>
    <row r="8686" spans="1:4" x14ac:dyDescent="0.25">
      <c r="A8686" t="str">
        <f>T("   841920")</f>
        <v xml:space="preserve">   841920</v>
      </c>
      <c r="B8686" t="str">
        <f>T("   STERILISATEURS MEDICOCHIRURGICAUX OU DE LABORATOIRES")</f>
        <v xml:space="preserve">   STERILISATEURS MEDICOCHIRURGICAUX OU DE LABORATOIRES</v>
      </c>
      <c r="C8686" s="4">
        <v>225</v>
      </c>
      <c r="D8686" s="4">
        <v>359800</v>
      </c>
    </row>
    <row r="8687" spans="1:4" x14ac:dyDescent="0.25">
      <c r="A8687" t="str">
        <f>T("   842123")</f>
        <v xml:space="preserve">   842123</v>
      </c>
      <c r="B8687" t="str">
        <f>T("   POUR LA FILTRATION DES HUILES MINERALES DANS LES MOTEURS A ALLUMAGE PAR ETINCELLES O")</f>
        <v xml:space="preserve">   POUR LA FILTRATION DES HUILES MINERALES DANS LES MOTEURS A ALLUMAGE PAR ETINCELLES O</v>
      </c>
      <c r="C8687" s="4">
        <v>150</v>
      </c>
      <c r="D8687" s="4">
        <v>191230</v>
      </c>
    </row>
    <row r="8688" spans="1:4" x14ac:dyDescent="0.25">
      <c r="A8688" t="str">
        <f>T("   842131")</f>
        <v xml:space="preserve">   842131</v>
      </c>
      <c r="B8688" t="str">
        <f>T("   FILTRES D'ENTREE D'AIR POUR MOTEURS A ALLUMAGE PAR ETINCELLES OU PAR COMPRESSION")</f>
        <v xml:space="preserve">   FILTRES D'ENTREE D'AIR POUR MOTEURS A ALLUMAGE PAR ETINCELLES OU PAR COMPRESSION</v>
      </c>
      <c r="C8688" s="4">
        <v>400</v>
      </c>
      <c r="D8688" s="4">
        <v>1641408</v>
      </c>
    </row>
    <row r="8689" spans="1:4" x14ac:dyDescent="0.25">
      <c r="A8689" t="str">
        <f>T("   842139")</f>
        <v xml:space="preserve">   842139</v>
      </c>
      <c r="B8689" t="str">
        <f>T("   AUTRES")</f>
        <v xml:space="preserve">   AUTRES</v>
      </c>
      <c r="C8689" s="4">
        <v>126</v>
      </c>
      <c r="D8689" s="4">
        <v>833289</v>
      </c>
    </row>
    <row r="8690" spans="1:4" x14ac:dyDescent="0.25">
      <c r="A8690" t="str">
        <f>T("   842230")</f>
        <v xml:space="preserve">   842230</v>
      </c>
      <c r="B8690" t="str">
        <f>T("   MACHINES ET APPAREILS A REMPLIR, FERMER, BOUCHER OU ETIQUETER LES BOUTEILLES, BOITES,")</f>
        <v xml:space="preserve">   MACHINES ET APPAREILS A REMPLIR, FERMER, BOUCHER OU ETIQUETER LES BOUTEILLES, BOITES,</v>
      </c>
      <c r="C8690" s="4">
        <v>2350</v>
      </c>
      <c r="D8690" s="4">
        <v>5868898</v>
      </c>
    </row>
    <row r="8691" spans="1:4" x14ac:dyDescent="0.25">
      <c r="A8691" t="str">
        <f>T("   842240")</f>
        <v xml:space="preserve">   842240</v>
      </c>
      <c r="B8691" t="str">
        <f>T("   AUTRES MACHINES ET APPAREILS A EMPAQUETER OU A EMBALLER LES MARCHANDISES (Y COMPRIS L")</f>
        <v xml:space="preserve">   AUTRES MACHINES ET APPAREILS A EMPAQUETER OU A EMBALLER LES MARCHANDISES (Y COMPRIS L</v>
      </c>
      <c r="C8691" s="4">
        <v>49750</v>
      </c>
      <c r="D8691" s="4">
        <v>110188024</v>
      </c>
    </row>
    <row r="8692" spans="1:4" x14ac:dyDescent="0.25">
      <c r="A8692" t="str">
        <f>T("   842381")</f>
        <v xml:space="preserve">   842381</v>
      </c>
      <c r="B8692" t="str">
        <f>T("   D'UNE PORTEE N'EXCEDANT PAS 30 KG")</f>
        <v xml:space="preserve">   D'UNE PORTEE N'EXCEDANT PAS 30 KG</v>
      </c>
      <c r="C8692" s="4">
        <v>204.5</v>
      </c>
      <c r="D8692" s="4">
        <v>649790</v>
      </c>
    </row>
    <row r="8693" spans="1:4" x14ac:dyDescent="0.25">
      <c r="A8693" t="str">
        <f>T("   842410")</f>
        <v xml:space="preserve">   842410</v>
      </c>
      <c r="B8693" t="str">
        <f>T("   EXTINCTEURS, MEME CHARGES")</f>
        <v xml:space="preserve">   EXTINCTEURS, MEME CHARGES</v>
      </c>
      <c r="C8693" s="4">
        <v>1208</v>
      </c>
      <c r="D8693" s="4">
        <v>1180600</v>
      </c>
    </row>
    <row r="8694" spans="1:4" x14ac:dyDescent="0.25">
      <c r="A8694" t="str">
        <f>T("   842490")</f>
        <v xml:space="preserve">   842490</v>
      </c>
      <c r="B8694" t="str">
        <f>T("   PARTIES")</f>
        <v xml:space="preserve">   PARTIES</v>
      </c>
      <c r="C8694" s="4">
        <v>208</v>
      </c>
      <c r="D8694" s="4">
        <v>249600</v>
      </c>
    </row>
    <row r="8695" spans="1:4" x14ac:dyDescent="0.25">
      <c r="A8695" t="str">
        <f>T("   842620")</f>
        <v xml:space="preserve">   842620</v>
      </c>
      <c r="B8695" t="str">
        <f>T("   Grues a tour")</f>
        <v xml:space="preserve">   Grues a tour</v>
      </c>
      <c r="C8695" s="4">
        <v>393000</v>
      </c>
      <c r="D8695" s="4">
        <v>74157591</v>
      </c>
    </row>
    <row r="8696" spans="1:4" x14ac:dyDescent="0.25">
      <c r="A8696" t="str">
        <f>T("   842919")</f>
        <v xml:space="preserve">   842919</v>
      </c>
      <c r="B8696" t="str">
        <f>T("   AUTRES")</f>
        <v xml:space="preserve">   AUTRES</v>
      </c>
      <c r="C8696" s="4">
        <v>20250</v>
      </c>
      <c r="D8696" s="4">
        <v>7331519</v>
      </c>
    </row>
    <row r="8697" spans="1:4" x14ac:dyDescent="0.25">
      <c r="A8697" t="str">
        <f>T("   842940")</f>
        <v xml:space="preserve">   842940</v>
      </c>
      <c r="B8697" t="str">
        <f>T("   COMPACTEUSES ET ROULEAUX COMPRESSEURS")</f>
        <v xml:space="preserve">   COMPACTEUSES ET ROULEAUX COMPRESSEURS</v>
      </c>
      <c r="C8697" s="4">
        <v>86725</v>
      </c>
      <c r="D8697" s="4">
        <v>60880234</v>
      </c>
    </row>
    <row r="8698" spans="1:4" x14ac:dyDescent="0.25">
      <c r="A8698" t="str">
        <f>T("   842951")</f>
        <v xml:space="preserve">   842951</v>
      </c>
      <c r="B8698" t="str">
        <f>T("   CHARGEUSES ET CHARGEUSESPELLETEUSES A CHARGEMENT FRONTAL")</f>
        <v xml:space="preserve">   CHARGEUSES ET CHARGEUSESPELLETEUSES A CHARGEMENT FRONTAL</v>
      </c>
      <c r="C8698" s="4">
        <v>4000</v>
      </c>
      <c r="D8698" s="4">
        <v>4779802</v>
      </c>
    </row>
    <row r="8699" spans="1:4" x14ac:dyDescent="0.25">
      <c r="A8699" t="str">
        <f>T("   842959")</f>
        <v xml:space="preserve">   842959</v>
      </c>
      <c r="B8699" t="str">
        <f>T("   AUTRES")</f>
        <v xml:space="preserve">   AUTRES</v>
      </c>
      <c r="C8699" s="4">
        <v>40242</v>
      </c>
      <c r="D8699" s="4">
        <v>8226152</v>
      </c>
    </row>
    <row r="8700" spans="1:4" x14ac:dyDescent="0.25">
      <c r="A8700" t="str">
        <f>T("   843120")</f>
        <v xml:space="preserve">   843120</v>
      </c>
      <c r="B8700" t="str">
        <f>T("   DE MACHINES OU APPAREILS DU N° 84.27")</f>
        <v xml:space="preserve">   DE MACHINES OU APPAREILS DU N° 84.27</v>
      </c>
      <c r="C8700" s="4">
        <v>415</v>
      </c>
      <c r="D8700" s="4">
        <v>7187485</v>
      </c>
    </row>
    <row r="8701" spans="1:4" x14ac:dyDescent="0.25">
      <c r="A8701" t="str">
        <f>T("   843143")</f>
        <v xml:space="preserve">   843143</v>
      </c>
      <c r="B8701" t="str">
        <f>T("   PARTIES DE MACHINES DE SONDAGE OU DE FORAGE DES N°S 8430.41 OU 8430.49")</f>
        <v xml:space="preserve">   PARTIES DE MACHINES DE SONDAGE OU DE FORAGE DES N°S 8430.41 OU 8430.49</v>
      </c>
      <c r="C8701" s="4">
        <v>600</v>
      </c>
      <c r="D8701" s="4">
        <v>1206450</v>
      </c>
    </row>
    <row r="8702" spans="1:4" x14ac:dyDescent="0.25">
      <c r="A8702" t="str">
        <f>T("   843149")</f>
        <v xml:space="preserve">   843149</v>
      </c>
      <c r="B8702" t="str">
        <f>T("   AUTRES")</f>
        <v xml:space="preserve">   AUTRES</v>
      </c>
      <c r="C8702" s="4">
        <v>710</v>
      </c>
      <c r="D8702" s="4">
        <v>410764</v>
      </c>
    </row>
    <row r="8703" spans="1:4" x14ac:dyDescent="0.25">
      <c r="A8703" t="str">
        <f>T("   843311")</f>
        <v xml:space="preserve">   843311</v>
      </c>
      <c r="B8703" t="str">
        <f>T("   A MOTEUR, DONT LE DISPOSITIF DE COUPE TOURNE DANS UN PLAN HORIZONTAL")</f>
        <v xml:space="preserve">   A MOTEUR, DONT LE DISPOSITIF DE COUPE TOURNE DANS UN PLAN HORIZONTAL</v>
      </c>
      <c r="C8703" s="4">
        <v>300</v>
      </c>
      <c r="D8703" s="4">
        <v>298500</v>
      </c>
    </row>
    <row r="8704" spans="1:4" x14ac:dyDescent="0.25">
      <c r="A8704" t="str">
        <f>T("   843490")</f>
        <v xml:space="preserve">   843490</v>
      </c>
      <c r="B8704" t="str">
        <f>T("   PARTIES")</f>
        <v xml:space="preserve">   PARTIES</v>
      </c>
      <c r="C8704" s="4">
        <v>772</v>
      </c>
      <c r="D8704" s="4">
        <v>447760</v>
      </c>
    </row>
    <row r="8705" spans="1:4" x14ac:dyDescent="0.25">
      <c r="A8705" t="str">
        <f>T("   843780")</f>
        <v xml:space="preserve">   843780</v>
      </c>
      <c r="B8705" t="str">
        <f>T("   AUTRES MACHINES ET APPAREILS")</f>
        <v xml:space="preserve">   AUTRES MACHINES ET APPAREILS</v>
      </c>
      <c r="C8705" s="4">
        <v>12850</v>
      </c>
      <c r="D8705" s="4">
        <v>8472436</v>
      </c>
    </row>
    <row r="8706" spans="1:4" x14ac:dyDescent="0.25">
      <c r="A8706" t="str">
        <f>T("   843790")</f>
        <v xml:space="preserve">   843790</v>
      </c>
      <c r="B8706" t="str">
        <f>T("   PARTIES")</f>
        <v xml:space="preserve">   PARTIES</v>
      </c>
      <c r="C8706" s="4">
        <v>177890</v>
      </c>
      <c r="D8706" s="4">
        <v>103046476</v>
      </c>
    </row>
    <row r="8707" spans="1:4" x14ac:dyDescent="0.25">
      <c r="A8707" t="str">
        <f>T("   844250")</f>
        <v xml:space="preserve">   844250</v>
      </c>
      <c r="B8707" t="str">
        <f>T("   CLICHES, PLANCHES, CYLINDRES ET AUTRES ORGANES IMPRIMANTS; PIERRES LITHOGRAPHIQUES, P")</f>
        <v xml:space="preserve">   CLICHES, PLANCHES, CYLINDRES ET AUTRES ORGANES IMPRIMANTS; PIERRES LITHOGRAPHIQUES, P</v>
      </c>
      <c r="C8707" s="4">
        <v>20</v>
      </c>
      <c r="D8707" s="4">
        <v>114200</v>
      </c>
    </row>
    <row r="8708" spans="1:4" x14ac:dyDescent="0.25">
      <c r="A8708" t="str">
        <f>T("   844720")</f>
        <v xml:space="preserve">   844720</v>
      </c>
      <c r="B8708" t="str">
        <f>T("   METIERS A BONNETERIE RECTILIGNES; MACHINES DE COUTURETRICOTAGE")</f>
        <v xml:space="preserve">   METIERS A BONNETERIE RECTILIGNES; MACHINES DE COUTURETRICOTAGE</v>
      </c>
      <c r="C8708" s="4">
        <v>100</v>
      </c>
      <c r="D8708" s="4">
        <v>30063</v>
      </c>
    </row>
    <row r="8709" spans="1:4" x14ac:dyDescent="0.25">
      <c r="A8709" t="str">
        <f>T("   845140")</f>
        <v xml:space="preserve">   845140</v>
      </c>
      <c r="B8709" t="str">
        <f>T("   MACHINES POUR LE LAVAGE, LE BLANCHIMENT OU LA TEINTURE")</f>
        <v xml:space="preserve">   MACHINES POUR LE LAVAGE, LE BLANCHIMENT OU LA TEINTURE</v>
      </c>
      <c r="C8709" s="4">
        <v>895</v>
      </c>
      <c r="D8709" s="4">
        <v>1132675</v>
      </c>
    </row>
    <row r="8710" spans="1:4" x14ac:dyDescent="0.25">
      <c r="A8710" t="str">
        <f>T("   845150")</f>
        <v xml:space="preserve">   845150</v>
      </c>
      <c r="B8710" t="str">
        <f>T("   MACHINES A ENROULER, DEROULER, PLIER, COUPER OU DENTELER LES TISSUS")</f>
        <v xml:space="preserve">   MACHINES A ENROULER, DEROULER, PLIER, COUPER OU DENTELER LES TISSUS</v>
      </c>
      <c r="C8710" s="4">
        <v>100</v>
      </c>
      <c r="D8710" s="4">
        <v>30000</v>
      </c>
    </row>
    <row r="8711" spans="1:4" x14ac:dyDescent="0.25">
      <c r="A8711" t="str">
        <f>T("   845210")</f>
        <v xml:space="preserve">   845210</v>
      </c>
      <c r="B8711" t="str">
        <f>T("   Machines a coudre de type menager")</f>
        <v xml:space="preserve">   Machines a coudre de type menager</v>
      </c>
      <c r="C8711" s="4">
        <v>2045</v>
      </c>
      <c r="D8711" s="4">
        <v>2353412</v>
      </c>
    </row>
    <row r="8712" spans="1:4" x14ac:dyDescent="0.25">
      <c r="A8712" t="str">
        <f>T("   845290")</f>
        <v xml:space="preserve">   845290</v>
      </c>
      <c r="B8712" t="str">
        <f>T("   MEUBLES, EMBASES ET COUVERCLES POUR MACHINES A COUDRE ET LEURS PARTIES; AUTRES PARTIE")</f>
        <v xml:space="preserve">   MEUBLES, EMBASES ET COUVERCLES POUR MACHINES A COUDRE ET LEURS PARTIES; AUTRES PARTIE</v>
      </c>
      <c r="C8712" s="4">
        <v>43</v>
      </c>
      <c r="D8712" s="4">
        <v>48000</v>
      </c>
    </row>
    <row r="8713" spans="1:4" x14ac:dyDescent="0.25">
      <c r="A8713" t="str">
        <f>T("   845929")</f>
        <v xml:space="preserve">   845929</v>
      </c>
      <c r="B8713" t="str">
        <f>T("   AUTRES")</f>
        <v xml:space="preserve">   AUTRES</v>
      </c>
      <c r="C8713" s="4">
        <v>500</v>
      </c>
      <c r="D8713" s="4">
        <v>513500</v>
      </c>
    </row>
    <row r="8714" spans="1:4" x14ac:dyDescent="0.25">
      <c r="A8714" t="str">
        <f>T("   846150")</f>
        <v xml:space="preserve">   846150</v>
      </c>
      <c r="B8714" t="str">
        <f>T("   MACHINES A SCIER OU A TRONCONNER")</f>
        <v xml:space="preserve">   MACHINES A SCIER OU A TRONCONNER</v>
      </c>
      <c r="C8714" s="4">
        <v>100</v>
      </c>
      <c r="D8714" s="4">
        <v>101690</v>
      </c>
    </row>
    <row r="8715" spans="1:4" x14ac:dyDescent="0.25">
      <c r="A8715" t="str">
        <f>T("   846190")</f>
        <v xml:space="preserve">   846190</v>
      </c>
      <c r="B8715" t="str">
        <f>T("   AUTRES")</f>
        <v xml:space="preserve">   AUTRES</v>
      </c>
      <c r="C8715" s="4">
        <v>280</v>
      </c>
      <c r="D8715" s="4">
        <v>364000</v>
      </c>
    </row>
    <row r="8716" spans="1:4" x14ac:dyDescent="0.25">
      <c r="A8716" t="str">
        <f>T("   846591")</f>
        <v xml:space="preserve">   846591</v>
      </c>
      <c r="B8716" t="str">
        <f>T("   MACHINES A SCIER")</f>
        <v xml:space="preserve">   MACHINES A SCIER</v>
      </c>
      <c r="C8716" s="4">
        <v>10000</v>
      </c>
      <c r="D8716" s="4">
        <v>7544969</v>
      </c>
    </row>
    <row r="8717" spans="1:4" x14ac:dyDescent="0.25">
      <c r="A8717" t="str">
        <f>T("   847110")</f>
        <v xml:space="preserve">   847110</v>
      </c>
      <c r="B8717" t="str">
        <f>T("   MACHINES AUTOMATIQUES DE TRAITEMENT DE L'INFORMATION ANALOGIQUES,HYBRIDES")</f>
        <v xml:space="preserve">   MACHINES AUTOMATIQUES DE TRAITEMENT DE L'INFORMATION ANALOGIQUES,HYBRIDES</v>
      </c>
      <c r="C8717" s="4">
        <v>3619</v>
      </c>
      <c r="D8717" s="4">
        <v>9626144</v>
      </c>
    </row>
    <row r="8718" spans="1:4" x14ac:dyDescent="0.25">
      <c r="A8718" t="str">
        <f>T("   847149")</f>
        <v xml:space="preserve">   847149</v>
      </c>
      <c r="B8718" t="str">
        <f>T("   AUTRES, SE PRESENTANT SOUS FORME DE SYSTEMES")</f>
        <v xml:space="preserve">   AUTRES, SE PRESENTANT SOUS FORME DE SYSTEMES</v>
      </c>
      <c r="C8718" s="4">
        <v>25337</v>
      </c>
      <c r="D8718" s="4">
        <v>51094404</v>
      </c>
    </row>
    <row r="8719" spans="1:4" x14ac:dyDescent="0.25">
      <c r="A8719" t="str">
        <f>T("   847180")</f>
        <v xml:space="preserve">   847180</v>
      </c>
      <c r="B8719" t="str">
        <f>T("   AUTRES UNITES DE MACHINES AUTOMATIQUES DE TRAITEMENT DE L'INFORMATION")</f>
        <v xml:space="preserve">   AUTRES UNITES DE MACHINES AUTOMATIQUES DE TRAITEMENT DE L'INFORMATION</v>
      </c>
      <c r="C8719" s="4">
        <v>11518</v>
      </c>
      <c r="D8719" s="4">
        <v>15326399</v>
      </c>
    </row>
    <row r="8720" spans="1:4" x14ac:dyDescent="0.25">
      <c r="A8720" t="str">
        <f>T("   847190")</f>
        <v xml:space="preserve">   847190</v>
      </c>
      <c r="B8720" t="str">
        <f>T("   AUTRES")</f>
        <v xml:space="preserve">   AUTRES</v>
      </c>
      <c r="C8720" s="4">
        <v>6852</v>
      </c>
      <c r="D8720" s="4">
        <v>22178111</v>
      </c>
    </row>
    <row r="8721" spans="1:4" x14ac:dyDescent="0.25">
      <c r="A8721" t="str">
        <f>T("   847290")</f>
        <v xml:space="preserve">   847290</v>
      </c>
      <c r="B8721" t="str">
        <f>T("   AUTRES")</f>
        <v xml:space="preserve">   AUTRES</v>
      </c>
      <c r="C8721" s="4">
        <v>23</v>
      </c>
      <c r="D8721" s="4">
        <v>3685362</v>
      </c>
    </row>
    <row r="8722" spans="1:4" x14ac:dyDescent="0.25">
      <c r="A8722" t="str">
        <f>T("   847759")</f>
        <v xml:space="preserve">   847759</v>
      </c>
      <c r="B8722" t="str">
        <f>T("   AUTRES")</f>
        <v xml:space="preserve">   AUTRES</v>
      </c>
      <c r="C8722" s="4">
        <v>50</v>
      </c>
      <c r="D8722" s="4">
        <v>71620</v>
      </c>
    </row>
    <row r="8723" spans="1:4" x14ac:dyDescent="0.25">
      <c r="A8723" t="str">
        <f>T("   847989")</f>
        <v xml:space="preserve">   847989</v>
      </c>
      <c r="B8723" t="str">
        <f>T("   AUTRES")</f>
        <v xml:space="preserve">   AUTRES</v>
      </c>
      <c r="C8723" s="4">
        <v>800</v>
      </c>
      <c r="D8723" s="4">
        <v>3678059</v>
      </c>
    </row>
    <row r="8724" spans="1:4" x14ac:dyDescent="0.25">
      <c r="A8724" t="str">
        <f>T("   848180")</f>
        <v xml:space="preserve">   848180</v>
      </c>
      <c r="B8724" t="str">
        <f>T("   Autres articles de robinetterie et organes similaires")</f>
        <v xml:space="preserve">   Autres articles de robinetterie et organes similaires</v>
      </c>
      <c r="C8724" s="4">
        <v>18733</v>
      </c>
      <c r="D8724" s="4">
        <v>19726436</v>
      </c>
    </row>
    <row r="8725" spans="1:4" x14ac:dyDescent="0.25">
      <c r="A8725" t="str">
        <f>T("   850131")</f>
        <v xml:space="preserve">   850131</v>
      </c>
      <c r="B8725" t="str">
        <f>T("   D'UNE PUISSANCE N'EXCEDANT PAS 750 W")</f>
        <v xml:space="preserve">   D'UNE PUISSANCE N'EXCEDANT PAS 750 W</v>
      </c>
      <c r="C8725" s="4">
        <v>10200</v>
      </c>
      <c r="D8725" s="4">
        <v>4007067</v>
      </c>
    </row>
    <row r="8726" spans="1:4" x14ac:dyDescent="0.25">
      <c r="A8726" t="str">
        <f>T("   850211")</f>
        <v xml:space="preserve">   850211</v>
      </c>
      <c r="B8726" t="str">
        <f>T("   D'UNE PUISSANCE N'EXCEDANT PAS 75 KVA")</f>
        <v xml:space="preserve">   D'UNE PUISSANCE N'EXCEDANT PAS 75 KVA</v>
      </c>
      <c r="C8726" s="4">
        <v>10240</v>
      </c>
      <c r="D8726" s="4">
        <v>12092571</v>
      </c>
    </row>
    <row r="8727" spans="1:4" x14ac:dyDescent="0.25">
      <c r="A8727" t="str">
        <f>T("   850212")</f>
        <v xml:space="preserve">   850212</v>
      </c>
      <c r="B8727" t="str">
        <f>T("   D'UNE PUISSANCE EXCEDANT 75 KVA MAIS N'EXCEDANT PAS 375 KVA")</f>
        <v xml:space="preserve">   D'UNE PUISSANCE EXCEDANT 75 KVA MAIS N'EXCEDANT PAS 375 KVA</v>
      </c>
      <c r="C8727" s="4">
        <v>1500</v>
      </c>
      <c r="D8727" s="4">
        <v>6336000</v>
      </c>
    </row>
    <row r="8728" spans="1:4" x14ac:dyDescent="0.25">
      <c r="A8728" t="str">
        <f>T("   850220")</f>
        <v xml:space="preserve">   850220</v>
      </c>
      <c r="B8728" t="str">
        <f>T("   GROUPES ELECTROGENES A MOTEUR A PISTON A ALLUMAGE PAR ETINCELLES (MOTEURS A EXPLOSION")</f>
        <v xml:space="preserve">   GROUPES ELECTROGENES A MOTEUR A PISTON A ALLUMAGE PAR ETINCELLES (MOTEURS A EXPLOSION</v>
      </c>
      <c r="C8728" s="4">
        <v>801217</v>
      </c>
      <c r="D8728" s="4">
        <v>686190261</v>
      </c>
    </row>
    <row r="8729" spans="1:4" x14ac:dyDescent="0.25">
      <c r="A8729" t="str">
        <f>T("   850239")</f>
        <v xml:space="preserve">   850239</v>
      </c>
      <c r="B8729" t="str">
        <f>T("   AUTRES")</f>
        <v xml:space="preserve">   AUTRES</v>
      </c>
      <c r="C8729" s="4">
        <v>10240</v>
      </c>
      <c r="D8729" s="4">
        <v>73430080</v>
      </c>
    </row>
    <row r="8730" spans="1:4" x14ac:dyDescent="0.25">
      <c r="A8730" t="str">
        <f>T("   850300")</f>
        <v xml:space="preserve">   850300</v>
      </c>
      <c r="B8730" t="str">
        <f>T("   PARTIES RECONNAISSABLES COMME ETANT EXCLUSIVEMENT OU PRINCIPALEMENT DESTINEES AUX MACHI")</f>
        <v xml:space="preserve">   PARTIES RECONNAISSABLES COMME ETANT EXCLUSIVEMENT OU PRINCIPALEMENT DESTINEES AUX MACHI</v>
      </c>
      <c r="C8730" s="4">
        <v>1200</v>
      </c>
      <c r="D8730" s="4">
        <v>1275000</v>
      </c>
    </row>
    <row r="8731" spans="1:4" x14ac:dyDescent="0.25">
      <c r="A8731" t="str">
        <f>T("   850421")</f>
        <v xml:space="preserve">   850421</v>
      </c>
      <c r="B8731" t="str">
        <f>T("   D'UNE PUISSANCE N'EXCEDANT PAS 650 KVA")</f>
        <v xml:space="preserve">   D'UNE PUISSANCE N'EXCEDANT PAS 650 KVA</v>
      </c>
      <c r="C8731" s="4">
        <v>250</v>
      </c>
      <c r="D8731" s="4">
        <v>269600</v>
      </c>
    </row>
    <row r="8732" spans="1:4" x14ac:dyDescent="0.25">
      <c r="A8732" t="str">
        <f>T("   850422")</f>
        <v xml:space="preserve">   850422</v>
      </c>
      <c r="B8732" t="str">
        <f>T("   D'UNE PUISSANCE EXCEDANT 650 KVA MAIS N'EXCEDANT PAS 10.000 KVA")</f>
        <v xml:space="preserve">   D'UNE PUISSANCE EXCEDANT 650 KVA MAIS N'EXCEDANT PAS 10.000 KVA</v>
      </c>
      <c r="C8732" s="4">
        <v>3280</v>
      </c>
      <c r="D8732" s="4">
        <v>3500000</v>
      </c>
    </row>
    <row r="8733" spans="1:4" x14ac:dyDescent="0.25">
      <c r="A8733" t="str">
        <f>T("   850431")</f>
        <v xml:space="preserve">   850431</v>
      </c>
      <c r="B8733" t="str">
        <f>T("   D'UNE PUISSANCE N'EXCEDANT PAS 1 KVA")</f>
        <v xml:space="preserve">   D'UNE PUISSANCE N'EXCEDANT PAS 1 KVA</v>
      </c>
      <c r="C8733" s="4">
        <v>1405</v>
      </c>
      <c r="D8733" s="4">
        <v>2162600</v>
      </c>
    </row>
    <row r="8734" spans="1:4" x14ac:dyDescent="0.25">
      <c r="A8734" t="str">
        <f>T("   850432")</f>
        <v xml:space="preserve">   850432</v>
      </c>
      <c r="B8734" t="str">
        <f>T("   D'UNE PUISSANCE EXCEDANT 1 KVA MAIS N'EXCEDANT PAS 16 KVA")</f>
        <v xml:space="preserve">   D'UNE PUISSANCE EXCEDANT 1 KVA MAIS N'EXCEDANT PAS 16 KVA</v>
      </c>
      <c r="C8734" s="4">
        <v>2700</v>
      </c>
      <c r="D8734" s="4">
        <v>1300000</v>
      </c>
    </row>
    <row r="8735" spans="1:4" x14ac:dyDescent="0.25">
      <c r="A8735" t="str">
        <f>T("   850433")</f>
        <v xml:space="preserve">   850433</v>
      </c>
      <c r="B8735" t="str">
        <f>T("   D'UNE PUISSANCE EXCEDANT 16 KVA MAIS N'EXCEDANT PAS 500 KVA")</f>
        <v xml:space="preserve">   D'UNE PUISSANCE EXCEDANT 16 KVA MAIS N'EXCEDANT PAS 500 KVA</v>
      </c>
      <c r="C8735" s="4">
        <v>1800</v>
      </c>
      <c r="D8735" s="4">
        <v>1500000</v>
      </c>
    </row>
    <row r="8736" spans="1:4" x14ac:dyDescent="0.25">
      <c r="A8736" t="str">
        <f>T("   850490")</f>
        <v xml:space="preserve">   850490</v>
      </c>
      <c r="B8736" t="str">
        <f>T("   PARTIES")</f>
        <v xml:space="preserve">   PARTIES</v>
      </c>
      <c r="C8736" s="4">
        <v>50</v>
      </c>
      <c r="D8736" s="4">
        <v>67500</v>
      </c>
    </row>
    <row r="8737" spans="1:4" x14ac:dyDescent="0.25">
      <c r="A8737" t="str">
        <f>T("   850690")</f>
        <v xml:space="preserve">   850690</v>
      </c>
      <c r="B8737" t="str">
        <f>T("   PARTIES")</f>
        <v xml:space="preserve">   PARTIES</v>
      </c>
      <c r="C8737" s="4">
        <v>1324</v>
      </c>
      <c r="D8737" s="4">
        <v>865226</v>
      </c>
    </row>
    <row r="8738" spans="1:4" x14ac:dyDescent="0.25">
      <c r="A8738" t="str">
        <f>T("   850710")</f>
        <v xml:space="preserve">   850710</v>
      </c>
      <c r="B8738" t="str">
        <f>T("   AU PLOMB, DES TYPES UTILISES POUR LE DEMARRAGE DES MOTEURS A PISTON")</f>
        <v xml:space="preserve">   AU PLOMB, DES TYPES UTILISES POUR LE DEMARRAGE DES MOTEURS A PISTON</v>
      </c>
      <c r="C8738" s="4">
        <v>150202</v>
      </c>
      <c r="D8738" s="4">
        <v>160121775</v>
      </c>
    </row>
    <row r="8739" spans="1:4" x14ac:dyDescent="0.25">
      <c r="A8739" t="str">
        <f>T("   850780")</f>
        <v xml:space="preserve">   850780</v>
      </c>
      <c r="B8739" t="str">
        <f>T("   AUTRES ACCUMULATEURS")</f>
        <v xml:space="preserve">   AUTRES ACCUMULATEURS</v>
      </c>
      <c r="C8739" s="4">
        <v>2950</v>
      </c>
      <c r="D8739" s="4">
        <v>5337283</v>
      </c>
    </row>
    <row r="8740" spans="1:4" x14ac:dyDescent="0.25">
      <c r="A8740" t="str">
        <f>T("   850910")</f>
        <v xml:space="preserve">   850910</v>
      </c>
      <c r="B8740" t="str">
        <f>T("   ASPIRATEURS DE POUSSIERES A USAGE DOMESTIQUE")</f>
        <v xml:space="preserve">   ASPIRATEURS DE POUSSIERES A USAGE DOMESTIQUE</v>
      </c>
      <c r="C8740" s="4">
        <v>50</v>
      </c>
      <c r="D8740" s="4">
        <v>150000</v>
      </c>
    </row>
    <row r="8741" spans="1:4" x14ac:dyDescent="0.25">
      <c r="A8741" t="str">
        <f>T("   850940")</f>
        <v xml:space="preserve">   850940</v>
      </c>
      <c r="B8741" t="str">
        <f>T("   BROYEURS ET MELANGEURS POUR ALIMENTS; PRESSEFRUITS ET PRESSELEGUMES")</f>
        <v xml:space="preserve">   BROYEURS ET MELANGEURS POUR ALIMENTS; PRESSEFRUITS ET PRESSELEGUMES</v>
      </c>
      <c r="C8741" s="4">
        <v>22</v>
      </c>
      <c r="D8741" s="4">
        <v>49000</v>
      </c>
    </row>
    <row r="8742" spans="1:4" x14ac:dyDescent="0.25">
      <c r="A8742" t="str">
        <f>T("   850990")</f>
        <v xml:space="preserve">   850990</v>
      </c>
      <c r="B8742" t="str">
        <f>T("   PARTIES")</f>
        <v xml:space="preserve">   PARTIES</v>
      </c>
      <c r="C8742" s="4">
        <v>20</v>
      </c>
      <c r="D8742" s="4">
        <v>45000</v>
      </c>
    </row>
    <row r="8743" spans="1:4" x14ac:dyDescent="0.25">
      <c r="A8743" t="str">
        <f>T("   851220")</f>
        <v xml:space="preserve">   851220</v>
      </c>
      <c r="B8743" t="str">
        <f>T("   AUTRES APPAREILS D'ECLAIRAGE OU DE SIGNALISATION VISUELLE")</f>
        <v xml:space="preserve">   AUTRES APPAREILS D'ECLAIRAGE OU DE SIGNALISATION VISUELLE</v>
      </c>
      <c r="C8743" s="4">
        <v>20</v>
      </c>
      <c r="D8743" s="4">
        <v>8000</v>
      </c>
    </row>
    <row r="8744" spans="1:4" x14ac:dyDescent="0.25">
      <c r="A8744" t="str">
        <f>T("   851310")</f>
        <v xml:space="preserve">   851310</v>
      </c>
      <c r="B8744" t="str">
        <f>T("   LAMPES")</f>
        <v xml:space="preserve">   LAMPES</v>
      </c>
      <c r="C8744" s="4">
        <v>1807</v>
      </c>
      <c r="D8744" s="4">
        <v>827554</v>
      </c>
    </row>
    <row r="8745" spans="1:4" x14ac:dyDescent="0.25">
      <c r="A8745" t="str">
        <f>T("   851529")</f>
        <v xml:space="preserve">   851529</v>
      </c>
      <c r="B8745" t="str">
        <f>T("   AUTRES")</f>
        <v xml:space="preserve">   AUTRES</v>
      </c>
      <c r="C8745" s="4">
        <v>200</v>
      </c>
      <c r="D8745" s="4">
        <v>244924</v>
      </c>
    </row>
    <row r="8746" spans="1:4" x14ac:dyDescent="0.25">
      <c r="A8746" t="str">
        <f>T("   851640")</f>
        <v xml:space="preserve">   851640</v>
      </c>
      <c r="B8746" t="str">
        <f>T("   Fers a repasser electriques")</f>
        <v xml:space="preserve">   Fers a repasser electriques</v>
      </c>
      <c r="C8746" s="4">
        <v>1</v>
      </c>
      <c r="D8746" s="4">
        <v>10000</v>
      </c>
    </row>
    <row r="8747" spans="1:4" x14ac:dyDescent="0.25">
      <c r="A8747" t="str">
        <f>T("   851660")</f>
        <v xml:space="preserve">   851660</v>
      </c>
      <c r="B8747" t="str">
        <f>T("   AUTRES FOURS; CUISINIERES, RECHAUDS (Y COMPRIS LES TABLES DE CUISSON), GRILS ET ROTIS")</f>
        <v xml:space="preserve">   AUTRES FOURS; CUISINIERES, RECHAUDS (Y COMPRIS LES TABLES DE CUISSON), GRILS ET ROTIS</v>
      </c>
      <c r="C8747" s="4">
        <v>602</v>
      </c>
      <c r="D8747" s="4">
        <v>746800</v>
      </c>
    </row>
    <row r="8748" spans="1:4" x14ac:dyDescent="0.25">
      <c r="A8748" t="str">
        <f>T("   851711")</f>
        <v xml:space="preserve">   851711</v>
      </c>
      <c r="B8748" t="str">
        <f>T("   POSTES TELEPHONIQUES D'USAGERS PAR FIL A COMBINES SANS FIL")</f>
        <v xml:space="preserve">   POSTES TELEPHONIQUES D'USAGERS PAR FIL A COMBINES SANS FIL</v>
      </c>
      <c r="C8748" s="4">
        <v>100</v>
      </c>
      <c r="D8748" s="4">
        <v>247000</v>
      </c>
    </row>
    <row r="8749" spans="1:4" x14ac:dyDescent="0.25">
      <c r="A8749" t="str">
        <f>T("   851769")</f>
        <v xml:space="preserve">   851769</v>
      </c>
      <c r="B8749" t="str">
        <f>T("   AUTRES")</f>
        <v xml:space="preserve">   AUTRES</v>
      </c>
      <c r="C8749" s="4">
        <v>15</v>
      </c>
      <c r="D8749" s="4">
        <v>275848</v>
      </c>
    </row>
    <row r="8750" spans="1:4" x14ac:dyDescent="0.25">
      <c r="A8750" t="str">
        <f>T("   851770")</f>
        <v xml:space="preserve">   851770</v>
      </c>
      <c r="B8750" t="str">
        <f>T("   PARTIES")</f>
        <v xml:space="preserve">   PARTIES</v>
      </c>
      <c r="C8750" s="4">
        <v>10.199999999999999</v>
      </c>
      <c r="D8750" s="4">
        <v>559033</v>
      </c>
    </row>
    <row r="8751" spans="1:4" x14ac:dyDescent="0.25">
      <c r="A8751" t="str">
        <f>T("   851790")</f>
        <v xml:space="preserve">   851790</v>
      </c>
      <c r="B8751" t="str">
        <f>T("   PARTIES DES APPAREILS ELECTRIQUES POUR TELEPHONIE OU TELEGRAPHIE PAR FIL")</f>
        <v xml:space="preserve">   PARTIES DES APPAREILS ELECTRIQUES POUR TELEPHONIE OU TELEGRAPHIE PAR FIL</v>
      </c>
      <c r="C8751" s="4">
        <v>150</v>
      </c>
      <c r="D8751" s="4">
        <v>5760001</v>
      </c>
    </row>
    <row r="8752" spans="1:4" x14ac:dyDescent="0.25">
      <c r="A8752" t="str">
        <f>T("   851810")</f>
        <v xml:space="preserve">   851810</v>
      </c>
      <c r="B8752" t="str">
        <f>T("   MICROPHONES ET LEURS SUPPORTS")</f>
        <v xml:space="preserve">   MICROPHONES ET LEURS SUPPORTS</v>
      </c>
      <c r="C8752" s="4">
        <v>100</v>
      </c>
      <c r="D8752" s="4">
        <v>51000</v>
      </c>
    </row>
    <row r="8753" spans="1:4" x14ac:dyDescent="0.25">
      <c r="A8753" t="str">
        <f>T("   851821")</f>
        <v xml:space="preserve">   851821</v>
      </c>
      <c r="B8753" t="str">
        <f>T("   HAUTPARLEUR UNIQUE MONTE DANS SON ENCEINTE")</f>
        <v xml:space="preserve">   HAUTPARLEUR UNIQUE MONTE DANS SON ENCEINTE</v>
      </c>
      <c r="C8753" s="4">
        <v>420</v>
      </c>
      <c r="D8753" s="4">
        <v>616946</v>
      </c>
    </row>
    <row r="8754" spans="1:4" x14ac:dyDescent="0.25">
      <c r="A8754" t="str">
        <f>T("   851822")</f>
        <v xml:space="preserve">   851822</v>
      </c>
      <c r="B8754" t="str">
        <f>T("   HAUTPARLEURS MULTIPLES MONTES DANS LA MEME ENCEINTE")</f>
        <v xml:space="preserve">   HAUTPARLEURS MULTIPLES MONTES DANS LA MEME ENCEINTE</v>
      </c>
      <c r="C8754" s="4">
        <v>100</v>
      </c>
      <c r="D8754" s="4">
        <v>29000</v>
      </c>
    </row>
    <row r="8755" spans="1:4" x14ac:dyDescent="0.25">
      <c r="A8755" t="str">
        <f>T("   851829")</f>
        <v xml:space="preserve">   851829</v>
      </c>
      <c r="B8755" t="str">
        <f>T("   AUTRES")</f>
        <v xml:space="preserve">   AUTRES</v>
      </c>
      <c r="C8755" s="4">
        <v>150</v>
      </c>
      <c r="D8755" s="4">
        <v>210000</v>
      </c>
    </row>
    <row r="8756" spans="1:4" x14ac:dyDescent="0.25">
      <c r="A8756" t="str">
        <f>T("   851840")</f>
        <v xml:space="preserve">   851840</v>
      </c>
      <c r="B8756" t="str">
        <f>T("   AMPLIFICATEURS ELECTRIQUES D'AUDIOFREQUENCE")</f>
        <v xml:space="preserve">   AMPLIFICATEURS ELECTRIQUES D'AUDIOFREQUENCE</v>
      </c>
      <c r="C8756" s="4">
        <v>315</v>
      </c>
      <c r="D8756" s="4">
        <v>885000</v>
      </c>
    </row>
    <row r="8757" spans="1:4" x14ac:dyDescent="0.25">
      <c r="A8757" t="str">
        <f>T("   851850")</f>
        <v xml:space="preserve">   851850</v>
      </c>
      <c r="B8757" t="str">
        <f>T("   APPAREILS ELECTRIQUES D'AMPLIFICATION DU SON")</f>
        <v xml:space="preserve">   APPAREILS ELECTRIQUES D'AMPLIFICATION DU SON</v>
      </c>
      <c r="C8757" s="4">
        <v>300</v>
      </c>
      <c r="D8757" s="4">
        <v>189800</v>
      </c>
    </row>
    <row r="8758" spans="1:4" x14ac:dyDescent="0.25">
      <c r="A8758" t="str">
        <f>T("   851991")</f>
        <v xml:space="preserve">   851991</v>
      </c>
      <c r="B8758" t="str">
        <f>T("   AUTRES APPAREILS DE REPRODUCTION DU SON A CASSETTES")</f>
        <v xml:space="preserve">   AUTRES APPAREILS DE REPRODUCTION DU SON A CASSETTES</v>
      </c>
      <c r="C8758" s="4">
        <v>250</v>
      </c>
      <c r="D8758" s="4">
        <v>177605</v>
      </c>
    </row>
    <row r="8759" spans="1:4" x14ac:dyDescent="0.25">
      <c r="A8759" t="str">
        <f>T("   851999")</f>
        <v xml:space="preserve">   851999</v>
      </c>
      <c r="B8759" t="str">
        <f>T("   AUTRES APPAREILS DE REPRODUCTION DU SON")</f>
        <v xml:space="preserve">   AUTRES APPAREILS DE REPRODUCTION DU SON</v>
      </c>
      <c r="C8759" s="4">
        <v>150</v>
      </c>
      <c r="D8759" s="4">
        <v>577490</v>
      </c>
    </row>
    <row r="8760" spans="1:4" x14ac:dyDescent="0.25">
      <c r="A8760" t="str">
        <f>T("   852032")</f>
        <v xml:space="preserve">   852032</v>
      </c>
      <c r="B8760" t="str">
        <f>T("   APPAREILS D'ENREGISTREMENT ET DE REPRODUCTION DU SON A BANDES NUMERIQUES")</f>
        <v xml:space="preserve">   APPAREILS D'ENREGISTREMENT ET DE REPRODUCTION DU SON A BANDES NUMERIQUES</v>
      </c>
      <c r="C8760" s="4">
        <v>50</v>
      </c>
      <c r="D8760" s="4">
        <v>100000</v>
      </c>
    </row>
    <row r="8761" spans="1:4" x14ac:dyDescent="0.25">
      <c r="A8761" t="str">
        <f>T("   852033")</f>
        <v xml:space="preserve">   852033</v>
      </c>
      <c r="B8761" t="str">
        <f>T("   AUTRES APPAREILS D'ENREGISTREMENT ET DE REPRODUCTION DU SON, A CASSETTES")</f>
        <v xml:space="preserve">   AUTRES APPAREILS D'ENREGISTREMENT ET DE REPRODUCTION DU SON, A CASSETTES</v>
      </c>
      <c r="C8761" s="4">
        <v>20</v>
      </c>
      <c r="D8761" s="4">
        <v>18339</v>
      </c>
    </row>
    <row r="8762" spans="1:4" x14ac:dyDescent="0.25">
      <c r="A8762" t="str">
        <f>T("   852290")</f>
        <v xml:space="preserve">   852290</v>
      </c>
      <c r="B8762" t="str">
        <f>T("   AUTRES")</f>
        <v xml:space="preserve">   AUTRES</v>
      </c>
      <c r="C8762" s="4">
        <v>3773</v>
      </c>
      <c r="D8762" s="4">
        <v>2806620</v>
      </c>
    </row>
    <row r="8763" spans="1:4" x14ac:dyDescent="0.25">
      <c r="A8763" t="str">
        <f>T("   852330")</f>
        <v xml:space="preserve">   852330</v>
      </c>
      <c r="B8763" t="str">
        <f>T("   CARTES MUNIES D'UNE PISTE MAGNETIQUE, NON ENREGISTREES")</f>
        <v xml:space="preserve">   CARTES MUNIES D'UNE PISTE MAGNETIQUE, NON ENREGISTREES</v>
      </c>
      <c r="C8763" s="4">
        <v>1234</v>
      </c>
      <c r="D8763" s="4">
        <v>4062960</v>
      </c>
    </row>
    <row r="8764" spans="1:4" x14ac:dyDescent="0.25">
      <c r="A8764" t="str">
        <f>T("   852432")</f>
        <v xml:space="preserve">   852432</v>
      </c>
      <c r="B8764" t="str">
        <f>T("   DISQUES LASER POUR LA REPRODUCTION DU SON UNIQUEMENT")</f>
        <v xml:space="preserve">   DISQUES LASER POUR LA REPRODUCTION DU SON UNIQUEMENT</v>
      </c>
      <c r="C8764" s="4">
        <v>631</v>
      </c>
      <c r="D8764" s="4">
        <v>613494</v>
      </c>
    </row>
    <row r="8765" spans="1:4" x14ac:dyDescent="0.25">
      <c r="A8765" t="str">
        <f>T("   852439")</f>
        <v xml:space="preserve">   852439</v>
      </c>
      <c r="B8765" t="str">
        <f>T("   AUTRES DISQUES LASER")</f>
        <v xml:space="preserve">   AUTRES DISQUES LASER</v>
      </c>
      <c r="C8765" s="4">
        <v>634</v>
      </c>
      <c r="D8765" s="4">
        <v>634300</v>
      </c>
    </row>
    <row r="8766" spans="1:4" x14ac:dyDescent="0.25">
      <c r="A8766" t="str">
        <f>T("   852453")</f>
        <v xml:space="preserve">   852453</v>
      </c>
      <c r="B8766" t="str">
        <f>T("   AUTRES BANDES MAGNETIQUES D'UNE LARGEUR EXCEDANT 6,5 MM")</f>
        <v xml:space="preserve">   AUTRES BANDES MAGNETIQUES D'UNE LARGEUR EXCEDANT 6,5 MM</v>
      </c>
      <c r="C8766" s="4">
        <v>10</v>
      </c>
      <c r="D8766" s="4">
        <v>64216</v>
      </c>
    </row>
    <row r="8767" spans="1:4" x14ac:dyDescent="0.25">
      <c r="A8767" t="str">
        <f>T("   852520")</f>
        <v xml:space="preserve">   852520</v>
      </c>
      <c r="B8767" t="str">
        <f>T("   APPAREILS D'EMISSION INCORPORANT UN APPAREIL DE RECEPTION")</f>
        <v xml:space="preserve">   APPAREILS D'EMISSION INCORPORANT UN APPAREIL DE RECEPTION</v>
      </c>
      <c r="C8767" s="4">
        <v>13275</v>
      </c>
      <c r="D8767" s="4">
        <v>57716795</v>
      </c>
    </row>
    <row r="8768" spans="1:4" x14ac:dyDescent="0.25">
      <c r="A8768" t="str">
        <f>T("   852610")</f>
        <v xml:space="preserve">   852610</v>
      </c>
      <c r="B8768" t="str">
        <f>T("   Appareils de radiodetection et de radiosondage (radar)")</f>
        <v xml:space="preserve">   Appareils de radiodetection et de radiosondage (radar)</v>
      </c>
      <c r="C8768" s="4">
        <v>10</v>
      </c>
      <c r="D8768" s="4">
        <v>170000</v>
      </c>
    </row>
    <row r="8769" spans="1:4" x14ac:dyDescent="0.25">
      <c r="A8769" t="str">
        <f>T("   852713")</f>
        <v xml:space="preserve">   852713</v>
      </c>
      <c r="B8769" t="str">
        <f>T("   AUTRES APPAREILS COMBINES A UN APPAREIL D'ENREGISTREMENT OU DE REPRODUCTION DU SON")</f>
        <v xml:space="preserve">   AUTRES APPAREILS COMBINES A UN APPAREIL D'ENREGISTREMENT OU DE REPRODUCTION DU SON</v>
      </c>
      <c r="C8769" s="4">
        <v>950</v>
      </c>
      <c r="D8769" s="4">
        <v>3368733</v>
      </c>
    </row>
    <row r="8770" spans="1:4" x14ac:dyDescent="0.25">
      <c r="A8770" t="str">
        <f>T("   852719")</f>
        <v xml:space="preserve">   852719</v>
      </c>
      <c r="B8770" t="str">
        <f>T("   AUTRES")</f>
        <v xml:space="preserve">   AUTRES</v>
      </c>
      <c r="C8770" s="4">
        <v>6408</v>
      </c>
      <c r="D8770" s="4">
        <v>2605129</v>
      </c>
    </row>
    <row r="8771" spans="1:4" x14ac:dyDescent="0.25">
      <c r="A8771" t="str">
        <f>T("   852790")</f>
        <v xml:space="preserve">   852790</v>
      </c>
      <c r="B8771" t="str">
        <f>T("   AUTRES APPAREILS DU N 85.27")</f>
        <v xml:space="preserve">   AUTRES APPAREILS DU N 85.27</v>
      </c>
      <c r="C8771" s="4">
        <v>20</v>
      </c>
      <c r="D8771" s="4">
        <v>160000</v>
      </c>
    </row>
    <row r="8772" spans="1:4" x14ac:dyDescent="0.25">
      <c r="A8772" t="str">
        <f>T("   852810")</f>
        <v xml:space="preserve">   852810</v>
      </c>
      <c r="B8772" t="str">
        <f>T("   RECEPTEURS TV COULEUR MEME AVEC ENREGISTREMENT,REPRODUCTION DES SON,IMAGES")</f>
        <v xml:space="preserve">   RECEPTEURS TV COULEUR MEME AVEC ENREGISTREMENT,REPRODUCTION DES SON,IMAGES</v>
      </c>
      <c r="C8772" s="4">
        <v>150</v>
      </c>
      <c r="D8772" s="4">
        <v>622000</v>
      </c>
    </row>
    <row r="8773" spans="1:4" x14ac:dyDescent="0.25">
      <c r="A8773" t="str">
        <f>T("   852812")</f>
        <v xml:space="preserve">   852812</v>
      </c>
      <c r="B8773" t="str">
        <f>T("   APPAREILS RECEPTEURS DE TELEVISION EN COULEUR")</f>
        <v xml:space="preserve">   APPAREILS RECEPTEURS DE TELEVISION EN COULEUR</v>
      </c>
      <c r="C8773" s="4">
        <v>765686</v>
      </c>
      <c r="D8773" s="4">
        <v>198857436</v>
      </c>
    </row>
    <row r="8774" spans="1:4" x14ac:dyDescent="0.25">
      <c r="A8774" t="str">
        <f>T("   852821")</f>
        <v xml:space="preserve">   852821</v>
      </c>
      <c r="B8774" t="str">
        <f>T("   MONITEURS VIDEO EN COULEUR")</f>
        <v xml:space="preserve">   MONITEURS VIDEO EN COULEUR</v>
      </c>
      <c r="C8774" s="4">
        <v>20</v>
      </c>
      <c r="D8774" s="4">
        <v>10787</v>
      </c>
    </row>
    <row r="8775" spans="1:4" x14ac:dyDescent="0.25">
      <c r="A8775" t="str">
        <f>T("   852830")</f>
        <v xml:space="preserve">   852830</v>
      </c>
      <c r="B8775" t="str">
        <f>T("   PROJECTEURS VIDEO")</f>
        <v xml:space="preserve">   PROJECTEURS VIDEO</v>
      </c>
      <c r="C8775" s="4">
        <v>135</v>
      </c>
      <c r="D8775" s="4">
        <v>558400</v>
      </c>
    </row>
    <row r="8776" spans="1:4" x14ac:dyDescent="0.25">
      <c r="A8776" t="str">
        <f>T("   852873")</f>
        <v xml:space="preserve">   852873</v>
      </c>
      <c r="B8776" t="str">
        <f>T("   AUTRES, EN MONOCHROMES")</f>
        <v xml:space="preserve">   AUTRES, EN MONOCHROMES</v>
      </c>
      <c r="C8776" s="4">
        <v>66</v>
      </c>
      <c r="D8776" s="4">
        <v>780000</v>
      </c>
    </row>
    <row r="8777" spans="1:4" x14ac:dyDescent="0.25">
      <c r="A8777" t="str">
        <f>T("   852910")</f>
        <v xml:space="preserve">   852910</v>
      </c>
      <c r="B8777" t="str">
        <f>T("   ANTENNES ET REFLECTEURS D’ANTENNES DE TOUS TYPES; PARTIES RECONNAISSABLES COMME ETANT")</f>
        <v xml:space="preserve">   ANTENNES ET REFLECTEURS D’ANTENNES DE TOUS TYPES; PARTIES RECONNAISSABLES COMME ETANT</v>
      </c>
      <c r="C8777" s="4">
        <v>2000</v>
      </c>
      <c r="D8777" s="4">
        <v>2732185</v>
      </c>
    </row>
    <row r="8778" spans="1:4" x14ac:dyDescent="0.25">
      <c r="A8778" t="str">
        <f>T("   852990")</f>
        <v xml:space="preserve">   852990</v>
      </c>
      <c r="B8778" t="str">
        <f>T("   AUTRES")</f>
        <v xml:space="preserve">   AUTRES</v>
      </c>
      <c r="C8778" s="4">
        <v>1246</v>
      </c>
      <c r="D8778" s="4">
        <v>3255465</v>
      </c>
    </row>
    <row r="8779" spans="1:4" x14ac:dyDescent="0.25">
      <c r="A8779" t="str">
        <f>T("   853210")</f>
        <v xml:space="preserve">   853210</v>
      </c>
      <c r="B8779" t="str">
        <f>T("   CONDENSATEURS FIXES CONCUS POUR LES RESEAUX ELECTRIQUES DE 50/60 HZ ET CAPABLES D’ABS")</f>
        <v xml:space="preserve">   CONDENSATEURS FIXES CONCUS POUR LES RESEAUX ELECTRIQUES DE 50/60 HZ ET CAPABLES D’ABS</v>
      </c>
      <c r="C8779" s="4">
        <v>100</v>
      </c>
      <c r="D8779" s="4">
        <v>83778</v>
      </c>
    </row>
    <row r="8780" spans="1:4" x14ac:dyDescent="0.25">
      <c r="A8780" t="str">
        <f>T("   853590")</f>
        <v xml:space="preserve">   853590</v>
      </c>
      <c r="B8780" t="str">
        <f>T("   AUTRES")</f>
        <v xml:space="preserve">   AUTRES</v>
      </c>
      <c r="C8780" s="4">
        <v>10</v>
      </c>
      <c r="D8780" s="4">
        <v>248948</v>
      </c>
    </row>
    <row r="8781" spans="1:4" x14ac:dyDescent="0.25">
      <c r="A8781" t="str">
        <f>T("   853649")</f>
        <v xml:space="preserve">   853649</v>
      </c>
      <c r="B8781" t="str">
        <f>T("   AUTRES")</f>
        <v xml:space="preserve">   AUTRES</v>
      </c>
      <c r="C8781" s="4">
        <v>12220</v>
      </c>
      <c r="D8781" s="4">
        <v>8552573</v>
      </c>
    </row>
    <row r="8782" spans="1:4" x14ac:dyDescent="0.25">
      <c r="A8782" t="str">
        <f>T("   853669")</f>
        <v xml:space="preserve">   853669</v>
      </c>
      <c r="B8782" t="str">
        <f>T("   AUTRES")</f>
        <v xml:space="preserve">   AUTRES</v>
      </c>
      <c r="C8782" s="4">
        <v>745</v>
      </c>
      <c r="D8782" s="4">
        <v>917951</v>
      </c>
    </row>
    <row r="8783" spans="1:4" x14ac:dyDescent="0.25">
      <c r="A8783" t="str">
        <f>T("   853690")</f>
        <v xml:space="preserve">   853690</v>
      </c>
      <c r="B8783" t="str">
        <f>T("   AUTRES APPAREILS")</f>
        <v xml:space="preserve">   AUTRES APPAREILS</v>
      </c>
      <c r="C8783" s="4">
        <v>695</v>
      </c>
      <c r="D8783" s="4">
        <v>1734790</v>
      </c>
    </row>
    <row r="8784" spans="1:4" x14ac:dyDescent="0.25">
      <c r="A8784" t="str">
        <f>T("   853910")</f>
        <v xml:space="preserve">   853910</v>
      </c>
      <c r="B8784" t="str">
        <f>T("   ARTICLES DITS «PHARES ET PROJECTEURS SCELLES»")</f>
        <v xml:space="preserve">   ARTICLES DITS «PHARES ET PROJECTEURS SCELLES»</v>
      </c>
      <c r="C8784" s="4">
        <v>300</v>
      </c>
      <c r="D8784" s="4">
        <v>746680</v>
      </c>
    </row>
    <row r="8785" spans="1:4" x14ac:dyDescent="0.25">
      <c r="A8785" t="str">
        <f>T("   853929")</f>
        <v xml:space="preserve">   853929</v>
      </c>
      <c r="B8785" t="str">
        <f>T("   AUTRES")</f>
        <v xml:space="preserve">   AUTRES</v>
      </c>
      <c r="C8785" s="4">
        <v>3160</v>
      </c>
      <c r="D8785" s="4">
        <v>1040000</v>
      </c>
    </row>
    <row r="8786" spans="1:4" x14ac:dyDescent="0.25">
      <c r="A8786" t="str">
        <f>T("   853931")</f>
        <v xml:space="preserve">   853931</v>
      </c>
      <c r="B8786" t="str">
        <f>T("   FLUORESCENTS, A CATHODE CHAUDE")</f>
        <v xml:space="preserve">   FLUORESCENTS, A CATHODE CHAUDE</v>
      </c>
      <c r="C8786" s="4">
        <v>306303</v>
      </c>
      <c r="D8786" s="4">
        <v>188349699</v>
      </c>
    </row>
    <row r="8787" spans="1:4" x14ac:dyDescent="0.25">
      <c r="A8787" t="str">
        <f>T("   853949")</f>
        <v xml:space="preserve">   853949</v>
      </c>
      <c r="B8787" t="str">
        <f>T("   AUTRES")</f>
        <v xml:space="preserve">   AUTRES</v>
      </c>
      <c r="C8787" s="4">
        <v>50</v>
      </c>
      <c r="D8787" s="4">
        <v>29260</v>
      </c>
    </row>
    <row r="8788" spans="1:4" x14ac:dyDescent="0.25">
      <c r="A8788" t="str">
        <f>T("   854389")</f>
        <v xml:space="preserve">   854389</v>
      </c>
      <c r="B8788" t="str">
        <f>T("   AUTRES MACHINES ET APPAREILS DU Nø85.43")</f>
        <v xml:space="preserve">   AUTRES MACHINES ET APPAREILS DU Nø85.43</v>
      </c>
      <c r="C8788" s="4">
        <v>700</v>
      </c>
      <c r="D8788" s="4">
        <v>2609580</v>
      </c>
    </row>
    <row r="8789" spans="1:4" x14ac:dyDescent="0.25">
      <c r="A8789" t="str">
        <f>T("   854419")</f>
        <v xml:space="preserve">   854419</v>
      </c>
      <c r="B8789" t="str">
        <f>T("   AUTRES")</f>
        <v xml:space="preserve">   AUTRES</v>
      </c>
      <c r="C8789" s="4">
        <v>350</v>
      </c>
      <c r="D8789" s="4">
        <v>239675</v>
      </c>
    </row>
    <row r="8790" spans="1:4" x14ac:dyDescent="0.25">
      <c r="A8790" t="str">
        <f>T("   854420")</f>
        <v xml:space="preserve">   854420</v>
      </c>
      <c r="B8790" t="str">
        <f>T("   Cables coaxiaux et autres conducteurs electriques coaxiaux")</f>
        <v xml:space="preserve">   Cables coaxiaux et autres conducteurs electriques coaxiaux</v>
      </c>
      <c r="C8790" s="4">
        <v>1964</v>
      </c>
      <c r="D8790" s="4">
        <v>1996468</v>
      </c>
    </row>
    <row r="8791" spans="1:4" x14ac:dyDescent="0.25">
      <c r="A8791" t="str">
        <f>T("   854451")</f>
        <v xml:space="preserve">   854451</v>
      </c>
      <c r="B8791" t="str">
        <f>T("   CONDUCTEURS ELECTRIQUES (PLUS DE 80 V A 1000 V) AVEC PIECES CONNEXION")</f>
        <v xml:space="preserve">   CONDUCTEURS ELECTRIQUES (PLUS DE 80 V A 1000 V) AVEC PIECES CONNEXION</v>
      </c>
      <c r="C8791" s="4">
        <v>4202</v>
      </c>
      <c r="D8791" s="4">
        <v>3488515</v>
      </c>
    </row>
    <row r="8792" spans="1:4" x14ac:dyDescent="0.25">
      <c r="A8792" t="str">
        <f>T("   854459")</f>
        <v xml:space="preserve">   854459</v>
      </c>
      <c r="B8792" t="str">
        <f>T("   CONDUCTEURS ELECTRIQUES (PLUS DE 80 V A 1000 V) SANS PIECE DE CONNEXION")</f>
        <v xml:space="preserve">   CONDUCTEURS ELECTRIQUES (PLUS DE 80 V A 1000 V) SANS PIECE DE CONNEXION</v>
      </c>
      <c r="C8792" s="4">
        <v>16160</v>
      </c>
      <c r="D8792" s="4">
        <v>2703500</v>
      </c>
    </row>
    <row r="8793" spans="1:4" x14ac:dyDescent="0.25">
      <c r="A8793" t="str">
        <f>T("   854519")</f>
        <v xml:space="preserve">   854519</v>
      </c>
      <c r="B8793" t="str">
        <f>T("   AUTRES")</f>
        <v xml:space="preserve">   AUTRES</v>
      </c>
      <c r="C8793" s="4">
        <v>50</v>
      </c>
      <c r="D8793" s="4">
        <v>45000</v>
      </c>
    </row>
    <row r="8794" spans="1:4" x14ac:dyDescent="0.25">
      <c r="A8794" t="str">
        <f>T("   870120")</f>
        <v xml:space="preserve">   870120</v>
      </c>
      <c r="B8794" t="str">
        <f>T("   TRACTEURS ROUTIERS POUR SEMIREMORQUES")</f>
        <v xml:space="preserve">   TRACTEURS ROUTIERS POUR SEMIREMORQUES</v>
      </c>
      <c r="C8794" s="4">
        <v>16950</v>
      </c>
      <c r="D8794" s="4">
        <v>5411914</v>
      </c>
    </row>
    <row r="8795" spans="1:4" x14ac:dyDescent="0.25">
      <c r="A8795" t="str">
        <f>T("   870290")</f>
        <v xml:space="preserve">   870290</v>
      </c>
      <c r="B8795" t="str">
        <f>T("   AUTRES")</f>
        <v xml:space="preserve">   AUTRES</v>
      </c>
      <c r="C8795" s="4">
        <v>3200</v>
      </c>
      <c r="D8795" s="4">
        <v>32377140</v>
      </c>
    </row>
    <row r="8796" spans="1:4" x14ac:dyDescent="0.25">
      <c r="A8796" t="str">
        <f>T("   870322")</f>
        <v xml:space="preserve">   870322</v>
      </c>
      <c r="B8796" t="str">
        <f>T("   D’UNE CYLINDREE EXCEDANT 1.000 CM³ MAIS N’EXCEDANT PAS 1.500 CM³")</f>
        <v xml:space="preserve">   D’UNE CYLINDREE EXCEDANT 1.000 CM³ MAIS N’EXCEDANT PAS 1.500 CM³</v>
      </c>
      <c r="C8796" s="4">
        <v>2410</v>
      </c>
      <c r="D8796" s="4">
        <v>6447680</v>
      </c>
    </row>
    <row r="8797" spans="1:4" x14ac:dyDescent="0.25">
      <c r="A8797" t="str">
        <f>T("   870323")</f>
        <v xml:space="preserve">   870323</v>
      </c>
      <c r="B8797" t="str">
        <f>T("   D’UNE CYLINDREE EXCEDANT 1.500 CM³ MAIS N’EXCEDANT PAS 3.000 CM³")</f>
        <v xml:space="preserve">   D’UNE CYLINDREE EXCEDANT 1.500 CM³ MAIS N’EXCEDANT PAS 3.000 CM³</v>
      </c>
      <c r="C8797" s="4">
        <v>5780</v>
      </c>
      <c r="D8797" s="4">
        <v>7378769</v>
      </c>
    </row>
    <row r="8798" spans="1:4" x14ac:dyDescent="0.25">
      <c r="A8798" t="str">
        <f>T("   870324")</f>
        <v xml:space="preserve">   870324</v>
      </c>
      <c r="B8798" t="str">
        <f>T("   D’UNE CYLINDREE EXCEDANT 3.000 CM³")</f>
        <v xml:space="preserve">   D’UNE CYLINDREE EXCEDANT 3.000 CM³</v>
      </c>
      <c r="C8798" s="4">
        <v>3810</v>
      </c>
      <c r="D8798" s="4">
        <v>14400392</v>
      </c>
    </row>
    <row r="8799" spans="1:4" x14ac:dyDescent="0.25">
      <c r="A8799" t="str">
        <f>T("   870421")</f>
        <v xml:space="preserve">   870421</v>
      </c>
      <c r="B8799" t="str">
        <f>T("   D'UN POIDS EN CHARGE MAXIMAL N'EXCEDANT PAS 5 TONNES")</f>
        <v xml:space="preserve">   D'UN POIDS EN CHARGE MAXIMAL N'EXCEDANT PAS 5 TONNES</v>
      </c>
      <c r="C8799" s="4">
        <v>1778</v>
      </c>
      <c r="D8799" s="4">
        <v>1200000</v>
      </c>
    </row>
    <row r="8800" spans="1:4" x14ac:dyDescent="0.25">
      <c r="A8800" t="str">
        <f>T("   870422")</f>
        <v xml:space="preserve">   870422</v>
      </c>
      <c r="B8800" t="str">
        <f>T("   D'UN POIDS EN CHARGE MAXIMAL EXCEDANT 5 TONNES MAIS N'EXCEDANT PAS 20 TONNES")</f>
        <v xml:space="preserve">   D'UN POIDS EN CHARGE MAXIMAL EXCEDANT 5 TONNES MAIS N'EXCEDANT PAS 20 TONNES</v>
      </c>
      <c r="C8800" s="4">
        <v>25350</v>
      </c>
      <c r="D8800" s="4">
        <v>40619498</v>
      </c>
    </row>
    <row r="8801" spans="1:4" x14ac:dyDescent="0.25">
      <c r="A8801" t="str">
        <f>T("   870423")</f>
        <v xml:space="preserve">   870423</v>
      </c>
      <c r="B8801" t="str">
        <f>T("   D'UN POIDS EN CHARGE MAXIMAL EXCEDANT 20 TONNES")</f>
        <v xml:space="preserve">   D'UN POIDS EN CHARGE MAXIMAL EXCEDANT 20 TONNES</v>
      </c>
      <c r="C8801" s="4">
        <v>6100</v>
      </c>
      <c r="D8801" s="4">
        <v>2000000</v>
      </c>
    </row>
    <row r="8802" spans="1:4" x14ac:dyDescent="0.25">
      <c r="A8802" t="str">
        <f>T("   870590")</f>
        <v xml:space="preserve">   870590</v>
      </c>
      <c r="B8802" t="str">
        <f>T("   AUTRES")</f>
        <v xml:space="preserve">   AUTRES</v>
      </c>
      <c r="C8802" s="4">
        <v>1431</v>
      </c>
      <c r="D8802" s="4">
        <v>2305790</v>
      </c>
    </row>
    <row r="8803" spans="1:4" x14ac:dyDescent="0.25">
      <c r="A8803" t="str">
        <f>T("   870810")</f>
        <v xml:space="preserve">   870810</v>
      </c>
      <c r="B8803" t="str">
        <f>T("   PARECHOCS ET LEURS PARTIES")</f>
        <v xml:space="preserve">   PARECHOCS ET LEURS PARTIES</v>
      </c>
      <c r="C8803" s="4">
        <v>100</v>
      </c>
      <c r="D8803" s="4">
        <v>135000</v>
      </c>
    </row>
    <row r="8804" spans="1:4" x14ac:dyDescent="0.25">
      <c r="A8804" t="str">
        <f>T("   870829")</f>
        <v xml:space="preserve">   870829</v>
      </c>
      <c r="B8804" t="str">
        <f>T("   AUTRES")</f>
        <v xml:space="preserve">   AUTRES</v>
      </c>
      <c r="C8804" s="4">
        <v>969</v>
      </c>
      <c r="D8804" s="4">
        <v>1300025</v>
      </c>
    </row>
    <row r="8805" spans="1:4" x14ac:dyDescent="0.25">
      <c r="A8805" t="str">
        <f>T("   870840")</f>
        <v xml:space="preserve">   870840</v>
      </c>
      <c r="B8805" t="str">
        <f>T("   BOITES DE VITESSES ET LEURS PARTIES")</f>
        <v xml:space="preserve">   BOITES DE VITESSES ET LEURS PARTIES</v>
      </c>
      <c r="C8805" s="4">
        <v>250</v>
      </c>
      <c r="D8805" s="4">
        <v>315142</v>
      </c>
    </row>
    <row r="8806" spans="1:4" x14ac:dyDescent="0.25">
      <c r="A8806" t="str">
        <f>T("   870870")</f>
        <v xml:space="preserve">   870870</v>
      </c>
      <c r="B8806" t="str">
        <f>T("   Roues, leurs parties et accessoires")</f>
        <v xml:space="preserve">   Roues, leurs parties et accessoires</v>
      </c>
      <c r="C8806" s="4">
        <v>7962</v>
      </c>
      <c r="D8806" s="4">
        <v>7444524</v>
      </c>
    </row>
    <row r="8807" spans="1:4" x14ac:dyDescent="0.25">
      <c r="A8807" t="str">
        <f>T("   870891")</f>
        <v xml:space="preserve">   870891</v>
      </c>
      <c r="B8807" t="str">
        <f>T("   RADIATEURS ET LEURS PARTIES")</f>
        <v xml:space="preserve">   RADIATEURS ET LEURS PARTIES</v>
      </c>
      <c r="C8807" s="4">
        <v>100</v>
      </c>
      <c r="D8807" s="4">
        <v>160000</v>
      </c>
    </row>
    <row r="8808" spans="1:4" x14ac:dyDescent="0.25">
      <c r="A8808" t="str">
        <f>T("   870899")</f>
        <v xml:space="preserve">   870899</v>
      </c>
      <c r="B8808" t="str">
        <f>T("   AUTRES")</f>
        <v xml:space="preserve">   AUTRES</v>
      </c>
      <c r="C8808" s="4">
        <v>285996</v>
      </c>
      <c r="D8808" s="4">
        <v>382754739</v>
      </c>
    </row>
    <row r="8809" spans="1:4" x14ac:dyDescent="0.25">
      <c r="A8809" t="str">
        <f>T("   870990")</f>
        <v xml:space="preserve">   870990</v>
      </c>
      <c r="B8809" t="str">
        <f>T("   PARTIES")</f>
        <v xml:space="preserve">   PARTIES</v>
      </c>
      <c r="C8809" s="4">
        <v>300</v>
      </c>
      <c r="D8809" s="4">
        <v>335000</v>
      </c>
    </row>
    <row r="8810" spans="1:4" x14ac:dyDescent="0.25">
      <c r="A8810" t="str">
        <f>T("   871120")</f>
        <v xml:space="preserve">   871120</v>
      </c>
      <c r="B8810" t="str">
        <f>T("   A MOTEUR A PISTON ALTERNATIF, D'UNE CYLINDREE EXCEDANT 50 CM³ MAIS N'EXCEDANT PAS 250")</f>
        <v xml:space="preserve">   A MOTEUR A PISTON ALTERNATIF, D'UNE CYLINDREE EXCEDANT 50 CM³ MAIS N'EXCEDANT PAS 250</v>
      </c>
      <c r="C8810" s="4">
        <v>587010</v>
      </c>
      <c r="D8810" s="4">
        <v>958338000</v>
      </c>
    </row>
    <row r="8811" spans="1:4" x14ac:dyDescent="0.25">
      <c r="A8811" t="str">
        <f>T("   871200")</f>
        <v xml:space="preserve">   871200</v>
      </c>
      <c r="B8811" t="str">
        <f>T("   BICYCLETTES ET AUTRES CYCLES (Y COMPRIS LES TRIPORTEURS), SANS MOTEUR.")</f>
        <v xml:space="preserve">   BICYCLETTES ET AUTRES CYCLES (Y COMPRIS LES TRIPORTEURS), SANS MOTEUR.</v>
      </c>
      <c r="C8811" s="4">
        <v>1200</v>
      </c>
      <c r="D8811" s="4">
        <v>1496647</v>
      </c>
    </row>
    <row r="8812" spans="1:4" x14ac:dyDescent="0.25">
      <c r="A8812" t="str">
        <f>T("   871310")</f>
        <v xml:space="preserve">   871310</v>
      </c>
      <c r="B8812" t="str">
        <f>T("   SANS MECANISME DE PROPULSION")</f>
        <v xml:space="preserve">   SANS MECANISME DE PROPULSION</v>
      </c>
      <c r="C8812" s="4">
        <v>200</v>
      </c>
      <c r="D8812" s="4">
        <v>2294750</v>
      </c>
    </row>
    <row r="8813" spans="1:4" x14ac:dyDescent="0.25">
      <c r="A8813" t="str">
        <f>T("   871419")</f>
        <v xml:space="preserve">   871419</v>
      </c>
      <c r="B8813" t="str">
        <f>T("   AUTRES PARTIES ET ACCESSOIRES DE MOTOCYCLES")</f>
        <v xml:space="preserve">   AUTRES PARTIES ET ACCESSOIRES DE MOTOCYCLES</v>
      </c>
      <c r="C8813" s="4">
        <v>978019</v>
      </c>
      <c r="D8813" s="4">
        <v>346803735</v>
      </c>
    </row>
    <row r="8814" spans="1:4" x14ac:dyDescent="0.25">
      <c r="A8814" t="str">
        <f>T("   871640")</f>
        <v xml:space="preserve">   871640</v>
      </c>
      <c r="B8814" t="str">
        <f>T("   AUTRES REMORQUES ET SEMIREMORQUES")</f>
        <v xml:space="preserve">   AUTRES REMORQUES ET SEMIREMORQUES</v>
      </c>
      <c r="C8814" s="4">
        <v>10000</v>
      </c>
      <c r="D8814" s="4">
        <v>1200000</v>
      </c>
    </row>
    <row r="8815" spans="1:4" x14ac:dyDescent="0.25">
      <c r="A8815" t="str">
        <f>T("   900140")</f>
        <v xml:space="preserve">   900140</v>
      </c>
      <c r="B8815" t="str">
        <f>T("   Verres de lunetterie en verre")</f>
        <v xml:space="preserve">   Verres de lunetterie en verre</v>
      </c>
      <c r="C8815" s="4">
        <v>331</v>
      </c>
      <c r="D8815" s="4">
        <v>248080</v>
      </c>
    </row>
    <row r="8816" spans="1:4" x14ac:dyDescent="0.25">
      <c r="A8816" t="str">
        <f>T("   900410")</f>
        <v xml:space="preserve">   900410</v>
      </c>
      <c r="B8816" t="str">
        <f>T("   Lunettes solaires")</f>
        <v xml:space="preserve">   Lunettes solaires</v>
      </c>
      <c r="C8816" s="4">
        <v>357</v>
      </c>
      <c r="D8816" s="4">
        <v>243904</v>
      </c>
    </row>
    <row r="8817" spans="1:4" x14ac:dyDescent="0.25">
      <c r="A8817" t="str">
        <f>T("   900490")</f>
        <v xml:space="preserve">   900490</v>
      </c>
      <c r="B8817" t="str">
        <f>T("   AUTRES")</f>
        <v xml:space="preserve">   AUTRES</v>
      </c>
      <c r="C8817" s="4">
        <v>100</v>
      </c>
      <c r="D8817" s="4">
        <v>96900</v>
      </c>
    </row>
    <row r="8818" spans="1:4" x14ac:dyDescent="0.25">
      <c r="A8818" t="str">
        <f>T("   900610")</f>
        <v xml:space="preserve">   900610</v>
      </c>
      <c r="B8818" t="str">
        <f>T("   APPAREILS PHOTOGRAPHIQUES DES TYPES UTILISES POUR LA PREPARATION DES CLICHES OU CYLIN")</f>
        <v xml:space="preserve">   APPAREILS PHOTOGRAPHIQUES DES TYPES UTILISES POUR LA PREPARATION DES CLICHES OU CYLIN</v>
      </c>
      <c r="C8818" s="4">
        <v>100</v>
      </c>
      <c r="D8818" s="4">
        <v>269569</v>
      </c>
    </row>
    <row r="8819" spans="1:4" x14ac:dyDescent="0.25">
      <c r="A8819" t="str">
        <f>T("   900653")</f>
        <v xml:space="preserve">   900653</v>
      </c>
      <c r="B8819" t="str">
        <f>T("   AUTRES, POUR PELLICULES EN ROULEAUX D'UNE LARGEUR DE 35 MM")</f>
        <v xml:space="preserve">   AUTRES, POUR PELLICULES EN ROULEAUX D'UNE LARGEUR DE 35 MM</v>
      </c>
      <c r="C8819" s="4">
        <v>3</v>
      </c>
      <c r="D8819" s="4">
        <v>185000</v>
      </c>
    </row>
    <row r="8820" spans="1:4" x14ac:dyDescent="0.25">
      <c r="A8820" t="str">
        <f>T("   900711")</f>
        <v xml:space="preserve">   900711</v>
      </c>
      <c r="B8820" t="str">
        <f>T("   CAMERAS 16 MM ET - OU DOUBLE 8 MM, AVEC PRISE ET REPRODUCTION DU SON")</f>
        <v xml:space="preserve">   CAMERAS 16 MM ET - OU DOUBLE 8 MM, AVEC PRISE ET REPRODUCTION DU SON</v>
      </c>
      <c r="C8820" s="4">
        <v>363</v>
      </c>
      <c r="D8820" s="4">
        <v>169303</v>
      </c>
    </row>
    <row r="8821" spans="1:4" x14ac:dyDescent="0.25">
      <c r="A8821" t="str">
        <f>T("   900921")</f>
        <v xml:space="preserve">   900921</v>
      </c>
      <c r="B8821" t="str">
        <f>T("   APPAREILS DE PHOTOCOPIE A SYSTEME OPTIQUE")</f>
        <v xml:space="preserve">   APPAREILS DE PHOTOCOPIE A SYSTEME OPTIQUE</v>
      </c>
      <c r="C8821" s="4">
        <v>3910</v>
      </c>
      <c r="D8821" s="4">
        <v>4791797</v>
      </c>
    </row>
    <row r="8822" spans="1:4" x14ac:dyDescent="0.25">
      <c r="A8822" t="str">
        <f>T("   901190")</f>
        <v xml:space="preserve">   901190</v>
      </c>
      <c r="B8822" t="str">
        <f>T("   PARTIES ET ACCESSOIRES")</f>
        <v xml:space="preserve">   PARTIES ET ACCESSOIRES</v>
      </c>
      <c r="C8822" s="4">
        <v>100</v>
      </c>
      <c r="D8822" s="4">
        <v>600000</v>
      </c>
    </row>
    <row r="8823" spans="1:4" x14ac:dyDescent="0.25">
      <c r="A8823" t="str">
        <f>T("   901320")</f>
        <v xml:space="preserve">   901320</v>
      </c>
      <c r="B8823" t="str">
        <f>T("   Lasers, autres que les diodes laser")</f>
        <v xml:space="preserve">   Lasers, autres que les diodes laser</v>
      </c>
      <c r="C8823" s="4">
        <v>100</v>
      </c>
      <c r="D8823" s="4">
        <v>90000</v>
      </c>
    </row>
    <row r="8824" spans="1:4" x14ac:dyDescent="0.25">
      <c r="A8824" t="str">
        <f>T("   901580")</f>
        <v xml:space="preserve">   901580</v>
      </c>
      <c r="B8824" t="str">
        <f>T("   AUTRES INSTRUMENTS ET APPAREILS")</f>
        <v xml:space="preserve">   AUTRES INSTRUMENTS ET APPAREILS</v>
      </c>
      <c r="C8824" s="4">
        <v>88</v>
      </c>
      <c r="D8824" s="4">
        <v>45034693</v>
      </c>
    </row>
    <row r="8825" spans="1:4" x14ac:dyDescent="0.25">
      <c r="A8825" t="str">
        <f>T("   901600")</f>
        <v xml:space="preserve">   901600</v>
      </c>
      <c r="B8825" t="str">
        <f>T("   BALANCES SENSIBLES A UN POIDS DE 5 CG OU MOINS, AVEC OU SANS POIDS.")</f>
        <v xml:space="preserve">   BALANCES SENSIBLES A UN POIDS DE 5 CG OU MOINS, AVEC OU SANS POIDS.</v>
      </c>
      <c r="C8825" s="4">
        <v>300</v>
      </c>
      <c r="D8825" s="4">
        <v>597279</v>
      </c>
    </row>
    <row r="8826" spans="1:4" x14ac:dyDescent="0.25">
      <c r="A8826" t="str">
        <f>T("   901710")</f>
        <v xml:space="preserve">   901710</v>
      </c>
      <c r="B8826" t="str">
        <f>T("   TABLES ET MACHINES A DESSINER, MEME AUTOMATIQUES")</f>
        <v xml:space="preserve">   TABLES ET MACHINES A DESSINER, MEME AUTOMATIQUES</v>
      </c>
      <c r="C8826" s="4">
        <v>4000</v>
      </c>
      <c r="D8826" s="4">
        <v>5000000</v>
      </c>
    </row>
    <row r="8827" spans="1:4" x14ac:dyDescent="0.25">
      <c r="A8827" t="str">
        <f>T("   901820")</f>
        <v xml:space="preserve">   901820</v>
      </c>
      <c r="B8827" t="str">
        <f>T("   APPAREILS A RAYONS ULTRAVIOLETS OU INFRAROUGES")</f>
        <v xml:space="preserve">   APPAREILS A RAYONS ULTRAVIOLETS OU INFRAROUGES</v>
      </c>
      <c r="C8827" s="4">
        <v>70</v>
      </c>
      <c r="D8827" s="4">
        <v>150000</v>
      </c>
    </row>
    <row r="8828" spans="1:4" x14ac:dyDescent="0.25">
      <c r="A8828" t="str">
        <f>T("   901831")</f>
        <v xml:space="preserve">   901831</v>
      </c>
      <c r="B8828" t="str">
        <f>T("   SERINGUES, AVEC OU SANS AIGUILLES")</f>
        <v xml:space="preserve">   SERINGUES, AVEC OU SANS AIGUILLES</v>
      </c>
      <c r="C8828" s="4">
        <v>1950</v>
      </c>
      <c r="D8828" s="4">
        <v>7345000</v>
      </c>
    </row>
    <row r="8829" spans="1:4" x14ac:dyDescent="0.25">
      <c r="A8829" t="str">
        <f>T("   901890")</f>
        <v xml:space="preserve">   901890</v>
      </c>
      <c r="B8829" t="str">
        <f>T("   AUTRES INSTRUMENTS ET APPAREILS")</f>
        <v xml:space="preserve">   AUTRES INSTRUMENTS ET APPAREILS</v>
      </c>
      <c r="C8829" s="4">
        <v>2464</v>
      </c>
      <c r="D8829" s="4">
        <v>5933875</v>
      </c>
    </row>
    <row r="8830" spans="1:4" x14ac:dyDescent="0.25">
      <c r="A8830" t="str">
        <f>T("   901920")</f>
        <v xml:space="preserve">   901920</v>
      </c>
      <c r="B8830" t="str">
        <f>T("   APPAREILS D'OZONOTHERAPIE, D'OXYGENOTHERAPIE, D'AEROSOLTHERAPIE, APPAREILS RESPIRATOI")</f>
        <v xml:space="preserve">   APPAREILS D'OZONOTHERAPIE, D'OXYGENOTHERAPIE, D'AEROSOLTHERAPIE, APPAREILS RESPIRATOI</v>
      </c>
      <c r="C8830" s="4">
        <v>200</v>
      </c>
      <c r="D8830" s="4">
        <v>686803</v>
      </c>
    </row>
    <row r="8831" spans="1:4" x14ac:dyDescent="0.25">
      <c r="A8831" t="str">
        <f>T("   902680")</f>
        <v xml:space="preserve">   902680</v>
      </c>
      <c r="B8831" t="str">
        <f>T("   AUTRES INSTRUMENTS ET APPAREILS")</f>
        <v xml:space="preserve">   AUTRES INSTRUMENTS ET APPAREILS</v>
      </c>
      <c r="C8831" s="4">
        <v>50</v>
      </c>
      <c r="D8831" s="4">
        <v>30063</v>
      </c>
    </row>
    <row r="8832" spans="1:4" x14ac:dyDescent="0.25">
      <c r="A8832" t="str">
        <f>T("   903180")</f>
        <v xml:space="preserve">   903180</v>
      </c>
      <c r="B8832" t="str">
        <f>T("   AUTRES INSTRUMENTS, APPAREILS ET MACHINES")</f>
        <v xml:space="preserve">   AUTRES INSTRUMENTS, APPAREILS ET MACHINES</v>
      </c>
      <c r="C8832" s="4">
        <v>200</v>
      </c>
      <c r="D8832" s="4">
        <v>157624</v>
      </c>
    </row>
    <row r="8833" spans="1:4" x14ac:dyDescent="0.25">
      <c r="A8833" t="str">
        <f>T("   910212")</f>
        <v xml:space="preserve">   910212</v>
      </c>
      <c r="B8833" t="str">
        <f>T("   A AFFICHAGE OPTOELECTRONIQUE SEULEMENT")</f>
        <v xml:space="preserve">   A AFFICHAGE OPTOELECTRONIQUE SEULEMENT</v>
      </c>
      <c r="C8833" s="4">
        <v>675</v>
      </c>
      <c r="D8833" s="4">
        <v>972776</v>
      </c>
    </row>
    <row r="8834" spans="1:4" x14ac:dyDescent="0.25">
      <c r="A8834" t="str">
        <f>T("   910310")</f>
        <v xml:space="preserve">   910310</v>
      </c>
      <c r="B8834" t="str">
        <f>T("   FONCTIONNANT ELECTRIQUEMENT")</f>
        <v xml:space="preserve">   FONCTIONNANT ELECTRIQUEMENT</v>
      </c>
      <c r="C8834" s="4">
        <v>100</v>
      </c>
      <c r="D8834" s="4">
        <v>45000</v>
      </c>
    </row>
    <row r="8835" spans="1:4" x14ac:dyDescent="0.25">
      <c r="A8835" t="str">
        <f>T("   910521")</f>
        <v xml:space="preserve">   910521</v>
      </c>
      <c r="B8835" t="str">
        <f>T("   FONCTIONNANT ELECTRIQUEMENT")</f>
        <v xml:space="preserve">   FONCTIONNANT ELECTRIQUEMENT</v>
      </c>
      <c r="C8835" s="4">
        <v>5960</v>
      </c>
      <c r="D8835" s="4">
        <v>4506250</v>
      </c>
    </row>
    <row r="8836" spans="1:4" x14ac:dyDescent="0.25">
      <c r="A8836" t="str">
        <f>T("   940120")</f>
        <v xml:space="preserve">   940120</v>
      </c>
      <c r="B8836" t="str">
        <f>T("   SIEGES DES TYPES UTILISES POUR VEHICULES AUTOMOBILES")</f>
        <v xml:space="preserve">   SIEGES DES TYPES UTILISES POUR VEHICULES AUTOMOBILES</v>
      </c>
      <c r="C8836" s="4">
        <v>50</v>
      </c>
      <c r="D8836" s="4">
        <v>35000</v>
      </c>
    </row>
    <row r="8837" spans="1:4" x14ac:dyDescent="0.25">
      <c r="A8837" t="str">
        <f>T("   940161")</f>
        <v xml:space="preserve">   940161</v>
      </c>
      <c r="B8837" t="str">
        <f>T("   REMBOURRES")</f>
        <v xml:space="preserve">   REMBOURRES</v>
      </c>
      <c r="C8837" s="4">
        <v>16500</v>
      </c>
      <c r="D8837" s="4">
        <v>42153591</v>
      </c>
    </row>
    <row r="8838" spans="1:4" x14ac:dyDescent="0.25">
      <c r="A8838" t="str">
        <f>T("   940171")</f>
        <v xml:space="preserve">   940171</v>
      </c>
      <c r="B8838" t="str">
        <f>T("   REMBOURRES")</f>
        <v xml:space="preserve">   REMBOURRES</v>
      </c>
      <c r="C8838" s="4">
        <v>330</v>
      </c>
      <c r="D8838" s="4">
        <v>118801</v>
      </c>
    </row>
    <row r="8839" spans="1:4" x14ac:dyDescent="0.25">
      <c r="A8839" t="str">
        <f>T("   940179")</f>
        <v xml:space="preserve">   940179</v>
      </c>
      <c r="B8839" t="str">
        <f>T("   AUTRES")</f>
        <v xml:space="preserve">   AUTRES</v>
      </c>
      <c r="C8839" s="4">
        <v>100</v>
      </c>
      <c r="D8839" s="4">
        <v>18142</v>
      </c>
    </row>
    <row r="8840" spans="1:4" x14ac:dyDescent="0.25">
      <c r="A8840" t="str">
        <f>T("   940180")</f>
        <v xml:space="preserve">   940180</v>
      </c>
      <c r="B8840" t="str">
        <f>T("   AUTRES SIEGES")</f>
        <v xml:space="preserve">   AUTRES SIEGES</v>
      </c>
      <c r="C8840" s="4">
        <v>10565</v>
      </c>
      <c r="D8840" s="4">
        <v>8047138</v>
      </c>
    </row>
    <row r="8841" spans="1:4" x14ac:dyDescent="0.25">
      <c r="A8841" t="str">
        <f>T("   940290")</f>
        <v xml:space="preserve">   940290</v>
      </c>
      <c r="B8841" t="str">
        <f>T("   AUTRES")</f>
        <v xml:space="preserve">   AUTRES</v>
      </c>
      <c r="C8841" s="4">
        <v>5988</v>
      </c>
      <c r="D8841" s="4">
        <v>9091124</v>
      </c>
    </row>
    <row r="8842" spans="1:4" x14ac:dyDescent="0.25">
      <c r="A8842" t="str">
        <f>T("   940310")</f>
        <v xml:space="preserve">   940310</v>
      </c>
      <c r="B8842" t="str">
        <f>T("   MEUBLES EN METAL DES TYPES UTILISES DANS LES BUREAUX")</f>
        <v xml:space="preserve">   MEUBLES EN METAL DES TYPES UTILISES DANS LES BUREAUX</v>
      </c>
      <c r="C8842" s="4">
        <v>70</v>
      </c>
      <c r="D8842" s="4">
        <v>100000</v>
      </c>
    </row>
    <row r="8843" spans="1:4" x14ac:dyDescent="0.25">
      <c r="A8843" t="str">
        <f>T("   940320")</f>
        <v xml:space="preserve">   940320</v>
      </c>
      <c r="B8843" t="str">
        <f>T("   AUTRES MEUBLES EN METAL")</f>
        <v xml:space="preserve">   AUTRES MEUBLES EN METAL</v>
      </c>
      <c r="C8843" s="4">
        <v>2650</v>
      </c>
      <c r="D8843" s="4">
        <v>1591757</v>
      </c>
    </row>
    <row r="8844" spans="1:4" x14ac:dyDescent="0.25">
      <c r="A8844" t="str">
        <f>T("   940330")</f>
        <v xml:space="preserve">   940330</v>
      </c>
      <c r="B8844" t="str">
        <f>T("   MEUBLES EN BOIS DES TYPES UTILISES DANS LES BUREAUX")</f>
        <v xml:space="preserve">   MEUBLES EN BOIS DES TYPES UTILISES DANS LES BUREAUX</v>
      </c>
      <c r="C8844" s="4">
        <v>4590</v>
      </c>
      <c r="D8844" s="4">
        <v>7804029</v>
      </c>
    </row>
    <row r="8845" spans="1:4" x14ac:dyDescent="0.25">
      <c r="A8845" t="str">
        <f>T("   940340")</f>
        <v xml:space="preserve">   940340</v>
      </c>
      <c r="B8845" t="str">
        <f>T("   MEUBLES EN BOIS DES TYPES UTILISES DANS LES CUISINES")</f>
        <v xml:space="preserve">   MEUBLES EN BOIS DES TYPES UTILISES DANS LES CUISINES</v>
      </c>
      <c r="C8845" s="4">
        <v>4720</v>
      </c>
      <c r="D8845" s="4">
        <v>2107134</v>
      </c>
    </row>
    <row r="8846" spans="1:4" x14ac:dyDescent="0.25">
      <c r="A8846" t="str">
        <f>T("   940350")</f>
        <v xml:space="preserve">   940350</v>
      </c>
      <c r="B8846" t="str">
        <f>T("   MEUBLES EN BOIS DES TYPES UTILISES DANS LES CHAMBRES A COUCHER")</f>
        <v xml:space="preserve">   MEUBLES EN BOIS DES TYPES UTILISES DANS LES CHAMBRES A COUCHER</v>
      </c>
      <c r="C8846" s="4">
        <v>2440</v>
      </c>
      <c r="D8846" s="4">
        <v>2538569</v>
      </c>
    </row>
    <row r="8847" spans="1:4" x14ac:dyDescent="0.25">
      <c r="A8847" t="str">
        <f>T("   940360")</f>
        <v xml:space="preserve">   940360</v>
      </c>
      <c r="B8847" t="str">
        <f>T("   Autres meubles en bois")</f>
        <v xml:space="preserve">   Autres meubles en bois</v>
      </c>
      <c r="C8847" s="4">
        <v>14315</v>
      </c>
      <c r="D8847" s="4">
        <v>20916950</v>
      </c>
    </row>
    <row r="8848" spans="1:4" x14ac:dyDescent="0.25">
      <c r="A8848" t="str">
        <f>T("   940370")</f>
        <v xml:space="preserve">   940370</v>
      </c>
      <c r="B8848" t="str">
        <f>T("   MEUBLES EN MATIERES PLASTIQUES")</f>
        <v xml:space="preserve">   MEUBLES EN MATIERES PLASTIQUES</v>
      </c>
      <c r="C8848" s="4">
        <v>38200</v>
      </c>
      <c r="D8848" s="4">
        <v>38667522</v>
      </c>
    </row>
    <row r="8849" spans="1:4" x14ac:dyDescent="0.25">
      <c r="A8849" t="str">
        <f>T("   940380")</f>
        <v xml:space="preserve">   940380</v>
      </c>
      <c r="B8849" t="str">
        <f>T("   MEUBLES EN AUTRES MATIERES,Y.C. ROTIN,OSIER,BAMBOU ET SIMILAIRES")</f>
        <v xml:space="preserve">   MEUBLES EN AUTRES MATIERES,Y.C. ROTIN,OSIER,BAMBOU ET SIMILAIRES</v>
      </c>
      <c r="C8849" s="4">
        <v>100</v>
      </c>
      <c r="D8849" s="4">
        <v>90000</v>
      </c>
    </row>
    <row r="8850" spans="1:4" x14ac:dyDescent="0.25">
      <c r="A8850" t="str">
        <f>T("   940390")</f>
        <v xml:space="preserve">   940390</v>
      </c>
      <c r="B8850" t="str">
        <f>T("   PARTIES")</f>
        <v xml:space="preserve">   PARTIES</v>
      </c>
      <c r="C8850" s="4">
        <v>2200</v>
      </c>
      <c r="D8850" s="4">
        <v>1133494</v>
      </c>
    </row>
    <row r="8851" spans="1:4" x14ac:dyDescent="0.25">
      <c r="A8851" t="str">
        <f>T("   940429")</f>
        <v xml:space="preserve">   940429</v>
      </c>
      <c r="B8851" t="str">
        <f>T("   EN AUTRES MATIERES")</f>
        <v xml:space="preserve">   EN AUTRES MATIERES</v>
      </c>
      <c r="C8851" s="4">
        <v>1440</v>
      </c>
      <c r="D8851" s="4">
        <v>329268</v>
      </c>
    </row>
    <row r="8852" spans="1:4" x14ac:dyDescent="0.25">
      <c r="A8852" t="str">
        <f>T("   940550")</f>
        <v xml:space="preserve">   940550</v>
      </c>
      <c r="B8852" t="str">
        <f>T("   APPAREILS D'ECLAIRAGE NON ELECTRIQUES")</f>
        <v xml:space="preserve">   APPAREILS D'ECLAIRAGE NON ELECTRIQUES</v>
      </c>
      <c r="C8852" s="4">
        <v>1293</v>
      </c>
      <c r="D8852" s="4">
        <v>815603</v>
      </c>
    </row>
    <row r="8853" spans="1:4" x14ac:dyDescent="0.25">
      <c r="A8853" t="str">
        <f>T("   940591")</f>
        <v xml:space="preserve">   940591</v>
      </c>
      <c r="B8853" t="str">
        <f>T("   EN VERRE")</f>
        <v xml:space="preserve">   EN VERRE</v>
      </c>
      <c r="C8853" s="4">
        <v>49100</v>
      </c>
      <c r="D8853" s="4">
        <v>59486640</v>
      </c>
    </row>
    <row r="8854" spans="1:4" x14ac:dyDescent="0.25">
      <c r="A8854" t="str">
        <f>T("   950350")</f>
        <v xml:space="preserve">   950350</v>
      </c>
      <c r="B8854" t="str">
        <f>T("   INSTRUMENTS ET APPAREILS DE MUSIQUE-JOUETS")</f>
        <v xml:space="preserve">   INSTRUMENTS ET APPAREILS DE MUSIQUE-JOUETS</v>
      </c>
      <c r="C8854" s="4">
        <v>450</v>
      </c>
      <c r="D8854" s="4">
        <v>264243</v>
      </c>
    </row>
    <row r="8855" spans="1:4" x14ac:dyDescent="0.25">
      <c r="A8855" t="str">
        <f>T("   950390")</f>
        <v xml:space="preserve">   950390</v>
      </c>
      <c r="B8855" t="str">
        <f>T("   AUTRES JOUETS DU N 95.03")</f>
        <v xml:space="preserve">   AUTRES JOUETS DU N 95.03</v>
      </c>
      <c r="C8855" s="4">
        <v>2439</v>
      </c>
      <c r="D8855" s="4">
        <v>1666010</v>
      </c>
    </row>
    <row r="8856" spans="1:4" x14ac:dyDescent="0.25">
      <c r="A8856" t="str">
        <f>T("   950490")</f>
        <v xml:space="preserve">   950490</v>
      </c>
      <c r="B8856" t="str">
        <f>T("   AUTRES")</f>
        <v xml:space="preserve">   AUTRES</v>
      </c>
      <c r="C8856" s="4">
        <v>30</v>
      </c>
      <c r="D8856" s="4">
        <v>12000</v>
      </c>
    </row>
    <row r="8857" spans="1:4" x14ac:dyDescent="0.25">
      <c r="A8857" t="str">
        <f>T("   950590")</f>
        <v xml:space="preserve">   950590</v>
      </c>
      <c r="B8857" t="str">
        <f>T("   AUTRES")</f>
        <v xml:space="preserve">   AUTRES</v>
      </c>
      <c r="C8857" s="4">
        <v>34</v>
      </c>
      <c r="D8857" s="4">
        <v>51000</v>
      </c>
    </row>
    <row r="8858" spans="1:4" x14ac:dyDescent="0.25">
      <c r="A8858" t="str">
        <f>T("   950669")</f>
        <v xml:space="preserve">   950669</v>
      </c>
      <c r="B8858" t="str">
        <f>T("   AUTRES")</f>
        <v xml:space="preserve">   AUTRES</v>
      </c>
      <c r="C8858" s="4">
        <v>722</v>
      </c>
      <c r="D8858" s="4">
        <v>365037</v>
      </c>
    </row>
    <row r="8859" spans="1:4" x14ac:dyDescent="0.25">
      <c r="A8859" t="str">
        <f>T("   950691")</f>
        <v xml:space="preserve">   950691</v>
      </c>
      <c r="B8859" t="str">
        <f>T("   ARTICLES ET MATERIEL POUR LA CULTURE PHYSIQUE, LA GYMNASTIQUE OU L'ATHLETISME")</f>
        <v xml:space="preserve">   ARTICLES ET MATERIEL POUR LA CULTURE PHYSIQUE, LA GYMNASTIQUE OU L'ATHLETISME</v>
      </c>
      <c r="C8859" s="4">
        <v>100</v>
      </c>
      <c r="D8859" s="4">
        <v>29300</v>
      </c>
    </row>
    <row r="8860" spans="1:4" x14ac:dyDescent="0.25">
      <c r="A8860" t="str">
        <f>T("   960321")</f>
        <v xml:space="preserve">   960321</v>
      </c>
      <c r="B8860" t="str">
        <f>T("   BROSSES A DENTS, Y COMPRIS LES BROSSES A DENTIERS")</f>
        <v xml:space="preserve">   BROSSES A DENTS, Y COMPRIS LES BROSSES A DENTIERS</v>
      </c>
      <c r="C8860" s="4">
        <v>212</v>
      </c>
      <c r="D8860" s="4">
        <v>237383</v>
      </c>
    </row>
    <row r="8861" spans="1:4" x14ac:dyDescent="0.25">
      <c r="A8861" t="str">
        <f>T("   960400")</f>
        <v xml:space="preserve">   960400</v>
      </c>
      <c r="B8861" t="str">
        <f>T("   TAMIS ET CRIBLES, A MAIN.")</f>
        <v xml:space="preserve">   TAMIS ET CRIBLES, A MAIN.</v>
      </c>
      <c r="C8861" s="4">
        <v>1719.6</v>
      </c>
      <c r="D8861" s="4">
        <v>149061679</v>
      </c>
    </row>
    <row r="8862" spans="1:4" x14ac:dyDescent="0.25">
      <c r="A8862" t="str">
        <f>T("   960810")</f>
        <v xml:space="preserve">   960810</v>
      </c>
      <c r="B8862" t="str">
        <f>T("   STYLOS ET CRAYONS A BILLE")</f>
        <v xml:space="preserve">   STYLOS ET CRAYONS A BILLE</v>
      </c>
      <c r="C8862" s="4">
        <v>454.17</v>
      </c>
      <c r="D8862" s="4">
        <v>858600</v>
      </c>
    </row>
    <row r="8863" spans="1:4" x14ac:dyDescent="0.25">
      <c r="A8863" t="str">
        <f>T("   960820")</f>
        <v xml:space="preserve">   960820</v>
      </c>
      <c r="B8863" t="str">
        <f>T("   STYLOS ET MARQUEURS A MECHE FEUTRE OU A AUTRES POINTES POREUSES")</f>
        <v xml:space="preserve">   STYLOS ET MARQUEURS A MECHE FEUTRE OU A AUTRES POINTES POREUSES</v>
      </c>
      <c r="C8863" s="4">
        <v>70.83</v>
      </c>
      <c r="D8863" s="4">
        <v>60000</v>
      </c>
    </row>
    <row r="8864" spans="1:4" x14ac:dyDescent="0.25">
      <c r="A8864" t="str">
        <f>T("   960990")</f>
        <v xml:space="preserve">   960990</v>
      </c>
      <c r="B8864" t="str">
        <f>T("   AUTRES")</f>
        <v xml:space="preserve">   AUTRES</v>
      </c>
      <c r="C8864" s="4">
        <v>30</v>
      </c>
      <c r="D8864" s="4">
        <v>54000</v>
      </c>
    </row>
    <row r="8865" spans="1:4" x14ac:dyDescent="0.25">
      <c r="A8865" t="str">
        <f>T("   961000")</f>
        <v xml:space="preserve">   961000</v>
      </c>
      <c r="B8865" t="str">
        <f>T("   ARDOISES ET TABLEAUX POUR L'ECRITURE OU LE DESSIN, MEME ENCADRES.")</f>
        <v xml:space="preserve">   ARDOISES ET TABLEAUX POUR L'ECRITURE OU LE DESSIN, MEME ENCADRES.</v>
      </c>
      <c r="C8865" s="4">
        <v>3950</v>
      </c>
      <c r="D8865" s="4">
        <v>2543447</v>
      </c>
    </row>
    <row r="8866" spans="1:4" x14ac:dyDescent="0.25">
      <c r="A8866" t="str">
        <f>T("   961590")</f>
        <v xml:space="preserve">   961590</v>
      </c>
      <c r="B8866" t="str">
        <f>T("   AUTRES")</f>
        <v xml:space="preserve">   AUTRES</v>
      </c>
      <c r="C8866" s="4">
        <v>3956</v>
      </c>
      <c r="D8866" s="4">
        <v>1291490</v>
      </c>
    </row>
    <row r="8867" spans="1:4" x14ac:dyDescent="0.25">
      <c r="A8867" t="str">
        <f>T("   961700")</f>
        <v xml:space="preserve">   961700</v>
      </c>
      <c r="B8867" t="str">
        <f>T("   BOUTEILLES ISOLANTES ET AUTRES RECIPIENTS ISOTHERMIQUES MONTES, DONT L'ISOLATION EST AS")</f>
        <v xml:space="preserve">   BOUTEILLES ISOLANTES ET AUTRES RECIPIENTS ISOTHERMIQUES MONTES, DONT L'ISOLATION EST AS</v>
      </c>
      <c r="C8867" s="4">
        <v>77471</v>
      </c>
      <c r="D8867" s="4">
        <v>30847699</v>
      </c>
    </row>
    <row r="8868" spans="1:4" x14ac:dyDescent="0.25">
      <c r="A8868" t="str">
        <f>T("   961800")</f>
        <v xml:space="preserve">   961800</v>
      </c>
      <c r="B8868" t="str">
        <f>T("   MANNEQUINS ET ARTICLES SIMILAIRES; AUTOMATES ET SCENES ANIMEES POUR ETALAGES.")</f>
        <v xml:space="preserve">   MANNEQUINS ET ARTICLES SIMILAIRES; AUTOMATES ET SCENES ANIMEES POUR ETALAGES.</v>
      </c>
      <c r="C8868" s="4">
        <v>870</v>
      </c>
      <c r="D8868" s="4">
        <v>299798</v>
      </c>
    </row>
    <row r="8869" spans="1:4" s="5" customFormat="1" x14ac:dyDescent="0.25">
      <c r="A8869" s="5" t="str">
        <f>T("   ZZ_Total_Produit_SH6")</f>
        <v xml:space="preserve">   ZZ_Total_Produit_SH6</v>
      </c>
      <c r="B8869" s="5" t="str">
        <f>T("   ZZ_Total_Produit_SH6")</f>
        <v xml:space="preserve">   ZZ_Total_Produit_SH6</v>
      </c>
      <c r="C8869" s="1">
        <v>66054702.07</v>
      </c>
      <c r="D8869" s="1">
        <v>25452671035.651001</v>
      </c>
    </row>
    <row r="8870" spans="1:4" s="5" customFormat="1" x14ac:dyDescent="0.25">
      <c r="B8870" s="5" t="str">
        <f>T("Nicaragua")</f>
        <v>Nicaragua</v>
      </c>
      <c r="C8870" s="1"/>
      <c r="D8870" s="1"/>
    </row>
    <row r="8871" spans="1:4" x14ac:dyDescent="0.25">
      <c r="A8871" t="str">
        <f>T("   847190")</f>
        <v xml:space="preserve">   847190</v>
      </c>
      <c r="B8871" t="str">
        <f>T("   AUTRES")</f>
        <v xml:space="preserve">   AUTRES</v>
      </c>
      <c r="C8871" s="4">
        <v>228</v>
      </c>
      <c r="D8871" s="4">
        <v>752351</v>
      </c>
    </row>
    <row r="8872" spans="1:4" s="5" customFormat="1" x14ac:dyDescent="0.25">
      <c r="A8872" s="5" t="str">
        <f>T("   ZZ_Total_Produit_SH6")</f>
        <v xml:space="preserve">   ZZ_Total_Produit_SH6</v>
      </c>
      <c r="B8872" s="5" t="str">
        <f>T("   ZZ_Total_Produit_SH6")</f>
        <v xml:space="preserve">   ZZ_Total_Produit_SH6</v>
      </c>
      <c r="C8872" s="1">
        <v>228</v>
      </c>
      <c r="D8872" s="1">
        <v>752351</v>
      </c>
    </row>
    <row r="8873" spans="1:4" s="5" customFormat="1" x14ac:dyDescent="0.25">
      <c r="B8873" s="5" t="str">
        <f>T("Pays-bas")</f>
        <v>Pays-bas</v>
      </c>
      <c r="C8873" s="1"/>
      <c r="D8873" s="1"/>
    </row>
    <row r="8874" spans="1:4" x14ac:dyDescent="0.25">
      <c r="A8874" t="str">
        <f>T("   010519")</f>
        <v xml:space="preserve">   010519</v>
      </c>
      <c r="B8874" t="str">
        <f>T("   AUTRES VOLAILLES VIVANTES, D'UN POIDS N'EXCEDANT PAS 185 G")</f>
        <v xml:space="preserve">   AUTRES VOLAILLES VIVANTES, D'UN POIDS N'EXCEDANT PAS 185 G</v>
      </c>
      <c r="C8874" s="4">
        <v>440</v>
      </c>
      <c r="D8874" s="4">
        <v>200000</v>
      </c>
    </row>
    <row r="8875" spans="1:4" x14ac:dyDescent="0.25">
      <c r="A8875" t="str">
        <f>T("   020712")</f>
        <v xml:space="preserve">   020712</v>
      </c>
      <c r="B8875" t="str">
        <f>T("   NON DECOUPES EN MORCEAUX, CONGELES")</f>
        <v xml:space="preserve">   NON DECOUPES EN MORCEAUX, CONGELES</v>
      </c>
      <c r="C8875" s="4">
        <v>3711013</v>
      </c>
      <c r="D8875" s="4">
        <v>2217398920</v>
      </c>
    </row>
    <row r="8876" spans="1:4" x14ac:dyDescent="0.25">
      <c r="A8876" t="str">
        <f>T("   020714")</f>
        <v xml:space="preserve">   020714</v>
      </c>
      <c r="B8876" t="str">
        <f>T("   MORCEAUX ET ABATS, CONGELES")</f>
        <v xml:space="preserve">   MORCEAUX ET ABATS, CONGELES</v>
      </c>
      <c r="C8876" s="4">
        <v>23604643</v>
      </c>
      <c r="D8876" s="4">
        <v>14361037847</v>
      </c>
    </row>
    <row r="8877" spans="1:4" x14ac:dyDescent="0.25">
      <c r="A8877" t="str">
        <f>T("   020727")</f>
        <v xml:space="preserve">   020727</v>
      </c>
      <c r="B8877" t="str">
        <f>T("   MORCEAUX ET ABATS, CONGELES")</f>
        <v xml:space="preserve">   MORCEAUX ET ABATS, CONGELES</v>
      </c>
      <c r="C8877" s="4">
        <v>6564290</v>
      </c>
      <c r="D8877" s="4">
        <v>3997329140</v>
      </c>
    </row>
    <row r="8878" spans="1:4" x14ac:dyDescent="0.25">
      <c r="A8878" t="str">
        <f>T("   030219")</f>
        <v xml:space="preserve">   030219</v>
      </c>
      <c r="B8878" t="str">
        <f>T("   AUTRES")</f>
        <v xml:space="preserve">   AUTRES</v>
      </c>
      <c r="C8878" s="4">
        <v>6632049</v>
      </c>
      <c r="D8878" s="4">
        <v>2652819600</v>
      </c>
    </row>
    <row r="8879" spans="1:4" x14ac:dyDescent="0.25">
      <c r="A8879" t="str">
        <f>T("   030269")</f>
        <v xml:space="preserve">   030269</v>
      </c>
      <c r="B8879" t="str">
        <f>T("   Autres poissons entiers,frais ou refrigeres.(foies,oeufs laitances exclus)")</f>
        <v xml:space="preserve">   Autres poissons entiers,frais ou refrigeres.(foies,oeufs laitances exclus)</v>
      </c>
      <c r="C8879" s="4">
        <v>278500</v>
      </c>
      <c r="D8879" s="4">
        <v>111400000</v>
      </c>
    </row>
    <row r="8880" spans="1:4" x14ac:dyDescent="0.25">
      <c r="A8880" t="str">
        <f>T("   030339")</f>
        <v xml:space="preserve">   030339</v>
      </c>
      <c r="B8880" t="str">
        <f>T("   AUTRES")</f>
        <v xml:space="preserve">   AUTRES</v>
      </c>
      <c r="C8880" s="4">
        <v>74000</v>
      </c>
      <c r="D8880" s="4">
        <v>16650000</v>
      </c>
    </row>
    <row r="8881" spans="1:4" x14ac:dyDescent="0.25">
      <c r="A8881" t="str">
        <f>T("   030371")</f>
        <v xml:space="preserve">   030371</v>
      </c>
      <c r="B8881" t="str">
        <f>T("   SARDINES,SARDINELLES,SPRATS ENTIERS,CONGELES(FOIES,OEUFS,LAITANCES EXCLUS)")</f>
        <v xml:space="preserve">   SARDINES,SARDINELLES,SPRATS ENTIERS,CONGELES(FOIES,OEUFS,LAITANCES EXCLUS)</v>
      </c>
      <c r="C8881" s="4">
        <v>26500</v>
      </c>
      <c r="D8881" s="4">
        <v>10600000</v>
      </c>
    </row>
    <row r="8882" spans="1:4" x14ac:dyDescent="0.25">
      <c r="A8882" t="str">
        <f>T("   030379")</f>
        <v xml:space="preserve">   030379</v>
      </c>
      <c r="B8882" t="str">
        <f>T("   AUTRES POISSONS ENTIERS CONGELES.(FOIES,OEUFS,LAITANCES EXCLUS)")</f>
        <v xml:space="preserve">   AUTRES POISSONS ENTIERS CONGELES.(FOIES,OEUFS,LAITANCES EXCLUS)</v>
      </c>
      <c r="C8882" s="4">
        <v>5724833</v>
      </c>
      <c r="D8882" s="4">
        <v>2185551250</v>
      </c>
    </row>
    <row r="8883" spans="1:4" x14ac:dyDescent="0.25">
      <c r="A8883" t="str">
        <f>T("   040210")</f>
        <v xml:space="preserve">   040210</v>
      </c>
      <c r="B8883" t="str">
        <f>T("   EN POUDRE, EN GRANULES OU SOUS D’AUTRES FORMES SOLIDES, D’UNE TENEUR EN POIDS DE MATI")</f>
        <v xml:space="preserve">   EN POUDRE, EN GRANULES OU SOUS D’AUTRES FORMES SOLIDES, D’UNE TENEUR EN POIDS DE MATI</v>
      </c>
      <c r="C8883" s="4">
        <v>52020</v>
      </c>
      <c r="D8883" s="4">
        <v>93300000</v>
      </c>
    </row>
    <row r="8884" spans="1:4" x14ac:dyDescent="0.25">
      <c r="A8884" t="str">
        <f>T("   040221")</f>
        <v xml:space="preserve">   040221</v>
      </c>
      <c r="B8884" t="str">
        <f>T("   SANS ADDITION DE SUCRE OU D'AUTRES EDULCORANTS")</f>
        <v xml:space="preserve">   SANS ADDITION DE SUCRE OU D'AUTRES EDULCORANTS</v>
      </c>
      <c r="C8884" s="4">
        <v>306005.8</v>
      </c>
      <c r="D8884" s="4">
        <v>1025109753</v>
      </c>
    </row>
    <row r="8885" spans="1:4" x14ac:dyDescent="0.25">
      <c r="A8885" t="str">
        <f>T("   040229")</f>
        <v xml:space="preserve">   040229</v>
      </c>
      <c r="B8885" t="str">
        <f>T("   AUTRES")</f>
        <v xml:space="preserve">   AUTRES</v>
      </c>
      <c r="C8885" s="4">
        <v>32024</v>
      </c>
      <c r="D8885" s="4">
        <v>74985941</v>
      </c>
    </row>
    <row r="8886" spans="1:4" x14ac:dyDescent="0.25">
      <c r="A8886" t="str">
        <f>T("   040291")</f>
        <v xml:space="preserve">   040291</v>
      </c>
      <c r="B8886" t="str">
        <f>T("   SANS ADDITION DE SUCRE OU D'AUTRES EDULCORANTS")</f>
        <v xml:space="preserve">   SANS ADDITION DE SUCRE OU D'AUTRES EDULCORANTS</v>
      </c>
      <c r="C8886" s="4">
        <v>4968070.04</v>
      </c>
      <c r="D8886" s="4">
        <v>4699120000</v>
      </c>
    </row>
    <row r="8887" spans="1:4" x14ac:dyDescent="0.25">
      <c r="A8887" t="str">
        <f>T("   040310")</f>
        <v xml:space="preserve">   040310</v>
      </c>
      <c r="B8887" t="str">
        <f>T("   YOGHOURT")</f>
        <v xml:space="preserve">   YOGHOURT</v>
      </c>
      <c r="C8887" s="4">
        <v>2460</v>
      </c>
      <c r="D8887" s="4">
        <v>696630</v>
      </c>
    </row>
    <row r="8888" spans="1:4" x14ac:dyDescent="0.25">
      <c r="A8888" t="str">
        <f>T("   040900")</f>
        <v xml:space="preserve">   040900</v>
      </c>
      <c r="B8888" t="str">
        <f>T("   MIEL NATUREL.")</f>
        <v xml:space="preserve">   MIEL NATUREL.</v>
      </c>
      <c r="C8888" s="4">
        <v>396</v>
      </c>
      <c r="D8888" s="4">
        <v>1710874</v>
      </c>
    </row>
    <row r="8889" spans="1:4" x14ac:dyDescent="0.25">
      <c r="A8889" t="str">
        <f>T("   050400")</f>
        <v xml:space="preserve">   050400</v>
      </c>
      <c r="B8889" t="str">
        <f>T("   BOYAUX, VESSIES ET ESTOMACS D'ANIMAUX, ENTIERS OU EN MORCEAUX, AUTRES QUE CEUX DE POISS")</f>
        <v xml:space="preserve">   BOYAUX, VESSIES ET ESTOMACS D'ANIMAUX, ENTIERS OU EN MORCEAUX, AUTRES QUE CEUX DE POISS</v>
      </c>
      <c r="C8889" s="4">
        <v>687828</v>
      </c>
      <c r="D8889" s="4">
        <v>806002566</v>
      </c>
    </row>
    <row r="8890" spans="1:4" x14ac:dyDescent="0.25">
      <c r="A8890" t="str">
        <f>T("   070190")</f>
        <v xml:space="preserve">   070190</v>
      </c>
      <c r="B8890" t="str">
        <f>T("   AUTRES")</f>
        <v xml:space="preserve">   AUTRES</v>
      </c>
      <c r="C8890" s="4">
        <v>124785</v>
      </c>
      <c r="D8890" s="4">
        <v>28234753</v>
      </c>
    </row>
    <row r="8891" spans="1:4" x14ac:dyDescent="0.25">
      <c r="A8891" t="str">
        <f>T("   070310")</f>
        <v xml:space="preserve">   070310</v>
      </c>
      <c r="B8891" t="str">
        <f>T("   OIGNONS ET ECHALOTES")</f>
        <v xml:space="preserve">   OIGNONS ET ECHALOTES</v>
      </c>
      <c r="C8891" s="4">
        <v>27183</v>
      </c>
      <c r="D8891" s="4">
        <v>5361240</v>
      </c>
    </row>
    <row r="8892" spans="1:4" x14ac:dyDescent="0.25">
      <c r="A8892" t="str">
        <f>T("   071010")</f>
        <v xml:space="preserve">   071010</v>
      </c>
      <c r="B8892" t="str">
        <f>T("   POMMES DE TERRE")</f>
        <v xml:space="preserve">   POMMES DE TERRE</v>
      </c>
      <c r="C8892" s="4">
        <v>265382</v>
      </c>
      <c r="D8892" s="4">
        <v>43387849</v>
      </c>
    </row>
    <row r="8893" spans="1:4" x14ac:dyDescent="0.25">
      <c r="A8893" t="str">
        <f>T("   071220")</f>
        <v xml:space="preserve">   071220</v>
      </c>
      <c r="B8893" t="str">
        <f>T("   OIGNONS")</f>
        <v xml:space="preserve">   OIGNONS</v>
      </c>
      <c r="C8893" s="4">
        <v>28500</v>
      </c>
      <c r="D8893" s="4">
        <v>5458899</v>
      </c>
    </row>
    <row r="8894" spans="1:4" x14ac:dyDescent="0.25">
      <c r="A8894" t="str">
        <f>T("   100190")</f>
        <v xml:space="preserve">   100190</v>
      </c>
      <c r="B8894" t="str">
        <f>T("   AUTRES FROMENT (BLE) ET METEIL")</f>
        <v xml:space="preserve">   AUTRES FROMENT (BLE) ET METEIL</v>
      </c>
      <c r="C8894" s="4">
        <v>495000</v>
      </c>
      <c r="D8894" s="4">
        <v>74429972</v>
      </c>
    </row>
    <row r="8895" spans="1:4" x14ac:dyDescent="0.25">
      <c r="A8895" t="str">
        <f>T("   110100")</f>
        <v xml:space="preserve">   110100</v>
      </c>
      <c r="B8895" t="str">
        <f>T("   FARINES DE FROMENT (BLE) OU DE METEIL.")</f>
        <v xml:space="preserve">   FARINES DE FROMENT (BLE) OU DE METEIL.</v>
      </c>
      <c r="C8895" s="4">
        <v>4546900</v>
      </c>
      <c r="D8895" s="4">
        <v>1213034091.655</v>
      </c>
    </row>
    <row r="8896" spans="1:4" x14ac:dyDescent="0.25">
      <c r="A8896" t="str">
        <f>T("   110710")</f>
        <v xml:space="preserve">   110710</v>
      </c>
      <c r="B8896" t="str">
        <f>T("   NON TORREFIE")</f>
        <v xml:space="preserve">   NON TORREFIE</v>
      </c>
      <c r="C8896" s="4">
        <v>509530</v>
      </c>
      <c r="D8896" s="4">
        <v>217711807</v>
      </c>
    </row>
    <row r="8897" spans="1:4" x14ac:dyDescent="0.25">
      <c r="A8897" t="str">
        <f>T("   151620")</f>
        <v xml:space="preserve">   151620</v>
      </c>
      <c r="B8897" t="str">
        <f>T("   GRAISSES ET HUILES VEGETALES ET LEURS FRACTIONS")</f>
        <v xml:space="preserve">   GRAISSES ET HUILES VEGETALES ET LEURS FRACTIONS</v>
      </c>
      <c r="C8897" s="4">
        <v>2251</v>
      </c>
      <c r="D8897" s="4">
        <v>562815</v>
      </c>
    </row>
    <row r="8898" spans="1:4" x14ac:dyDescent="0.25">
      <c r="A8898" t="str">
        <f>T("   151710")</f>
        <v xml:space="preserve">   151710</v>
      </c>
      <c r="B8898" t="str">
        <f>T("   Margarine, a l'exclusion de la margarine liquide")</f>
        <v xml:space="preserve">   Margarine, a l'exclusion de la margarine liquide</v>
      </c>
      <c r="C8898" s="4">
        <v>11440</v>
      </c>
      <c r="D8898" s="4">
        <v>5225450</v>
      </c>
    </row>
    <row r="8899" spans="1:4" x14ac:dyDescent="0.25">
      <c r="A8899" t="str">
        <f>T("   160100")</f>
        <v xml:space="preserve">   160100</v>
      </c>
      <c r="B8899" t="str">
        <f>T("   SAUCISSES, SAUCISSONS ET PRODUITS SIMILAIRES, DE VIANDE, D'ABATS OU DE SANG; PREPARATIO")</f>
        <v xml:space="preserve">   SAUCISSES, SAUCISSONS ET PRODUITS SIMILAIRES, DE VIANDE, D'ABATS OU DE SANG; PREPARATIO</v>
      </c>
      <c r="C8899" s="4">
        <v>87770</v>
      </c>
      <c r="D8899" s="4">
        <v>38998919</v>
      </c>
    </row>
    <row r="8900" spans="1:4" x14ac:dyDescent="0.25">
      <c r="A8900" t="str">
        <f>T("   160232")</f>
        <v xml:space="preserve">   160232</v>
      </c>
      <c r="B8900" t="str">
        <f>T("   DE COQS ET DE POULES")</f>
        <v xml:space="preserve">   DE COQS ET DE POULES</v>
      </c>
      <c r="C8900" s="4">
        <v>102833</v>
      </c>
      <c r="D8900" s="4">
        <v>73400006</v>
      </c>
    </row>
    <row r="8901" spans="1:4" x14ac:dyDescent="0.25">
      <c r="A8901" t="str">
        <f>T("   170290")</f>
        <v xml:space="preserve">   170290</v>
      </c>
      <c r="B8901" t="str">
        <f>T("   AUTRES, Y COMPRIS LE SUCRE INVERTI (OU INTERVERTI) ET LES AUTRES SUCRES ET SIROPS DE")</f>
        <v xml:space="preserve">   AUTRES, Y COMPRIS LE SUCRE INVERTI (OU INTERVERTI) ET LES AUTRES SUCRES ET SIROPS DE</v>
      </c>
      <c r="C8901" s="4">
        <v>26</v>
      </c>
      <c r="D8901" s="4">
        <v>7216</v>
      </c>
    </row>
    <row r="8902" spans="1:4" x14ac:dyDescent="0.25">
      <c r="A8902" t="str">
        <f>T("   170490")</f>
        <v xml:space="preserve">   170490</v>
      </c>
      <c r="B8902" t="str">
        <f>T("   AUTRES")</f>
        <v xml:space="preserve">   AUTRES</v>
      </c>
      <c r="C8902" s="4">
        <v>27342</v>
      </c>
      <c r="D8902" s="4">
        <v>5450000</v>
      </c>
    </row>
    <row r="8903" spans="1:4" x14ac:dyDescent="0.25">
      <c r="A8903" t="str">
        <f>T("   180631")</f>
        <v xml:space="preserve">   180631</v>
      </c>
      <c r="B8903" t="str">
        <f>T("   FOURRES")</f>
        <v xml:space="preserve">   FOURRES</v>
      </c>
      <c r="C8903" s="4">
        <v>115</v>
      </c>
      <c r="D8903" s="4">
        <v>926740</v>
      </c>
    </row>
    <row r="8904" spans="1:4" x14ac:dyDescent="0.25">
      <c r="A8904" t="str">
        <f>T("   180690")</f>
        <v xml:space="preserve">   180690</v>
      </c>
      <c r="B8904" t="str">
        <f>T("   AUTRES")</f>
        <v xml:space="preserve">   AUTRES</v>
      </c>
      <c r="C8904" s="4">
        <v>34</v>
      </c>
      <c r="D8904" s="4">
        <v>242443</v>
      </c>
    </row>
    <row r="8905" spans="1:4" x14ac:dyDescent="0.25">
      <c r="A8905" t="str">
        <f>T("   190190")</f>
        <v xml:space="preserve">   190190</v>
      </c>
      <c r="B8905" t="str">
        <f>T("   AUTRES")</f>
        <v xml:space="preserve">   AUTRES</v>
      </c>
      <c r="C8905" s="4">
        <v>626577</v>
      </c>
      <c r="D8905" s="4">
        <v>310778000</v>
      </c>
    </row>
    <row r="8906" spans="1:4" x14ac:dyDescent="0.25">
      <c r="A8906" t="str">
        <f>T("   190531")</f>
        <v xml:space="preserve">   190531</v>
      </c>
      <c r="B8906" t="str">
        <f>T("   BISCUITS ADDITIONNES D’EDULCORANTS")</f>
        <v xml:space="preserve">   BISCUITS ADDITIONNES D’EDULCORANTS</v>
      </c>
      <c r="C8906" s="4">
        <v>46185</v>
      </c>
      <c r="D8906" s="4">
        <v>55127586</v>
      </c>
    </row>
    <row r="8907" spans="1:4" x14ac:dyDescent="0.25">
      <c r="A8907" t="str">
        <f>T("   190590")</f>
        <v xml:space="preserve">   190590</v>
      </c>
      <c r="B8907" t="str">
        <f>T("   AUTRES")</f>
        <v xml:space="preserve">   AUTRES</v>
      </c>
      <c r="C8907" s="4">
        <v>6383</v>
      </c>
      <c r="D8907" s="4">
        <v>1956073</v>
      </c>
    </row>
    <row r="8908" spans="1:4" x14ac:dyDescent="0.25">
      <c r="A8908" t="str">
        <f>T("   200410")</f>
        <v xml:space="preserve">   200410</v>
      </c>
      <c r="B8908" t="str">
        <f>T("   POMMES DE TERRE")</f>
        <v xml:space="preserve">   POMMES DE TERRE</v>
      </c>
      <c r="C8908" s="4">
        <v>50400</v>
      </c>
      <c r="D8908" s="4">
        <v>14257947</v>
      </c>
    </row>
    <row r="8909" spans="1:4" x14ac:dyDescent="0.25">
      <c r="A8909" t="str">
        <f>T("   210390")</f>
        <v xml:space="preserve">   210390</v>
      </c>
      <c r="B8909" t="str">
        <f>T("   AUTRES")</f>
        <v xml:space="preserve">   AUTRES</v>
      </c>
      <c r="C8909" s="4">
        <v>10</v>
      </c>
      <c r="D8909" s="4">
        <v>32798</v>
      </c>
    </row>
    <row r="8910" spans="1:4" x14ac:dyDescent="0.25">
      <c r="A8910" t="str">
        <f>T("   210690")</f>
        <v xml:space="preserve">   210690</v>
      </c>
      <c r="B8910" t="str">
        <f>T("   AUTRES")</f>
        <v xml:space="preserve">   AUTRES</v>
      </c>
      <c r="C8910" s="4">
        <v>2701</v>
      </c>
      <c r="D8910" s="4">
        <v>27697071</v>
      </c>
    </row>
    <row r="8911" spans="1:4" x14ac:dyDescent="0.25">
      <c r="A8911" t="str">
        <f>T("   220110")</f>
        <v xml:space="preserve">   220110</v>
      </c>
      <c r="B8911" t="str">
        <f>T("   EAUX MINERALES ET EAUX GAZEIFIEES")</f>
        <v xml:space="preserve">   EAUX MINERALES ET EAUX GAZEIFIEES</v>
      </c>
      <c r="C8911" s="4">
        <v>4743</v>
      </c>
      <c r="D8911" s="4">
        <v>237458</v>
      </c>
    </row>
    <row r="8912" spans="1:4" x14ac:dyDescent="0.25">
      <c r="A8912" t="str">
        <f>T("   220290")</f>
        <v xml:space="preserve">   220290</v>
      </c>
      <c r="B8912" t="str">
        <f>T("   AUTRES")</f>
        <v xml:space="preserve">   AUTRES</v>
      </c>
      <c r="C8912" s="4">
        <v>541373</v>
      </c>
      <c r="D8912" s="4">
        <v>135144498</v>
      </c>
    </row>
    <row r="8913" spans="1:4" x14ac:dyDescent="0.25">
      <c r="A8913" t="str">
        <f>T("   220300")</f>
        <v xml:space="preserve">   220300</v>
      </c>
      <c r="B8913" t="str">
        <f>T("   BIERES DE MALT.")</f>
        <v xml:space="preserve">   BIERES DE MALT.</v>
      </c>
      <c r="C8913" s="4">
        <v>735487</v>
      </c>
      <c r="D8913" s="4">
        <v>143568553</v>
      </c>
    </row>
    <row r="8914" spans="1:4" x14ac:dyDescent="0.25">
      <c r="A8914" t="str">
        <f>T("   220429")</f>
        <v xml:space="preserve">   220429</v>
      </c>
      <c r="B8914" t="str">
        <f>T("   AUTRES")</f>
        <v xml:space="preserve">   AUTRES</v>
      </c>
      <c r="C8914" s="4">
        <v>6</v>
      </c>
      <c r="D8914" s="4">
        <v>3936</v>
      </c>
    </row>
    <row r="8915" spans="1:4" x14ac:dyDescent="0.25">
      <c r="A8915" t="str">
        <f>T("   220600")</f>
        <v xml:space="preserve">   220600</v>
      </c>
      <c r="B8915" t="str">
        <f>T("   AUTRES BOISSONS FERMENTEES (CIDRE, POIRE, HYDROMEL, PAR EXEMPLE); MELANGES DE BOISSONS")</f>
        <v xml:space="preserve">   AUTRES BOISSONS FERMENTEES (CIDRE, POIRE, HYDROMEL, PAR EXEMPLE); MELANGES DE BOISSONS</v>
      </c>
      <c r="C8915" s="4">
        <v>18444</v>
      </c>
      <c r="D8915" s="4">
        <v>3313910</v>
      </c>
    </row>
    <row r="8916" spans="1:4" x14ac:dyDescent="0.25">
      <c r="A8916" t="str">
        <f>T("   220890")</f>
        <v xml:space="preserve">   220890</v>
      </c>
      <c r="B8916" t="str">
        <f>T("   AUTRES")</f>
        <v xml:space="preserve">   AUTRES</v>
      </c>
      <c r="C8916" s="4">
        <v>96</v>
      </c>
      <c r="D8916" s="4">
        <v>253857</v>
      </c>
    </row>
    <row r="8917" spans="1:4" x14ac:dyDescent="0.25">
      <c r="A8917" t="str">
        <f>T("   230990")</f>
        <v xml:space="preserve">   230990</v>
      </c>
      <c r="B8917" t="str">
        <f>T("   AUTRES")</f>
        <v xml:space="preserve">   AUTRES</v>
      </c>
      <c r="C8917" s="4">
        <v>181907</v>
      </c>
      <c r="D8917" s="4">
        <v>70627213</v>
      </c>
    </row>
    <row r="8918" spans="1:4" x14ac:dyDescent="0.25">
      <c r="A8918" t="str">
        <f>T("   250590")</f>
        <v xml:space="preserve">   250590</v>
      </c>
      <c r="B8918" t="str">
        <f>T("   AUTRES SABLES")</f>
        <v xml:space="preserve">   AUTRES SABLES</v>
      </c>
      <c r="C8918" s="4">
        <v>8841</v>
      </c>
      <c r="D8918" s="4">
        <v>9008621</v>
      </c>
    </row>
    <row r="8919" spans="1:4" x14ac:dyDescent="0.25">
      <c r="A8919" t="str">
        <f>T("   252329")</f>
        <v xml:space="preserve">   252329</v>
      </c>
      <c r="B8919" t="str">
        <f>T("   AUTRES")</f>
        <v xml:space="preserve">   AUTRES</v>
      </c>
      <c r="C8919" s="4">
        <v>1039</v>
      </c>
      <c r="D8919" s="4">
        <v>1059040</v>
      </c>
    </row>
    <row r="8920" spans="1:4" x14ac:dyDescent="0.25">
      <c r="A8920" t="str">
        <f>T("   271011")</f>
        <v xml:space="preserve">   271011</v>
      </c>
      <c r="B8920" t="str">
        <f>T("   HUILLES DE PETROLE OU D'ESSENCE")</f>
        <v xml:space="preserve">   HUILLES DE PETROLE OU D'ESSENCE</v>
      </c>
      <c r="C8920" s="4">
        <v>408327</v>
      </c>
      <c r="D8920" s="4">
        <v>224279492</v>
      </c>
    </row>
    <row r="8921" spans="1:4" x14ac:dyDescent="0.25">
      <c r="A8921" t="str">
        <f>T("   271019")</f>
        <v xml:space="preserve">   271019</v>
      </c>
      <c r="B8921" t="str">
        <f>T("   AUTRES")</f>
        <v xml:space="preserve">   AUTRES</v>
      </c>
      <c r="C8921" s="4">
        <v>31452970.68</v>
      </c>
      <c r="D8921" s="4">
        <v>10634461536</v>
      </c>
    </row>
    <row r="8922" spans="1:4" x14ac:dyDescent="0.25">
      <c r="A8922" t="str">
        <f>T("   271220")</f>
        <v xml:space="preserve">   271220</v>
      </c>
      <c r="B8922" t="str">
        <f>T("   PARAFFINE CONTENANT EN POIDS MOINS DE 0,75 % D'HUILE")</f>
        <v xml:space="preserve">   PARAFFINE CONTENANT EN POIDS MOINS DE 0,75 % D'HUILE</v>
      </c>
      <c r="C8922" s="4">
        <v>21</v>
      </c>
      <c r="D8922" s="4">
        <v>163990</v>
      </c>
    </row>
    <row r="8923" spans="1:4" x14ac:dyDescent="0.25">
      <c r="A8923" t="str">
        <f>T("   282890")</f>
        <v xml:space="preserve">   282890</v>
      </c>
      <c r="B8923" t="str">
        <f>T("   AUTRES")</f>
        <v xml:space="preserve">   AUTRES</v>
      </c>
      <c r="C8923" s="4">
        <v>88</v>
      </c>
      <c r="D8923" s="4">
        <v>297635</v>
      </c>
    </row>
    <row r="8924" spans="1:4" x14ac:dyDescent="0.25">
      <c r="A8924" t="str">
        <f>T("   290110")</f>
        <v xml:space="preserve">   290110</v>
      </c>
      <c r="B8924" t="str">
        <f>T("   SATURES")</f>
        <v xml:space="preserve">   SATURES</v>
      </c>
      <c r="C8924" s="4">
        <v>45900</v>
      </c>
      <c r="D8924" s="4">
        <v>38770123</v>
      </c>
    </row>
    <row r="8925" spans="1:4" x14ac:dyDescent="0.25">
      <c r="A8925" t="str">
        <f>T("   290230")</f>
        <v xml:space="preserve">   290230</v>
      </c>
      <c r="B8925" t="str">
        <f>T("   TOLUENE")</f>
        <v xml:space="preserve">   TOLUENE</v>
      </c>
      <c r="C8925" s="4">
        <v>28800</v>
      </c>
      <c r="D8925" s="4">
        <v>21104201</v>
      </c>
    </row>
    <row r="8926" spans="1:4" x14ac:dyDescent="0.25">
      <c r="A8926" t="str">
        <f>T("   293629")</f>
        <v xml:space="preserve">   293629</v>
      </c>
      <c r="B8926" t="str">
        <f>T("   AUTRES VITAMINES ET LEURS DERIVES")</f>
        <v xml:space="preserve">   AUTRES VITAMINES ET LEURS DERIVES</v>
      </c>
      <c r="C8926" s="4">
        <v>1044</v>
      </c>
      <c r="D8926" s="4">
        <v>5643224</v>
      </c>
    </row>
    <row r="8927" spans="1:4" x14ac:dyDescent="0.25">
      <c r="A8927" t="str">
        <f>T("   294190")</f>
        <v xml:space="preserve">   294190</v>
      </c>
      <c r="B8927" t="str">
        <f>T("   AUTRES")</f>
        <v xml:space="preserve">   AUTRES</v>
      </c>
      <c r="C8927" s="4">
        <v>106</v>
      </c>
      <c r="D8927" s="4">
        <v>3111454</v>
      </c>
    </row>
    <row r="8928" spans="1:4" x14ac:dyDescent="0.25">
      <c r="A8928" t="str">
        <f>T("   294200")</f>
        <v xml:space="preserve">   294200</v>
      </c>
      <c r="B8928" t="str">
        <f>T("   AUTRES COMPOSES ORGANIQUES.")</f>
        <v xml:space="preserve">   AUTRES COMPOSES ORGANIQUES.</v>
      </c>
      <c r="C8928" s="4">
        <v>12.7</v>
      </c>
      <c r="D8928" s="4">
        <v>60000</v>
      </c>
    </row>
    <row r="8929" spans="1:4" x14ac:dyDescent="0.25">
      <c r="A8929" t="str">
        <f>T("   300310")</f>
        <v xml:space="preserve">   300310</v>
      </c>
      <c r="B8929" t="str">
        <f>T("   CONTENANT DES PENICILLINES OU DES DERIVES DE CES PRODUITS, A STRUCTURE D'ACIDE PENICI")</f>
        <v xml:space="preserve">   CONTENANT DES PENICILLINES OU DES DERIVES DE CES PRODUITS, A STRUCTURE D'ACIDE PENICI</v>
      </c>
      <c r="C8929" s="4">
        <v>254</v>
      </c>
      <c r="D8929" s="4">
        <v>1372052</v>
      </c>
    </row>
    <row r="8930" spans="1:4" x14ac:dyDescent="0.25">
      <c r="A8930" t="str">
        <f>T("   300320")</f>
        <v xml:space="preserve">   300320</v>
      </c>
      <c r="B8930" t="str">
        <f>T("   CONTENANT D'AUTRES ANTIBIOTIQUES")</f>
        <v xml:space="preserve">   CONTENANT D'AUTRES ANTIBIOTIQUES</v>
      </c>
      <c r="C8930" s="4">
        <v>562</v>
      </c>
      <c r="D8930" s="4">
        <v>2689436</v>
      </c>
    </row>
    <row r="8931" spans="1:4" x14ac:dyDescent="0.25">
      <c r="A8931" t="str">
        <f>T("   300339")</f>
        <v xml:space="preserve">   300339</v>
      </c>
      <c r="B8931" t="str">
        <f>T("   AUTRES")</f>
        <v xml:space="preserve">   AUTRES</v>
      </c>
      <c r="C8931" s="4">
        <v>29</v>
      </c>
      <c r="D8931" s="4">
        <v>654833</v>
      </c>
    </row>
    <row r="8932" spans="1:4" x14ac:dyDescent="0.25">
      <c r="A8932" t="str">
        <f>T("   300390")</f>
        <v xml:space="preserve">   300390</v>
      </c>
      <c r="B8932" t="str">
        <f>T("   AUTRES")</f>
        <v xml:space="preserve">   AUTRES</v>
      </c>
      <c r="C8932" s="4">
        <v>2950</v>
      </c>
      <c r="D8932" s="4">
        <v>41964681</v>
      </c>
    </row>
    <row r="8933" spans="1:4" x14ac:dyDescent="0.25">
      <c r="A8933" t="str">
        <f>T("   300420")</f>
        <v xml:space="preserve">   300420</v>
      </c>
      <c r="B8933" t="str">
        <f>T("   CONTENANT D'AUTRES ANTIBIOTIQUES")</f>
        <v xml:space="preserve">   CONTENANT D'AUTRES ANTIBIOTIQUES</v>
      </c>
      <c r="C8933" s="4">
        <v>141</v>
      </c>
      <c r="D8933" s="4">
        <v>8574162</v>
      </c>
    </row>
    <row r="8934" spans="1:4" x14ac:dyDescent="0.25">
      <c r="A8934" t="str">
        <f>T("   300490")</f>
        <v xml:space="preserve">   300490</v>
      </c>
      <c r="B8934" t="str">
        <f>T("   AUTRES")</f>
        <v xml:space="preserve">   AUTRES</v>
      </c>
      <c r="C8934" s="4">
        <v>24792</v>
      </c>
      <c r="D8934" s="4">
        <v>161158068</v>
      </c>
    </row>
    <row r="8935" spans="1:4" x14ac:dyDescent="0.25">
      <c r="A8935" t="str">
        <f>T("   300590")</f>
        <v xml:space="preserve">   300590</v>
      </c>
      <c r="B8935" t="str">
        <f>T("   AUTRES")</f>
        <v xml:space="preserve">   AUTRES</v>
      </c>
      <c r="C8935" s="4">
        <v>270</v>
      </c>
      <c r="D8935" s="4">
        <v>2024948</v>
      </c>
    </row>
    <row r="8936" spans="1:4" x14ac:dyDescent="0.25">
      <c r="A8936" t="str">
        <f>T("   321590")</f>
        <v xml:space="preserve">   321590</v>
      </c>
      <c r="B8936" t="str">
        <f>T("   AUTRES")</f>
        <v xml:space="preserve">   AUTRES</v>
      </c>
      <c r="C8936" s="4">
        <v>492</v>
      </c>
      <c r="D8936" s="4">
        <v>23031890</v>
      </c>
    </row>
    <row r="8937" spans="1:4" x14ac:dyDescent="0.25">
      <c r="A8937" t="str">
        <f>T("   330210")</f>
        <v xml:space="preserve">   330210</v>
      </c>
      <c r="B8937" t="str">
        <f>T("   DES TYPES UTILISES POUR LES INDUSTRIES ALIMENTAIRES OU DES BOISSONS")</f>
        <v xml:space="preserve">   DES TYPES UTILISES POUR LES INDUSTRIES ALIMENTAIRES OU DES BOISSONS</v>
      </c>
      <c r="C8937" s="4">
        <v>27168</v>
      </c>
      <c r="D8937" s="4">
        <v>86035057</v>
      </c>
    </row>
    <row r="8938" spans="1:4" x14ac:dyDescent="0.25">
      <c r="A8938" t="str">
        <f>T("   330499")</f>
        <v xml:space="preserve">   330499</v>
      </c>
      <c r="B8938" t="str">
        <f>T("   AUTRES")</f>
        <v xml:space="preserve">   AUTRES</v>
      </c>
      <c r="C8938" s="4">
        <v>9017</v>
      </c>
      <c r="D8938" s="4">
        <v>42696574</v>
      </c>
    </row>
    <row r="8939" spans="1:4" x14ac:dyDescent="0.25">
      <c r="A8939" t="str">
        <f>T("   330610")</f>
        <v xml:space="preserve">   330610</v>
      </c>
      <c r="B8939" t="str">
        <f>T("   Dentifrices")</f>
        <v xml:space="preserve">   Dentifrices</v>
      </c>
      <c r="C8939" s="4">
        <v>1119</v>
      </c>
      <c r="D8939" s="4">
        <v>7887263</v>
      </c>
    </row>
    <row r="8940" spans="1:4" x14ac:dyDescent="0.25">
      <c r="A8940" t="str">
        <f>T("   330749")</f>
        <v xml:space="preserve">   330749</v>
      </c>
      <c r="B8940" t="str">
        <f>T("   AUTRES")</f>
        <v xml:space="preserve">   AUTRES</v>
      </c>
      <c r="C8940" s="4">
        <v>5448</v>
      </c>
      <c r="D8940" s="4">
        <v>6834447</v>
      </c>
    </row>
    <row r="8941" spans="1:4" x14ac:dyDescent="0.25">
      <c r="A8941" t="str">
        <f>T("   340111")</f>
        <v xml:space="preserve">   340111</v>
      </c>
      <c r="B8941" t="str">
        <f>T("   DE TOILETTE (Y COMPRIS CEUX A USAGES MEDICAUX)")</f>
        <v xml:space="preserve">   DE TOILETTE (Y COMPRIS CEUX A USAGES MEDICAUX)</v>
      </c>
      <c r="C8941" s="4">
        <v>603</v>
      </c>
      <c r="D8941" s="4">
        <v>1643573</v>
      </c>
    </row>
    <row r="8942" spans="1:4" x14ac:dyDescent="0.25">
      <c r="A8942" t="str">
        <f>T("   340130")</f>
        <v xml:space="preserve">   340130</v>
      </c>
      <c r="B8942" t="str">
        <f>T("   PRODUITS ET PREPARATIONS ORGANIQUES TENSIOACTIFS DESTINES AU LAVAGE DE LA PEAU, SOUS")</f>
        <v xml:space="preserve">   PRODUITS ET PREPARATIONS ORGANIQUES TENSIOACTIFS DESTINES AU LAVAGE DE LA PEAU, SOUS</v>
      </c>
      <c r="C8942" s="4">
        <v>3255</v>
      </c>
      <c r="D8942" s="4">
        <v>74588418</v>
      </c>
    </row>
    <row r="8943" spans="1:4" x14ac:dyDescent="0.25">
      <c r="A8943" t="str">
        <f>T("   340220")</f>
        <v xml:space="preserve">   340220</v>
      </c>
      <c r="B8943" t="str">
        <f>T("   PREPARATIONS CONDITIONNEES POUR LA VENTE AU DETAIL")</f>
        <v xml:space="preserve">   PREPARATIONS CONDITIONNEES POUR LA VENTE AU DETAIL</v>
      </c>
      <c r="C8943" s="4">
        <v>2286</v>
      </c>
      <c r="D8943" s="4">
        <v>3681248</v>
      </c>
    </row>
    <row r="8944" spans="1:4" x14ac:dyDescent="0.25">
      <c r="A8944" t="str">
        <f>T("   340510")</f>
        <v xml:space="preserve">   340510</v>
      </c>
      <c r="B8944" t="str">
        <f>T("   CIRAGES, CREMES ET PREPARATIONS SIMILAIRES POUR CHAUSSURES OU POUR CUIR")</f>
        <v xml:space="preserve">   CIRAGES, CREMES ET PREPARATIONS SIMILAIRES POUR CHAUSSURES OU POUR CUIR</v>
      </c>
      <c r="C8944" s="4">
        <v>21642</v>
      </c>
      <c r="D8944" s="4">
        <v>3186347</v>
      </c>
    </row>
    <row r="8945" spans="1:4" x14ac:dyDescent="0.25">
      <c r="A8945" t="str">
        <f>T("   350510")</f>
        <v xml:space="preserve">   350510</v>
      </c>
      <c r="B8945" t="str">
        <f>T("   Dextrine et autres amidons et fecules modifies")</f>
        <v xml:space="preserve">   Dextrine et autres amidons et fecules modifies</v>
      </c>
      <c r="C8945" s="4">
        <v>28704</v>
      </c>
      <c r="D8945" s="4">
        <v>21361088</v>
      </c>
    </row>
    <row r="8946" spans="1:4" x14ac:dyDescent="0.25">
      <c r="A8946" t="str">
        <f>T("   370790")</f>
        <v xml:space="preserve">   370790</v>
      </c>
      <c r="B8946" t="str">
        <f>T("   AUTRES")</f>
        <v xml:space="preserve">   AUTRES</v>
      </c>
      <c r="C8946" s="4">
        <v>72</v>
      </c>
      <c r="D8946" s="4">
        <v>1556593</v>
      </c>
    </row>
    <row r="8947" spans="1:4" x14ac:dyDescent="0.25">
      <c r="A8947" t="str">
        <f>T("   380290")</f>
        <v xml:space="preserve">   380290</v>
      </c>
      <c r="B8947" t="str">
        <f>T("   AUTRES")</f>
        <v xml:space="preserve">   AUTRES</v>
      </c>
      <c r="C8947" s="4">
        <v>10363</v>
      </c>
      <c r="D8947" s="4">
        <v>2746698</v>
      </c>
    </row>
    <row r="8948" spans="1:4" x14ac:dyDescent="0.25">
      <c r="A8948" t="str">
        <f>T("   380899")</f>
        <v xml:space="preserve">   380899</v>
      </c>
      <c r="B8948" t="str">
        <f>T("   AUTRES")</f>
        <v xml:space="preserve">   AUTRES</v>
      </c>
      <c r="C8948" s="4">
        <v>11.08</v>
      </c>
      <c r="D8948" s="4">
        <v>484861</v>
      </c>
    </row>
    <row r="8949" spans="1:4" x14ac:dyDescent="0.25">
      <c r="A8949" t="str">
        <f>T("   382200")</f>
        <v xml:space="preserve">   382200</v>
      </c>
      <c r="B8949" t="str">
        <f>T("   REACTIFS DE DIAGNOSTIC OU DE LABORATOIRE SUR TOUT SUPPORT ET REACTIFS DE DIAGNOSTIC OU")</f>
        <v xml:space="preserve">   REACTIFS DE DIAGNOSTIC OU DE LABORATOIRE SUR TOUT SUPPORT ET REACTIFS DE DIAGNOSTIC OU</v>
      </c>
      <c r="C8949" s="4">
        <v>19</v>
      </c>
      <c r="D8949" s="4">
        <v>782088</v>
      </c>
    </row>
    <row r="8950" spans="1:4" x14ac:dyDescent="0.25">
      <c r="A8950" t="str">
        <f>T("   382440")</f>
        <v xml:space="preserve">   382440</v>
      </c>
      <c r="B8950" t="str">
        <f>T("   ADDITIFS PREPARES POUR CIMENTS, MORTIERS OU BETONS")</f>
        <v xml:space="preserve">   ADDITIFS PREPARES POUR CIMENTS, MORTIERS OU BETONS</v>
      </c>
      <c r="C8950" s="4">
        <v>50</v>
      </c>
      <c r="D8950" s="4">
        <v>1573648</v>
      </c>
    </row>
    <row r="8951" spans="1:4" x14ac:dyDescent="0.25">
      <c r="A8951" t="str">
        <f>T("   382490")</f>
        <v xml:space="preserve">   382490</v>
      </c>
      <c r="B8951" t="str">
        <f>T("   AUTRES")</f>
        <v xml:space="preserve">   AUTRES</v>
      </c>
      <c r="C8951" s="4">
        <v>2041</v>
      </c>
      <c r="D8951" s="4">
        <v>6200994</v>
      </c>
    </row>
    <row r="8952" spans="1:4" x14ac:dyDescent="0.25">
      <c r="A8952" t="str">
        <f>T("   392390")</f>
        <v xml:space="preserve">   392390</v>
      </c>
      <c r="B8952" t="str">
        <f>T("   AUTRES")</f>
        <v xml:space="preserve">   AUTRES</v>
      </c>
      <c r="C8952" s="4">
        <v>125</v>
      </c>
      <c r="D8952" s="4">
        <v>308957</v>
      </c>
    </row>
    <row r="8953" spans="1:4" x14ac:dyDescent="0.25">
      <c r="A8953" t="str">
        <f>T("   392410")</f>
        <v xml:space="preserve">   392410</v>
      </c>
      <c r="B8953" t="str">
        <f>T("   VAISSELLE ET AUTRES ARTICLES POUR LE SERVICE DE LA TABLE OU DE LA CUISINE")</f>
        <v xml:space="preserve">   VAISSELLE ET AUTRES ARTICLES POUR LE SERVICE DE LA TABLE OU DE LA CUISINE</v>
      </c>
      <c r="C8953" s="4">
        <v>1270</v>
      </c>
      <c r="D8953" s="4">
        <v>846188</v>
      </c>
    </row>
    <row r="8954" spans="1:4" x14ac:dyDescent="0.25">
      <c r="A8954" t="str">
        <f>T("   392490")</f>
        <v xml:space="preserve">   392490</v>
      </c>
      <c r="B8954" t="str">
        <f>T("   AUTRES")</f>
        <v xml:space="preserve">   AUTRES</v>
      </c>
      <c r="C8954" s="4">
        <v>5460</v>
      </c>
      <c r="D8954" s="4">
        <v>2117439</v>
      </c>
    </row>
    <row r="8955" spans="1:4" x14ac:dyDescent="0.25">
      <c r="A8955" t="str">
        <f>T("   392690")</f>
        <v xml:space="preserve">   392690</v>
      </c>
      <c r="B8955" t="str">
        <f>T("   AUTRES")</f>
        <v xml:space="preserve">   AUTRES</v>
      </c>
      <c r="C8955" s="4">
        <v>103</v>
      </c>
      <c r="D8955" s="4">
        <v>1909499</v>
      </c>
    </row>
    <row r="8956" spans="1:4" x14ac:dyDescent="0.25">
      <c r="A8956" t="str">
        <f>T("   400921")</f>
        <v xml:space="preserve">   400921</v>
      </c>
      <c r="B8956" t="str">
        <f>T("   SANS ACCESSOIRES")</f>
        <v xml:space="preserve">   SANS ACCESSOIRES</v>
      </c>
      <c r="C8956" s="4">
        <v>8</v>
      </c>
      <c r="D8956" s="4">
        <v>110746</v>
      </c>
    </row>
    <row r="8957" spans="1:4" x14ac:dyDescent="0.25">
      <c r="A8957" t="str">
        <f>T("   401199")</f>
        <v xml:space="preserve">   401199</v>
      </c>
      <c r="B8957" t="str">
        <f>T("   AUTRES")</f>
        <v xml:space="preserve">   AUTRES</v>
      </c>
      <c r="C8957" s="4">
        <v>5935</v>
      </c>
      <c r="D8957" s="4">
        <v>5818365</v>
      </c>
    </row>
    <row r="8958" spans="1:4" x14ac:dyDescent="0.25">
      <c r="A8958" t="str">
        <f>T("   401220")</f>
        <v xml:space="preserve">   401220</v>
      </c>
      <c r="B8958" t="str">
        <f>T("   PNEUMATIQUES USAGES")</f>
        <v xml:space="preserve">   PNEUMATIQUES USAGES</v>
      </c>
      <c r="C8958" s="4">
        <v>3980</v>
      </c>
      <c r="D8958" s="4">
        <v>712458</v>
      </c>
    </row>
    <row r="8959" spans="1:4" x14ac:dyDescent="0.25">
      <c r="A8959" t="str">
        <f>T("   401511")</f>
        <v xml:space="preserve">   401511</v>
      </c>
      <c r="B8959" t="str">
        <f>T("   POUR CHIRURGIE")</f>
        <v xml:space="preserve">   POUR CHIRURGIE</v>
      </c>
      <c r="C8959" s="4">
        <v>825</v>
      </c>
      <c r="D8959" s="4">
        <v>6219157</v>
      </c>
    </row>
    <row r="8960" spans="1:4" x14ac:dyDescent="0.25">
      <c r="A8960" t="str">
        <f>T("   401519")</f>
        <v xml:space="preserve">   401519</v>
      </c>
      <c r="B8960" t="str">
        <f>T("   AUTRES")</f>
        <v xml:space="preserve">   AUTRES</v>
      </c>
      <c r="C8960" s="4">
        <v>574</v>
      </c>
      <c r="D8960" s="4">
        <v>36492240</v>
      </c>
    </row>
    <row r="8961" spans="1:4" x14ac:dyDescent="0.25">
      <c r="A8961" t="str">
        <f>T("   401699")</f>
        <v xml:space="preserve">   401699</v>
      </c>
      <c r="B8961" t="str">
        <f>T("   AUTRES")</f>
        <v xml:space="preserve">   AUTRES</v>
      </c>
      <c r="C8961" s="4">
        <v>1975</v>
      </c>
      <c r="D8961" s="4">
        <v>36719781</v>
      </c>
    </row>
    <row r="8962" spans="1:4" x14ac:dyDescent="0.25">
      <c r="A8962" t="str">
        <f>T("   420221")</f>
        <v xml:space="preserve">   420221</v>
      </c>
      <c r="B8962" t="str">
        <f>T("   A SURFACE EXTERIEURE EN CUIR NATUREL OU EN CUIR RECONSTITUE")</f>
        <v xml:space="preserve">   A SURFACE EXTERIEURE EN CUIR NATUREL OU EN CUIR RECONSTITUE</v>
      </c>
      <c r="C8962" s="4">
        <v>25.1</v>
      </c>
      <c r="D8962" s="4">
        <v>2962898</v>
      </c>
    </row>
    <row r="8963" spans="1:4" x14ac:dyDescent="0.25">
      <c r="A8963" t="str">
        <f>T("   420229")</f>
        <v xml:space="preserve">   420229</v>
      </c>
      <c r="B8963" t="str">
        <f>T("   AUTRES")</f>
        <v xml:space="preserve">   AUTRES</v>
      </c>
      <c r="C8963" s="4">
        <v>11.6</v>
      </c>
      <c r="D8963" s="4">
        <v>1529364</v>
      </c>
    </row>
    <row r="8964" spans="1:4" x14ac:dyDescent="0.25">
      <c r="A8964" t="str">
        <f>T("   420231")</f>
        <v xml:space="preserve">   420231</v>
      </c>
      <c r="B8964" t="str">
        <f>T("   A SURFACE EXTERIEURE EN CUIR NATUREL OU EN CUIR RECONSTITUE")</f>
        <v xml:space="preserve">   A SURFACE EXTERIEURE EN CUIR NATUREL OU EN CUIR RECONSTITUE</v>
      </c>
      <c r="C8964" s="4">
        <v>15</v>
      </c>
      <c r="D8964" s="4">
        <v>2041676</v>
      </c>
    </row>
    <row r="8965" spans="1:4" x14ac:dyDescent="0.25">
      <c r="A8965" t="str">
        <f>T("   480100")</f>
        <v xml:space="preserve">   480100</v>
      </c>
      <c r="B8965" t="str">
        <f>T("   PAPIER JOURNAL, EN ROULEAUX OU EN FEUILLES.")</f>
        <v xml:space="preserve">   PAPIER JOURNAL, EN ROULEAUX OU EN FEUILLES.</v>
      </c>
      <c r="C8965" s="4">
        <v>99683</v>
      </c>
      <c r="D8965" s="4">
        <v>34404170</v>
      </c>
    </row>
    <row r="8966" spans="1:4" x14ac:dyDescent="0.25">
      <c r="A8966" t="str">
        <f>T("   480210")</f>
        <v xml:space="preserve">   480210</v>
      </c>
      <c r="B8966" t="str">
        <f>T("   Papiers et cartons formes feuille a feuille (papiers a la main)")</f>
        <v xml:space="preserve">   Papiers et cartons formes feuille a feuille (papiers a la main)</v>
      </c>
      <c r="C8966" s="4">
        <v>41343</v>
      </c>
      <c r="D8966" s="4">
        <v>10872336</v>
      </c>
    </row>
    <row r="8967" spans="1:4" x14ac:dyDescent="0.25">
      <c r="A8967" t="str">
        <f>T("   480257")</f>
        <v xml:space="preserve">   480257</v>
      </c>
      <c r="B8967" t="str">
        <f>T("   AUTRES, D'UN POIDS AU M² DE 40 G OU PLUS MAIS N'EXCEDANT PAS 150 G")</f>
        <v xml:space="preserve">   AUTRES, D'UN POIDS AU M² DE 40 G OU PLUS MAIS N'EXCEDANT PAS 150 G</v>
      </c>
      <c r="C8967" s="4">
        <v>228405</v>
      </c>
      <c r="D8967" s="4">
        <v>110318288</v>
      </c>
    </row>
    <row r="8968" spans="1:4" x14ac:dyDescent="0.25">
      <c r="A8968" t="str">
        <f>T("   480258")</f>
        <v xml:space="preserve">   480258</v>
      </c>
      <c r="B8968" t="str">
        <f>T("   D'UN POIDS AU M² EXCEDANT 150 G")</f>
        <v xml:space="preserve">   D'UN POIDS AU M² EXCEDANT 150 G</v>
      </c>
      <c r="C8968" s="4">
        <v>99831</v>
      </c>
      <c r="D8968" s="4">
        <v>28302052</v>
      </c>
    </row>
    <row r="8969" spans="1:4" x14ac:dyDescent="0.25">
      <c r="A8969" t="str">
        <f>T("   480439")</f>
        <v xml:space="preserve">   480439</v>
      </c>
      <c r="B8969" t="str">
        <f>T("   AUTRES")</f>
        <v xml:space="preserve">   AUTRES</v>
      </c>
      <c r="C8969" s="4">
        <v>97257</v>
      </c>
      <c r="D8969" s="4">
        <v>37758514</v>
      </c>
    </row>
    <row r="8970" spans="1:4" x14ac:dyDescent="0.25">
      <c r="A8970" t="str">
        <f>T("   481910")</f>
        <v xml:space="preserve">   481910</v>
      </c>
      <c r="B8970" t="str">
        <f>T("   BOITES ET CAISSES EN PAPIER OU CARTON ONDULE")</f>
        <v xml:space="preserve">   BOITES ET CAISSES EN PAPIER OU CARTON ONDULE</v>
      </c>
      <c r="C8970" s="4">
        <v>28882</v>
      </c>
      <c r="D8970" s="4">
        <v>11479937</v>
      </c>
    </row>
    <row r="8971" spans="1:4" x14ac:dyDescent="0.25">
      <c r="A8971" t="str">
        <f>T("   481920")</f>
        <v xml:space="preserve">   481920</v>
      </c>
      <c r="B8971" t="str">
        <f>T("   BOITES ET CARTONNAGES, PLIANTS, EN PAPIER OU CARTON NON ONDULE")</f>
        <v xml:space="preserve">   BOITES ET CARTONNAGES, PLIANTS, EN PAPIER OU CARTON NON ONDULE</v>
      </c>
      <c r="C8971" s="4">
        <v>17780</v>
      </c>
      <c r="D8971" s="4">
        <v>18038900</v>
      </c>
    </row>
    <row r="8972" spans="1:4" x14ac:dyDescent="0.25">
      <c r="A8972" t="str">
        <f>T("   481940")</f>
        <v xml:space="preserve">   481940</v>
      </c>
      <c r="B8972" t="str">
        <f>T("   AUTRES SACS; SACHETS, POCHETTES (AUTRES QUE CELLES POUR DISQUES) ET CORNETS")</f>
        <v xml:space="preserve">   AUTRES SACS; SACHETS, POCHETTES (AUTRES QUE CELLES POUR DISQUES) ET CORNETS</v>
      </c>
      <c r="C8972" s="4">
        <v>1034</v>
      </c>
      <c r="D8972" s="4">
        <v>2972230</v>
      </c>
    </row>
    <row r="8973" spans="1:4" x14ac:dyDescent="0.25">
      <c r="A8973" t="str">
        <f>T("   481960")</f>
        <v xml:space="preserve">   481960</v>
      </c>
      <c r="B8973" t="str">
        <f>T("   CARTONNAGES DE BUREAU, DE MAGASIN OU SIMILAIRES")</f>
        <v xml:space="preserve">   CARTONNAGES DE BUREAU, DE MAGASIN OU SIMILAIRES</v>
      </c>
      <c r="C8973" s="4">
        <v>87</v>
      </c>
      <c r="D8973" s="4">
        <v>624300</v>
      </c>
    </row>
    <row r="8974" spans="1:4" x14ac:dyDescent="0.25">
      <c r="A8974" t="str">
        <f>T("   490199")</f>
        <v xml:space="preserve">   490199</v>
      </c>
      <c r="B8974" t="str">
        <f>T("   AUTRES")</f>
        <v xml:space="preserve">   AUTRES</v>
      </c>
      <c r="C8974" s="4">
        <v>4400</v>
      </c>
      <c r="D8974" s="4">
        <v>2274768</v>
      </c>
    </row>
    <row r="8975" spans="1:4" x14ac:dyDescent="0.25">
      <c r="A8975" t="str">
        <f>T("   490700")</f>
        <v xml:space="preserve">   490700</v>
      </c>
      <c r="B8975" t="str">
        <f>T("   TIMBRESPOSTE, TIMBRES FISCAUX ET ANALOGUES, NON OBLITERES, AYANT COURS OU DESTINES A A")</f>
        <v xml:space="preserve">   TIMBRESPOSTE, TIMBRES FISCAUX ET ANALOGUES, NON OBLITERES, AYANT COURS OU DESTINES A A</v>
      </c>
      <c r="C8975" s="4">
        <v>8</v>
      </c>
      <c r="D8975" s="4">
        <v>101450</v>
      </c>
    </row>
    <row r="8976" spans="1:4" x14ac:dyDescent="0.25">
      <c r="A8976" t="str">
        <f>T("   491000")</f>
        <v xml:space="preserve">   491000</v>
      </c>
      <c r="B8976" t="str">
        <f>T("   CALENDRIERS DE TOUS GENRES, IMPRIMES, Y COMPRIS LES BLOCS DE CALENDRIERS A EFFEUILLER.")</f>
        <v xml:space="preserve">   CALENDRIERS DE TOUS GENRES, IMPRIMES, Y COMPRIS LES BLOCS DE CALENDRIERS A EFFEUILLER.</v>
      </c>
      <c r="C8976" s="4">
        <v>14</v>
      </c>
      <c r="D8976" s="4">
        <v>217451</v>
      </c>
    </row>
    <row r="8977" spans="1:4" x14ac:dyDescent="0.25">
      <c r="A8977" t="str">
        <f>T("   491110")</f>
        <v xml:space="preserve">   491110</v>
      </c>
      <c r="B8977" t="str">
        <f>T("   IMPRIMES PUBLICITAIRES, CATALOGUES COMMERCIAUX ET SIMILAIRES")</f>
        <v xml:space="preserve">   IMPRIMES PUBLICITAIRES, CATALOGUES COMMERCIAUX ET SIMILAIRES</v>
      </c>
      <c r="C8977" s="4">
        <v>223.1</v>
      </c>
      <c r="D8977" s="4">
        <v>3190301</v>
      </c>
    </row>
    <row r="8978" spans="1:4" x14ac:dyDescent="0.25">
      <c r="A8978" t="str">
        <f>T("   491199")</f>
        <v xml:space="preserve">   491199</v>
      </c>
      <c r="B8978" t="str">
        <f>T("   AUTRES")</f>
        <v xml:space="preserve">   AUTRES</v>
      </c>
      <c r="C8978" s="4">
        <v>121</v>
      </c>
      <c r="D8978" s="4">
        <v>422576</v>
      </c>
    </row>
    <row r="8979" spans="1:4" x14ac:dyDescent="0.25">
      <c r="A8979" t="str">
        <f>T("   520852")</f>
        <v xml:space="preserve">   520852</v>
      </c>
      <c r="B8979" t="str">
        <f>T("   A ARMURE TOILE, D'UN POIDS EXCEDANT 100 G/M²")</f>
        <v xml:space="preserve">   A ARMURE TOILE, D'UN POIDS EXCEDANT 100 G/M²</v>
      </c>
      <c r="C8979" s="4">
        <v>197388.7</v>
      </c>
      <c r="D8979" s="4">
        <v>1450839918</v>
      </c>
    </row>
    <row r="8980" spans="1:4" x14ac:dyDescent="0.25">
      <c r="A8980" t="str">
        <f>T("   521031")</f>
        <v xml:space="preserve">   521031</v>
      </c>
      <c r="B8980" t="str">
        <f>T("   A ARMURE TOILE")</f>
        <v xml:space="preserve">   A ARMURE TOILE</v>
      </c>
      <c r="C8980" s="4">
        <v>5618</v>
      </c>
      <c r="D8980" s="4">
        <v>9448356</v>
      </c>
    </row>
    <row r="8981" spans="1:4" x14ac:dyDescent="0.25">
      <c r="A8981" t="str">
        <f>T("   530310")</f>
        <v xml:space="preserve">   530310</v>
      </c>
      <c r="B8981" t="str">
        <f>T("   JUTE ET AUTRES FIBRES TEXTILES LIBERIENNES, BRUTS OU ROUIS")</f>
        <v xml:space="preserve">   JUTE ET AUTRES FIBRES TEXTILES LIBERIENNES, BRUTS OU ROUIS</v>
      </c>
      <c r="C8981" s="4">
        <v>3500</v>
      </c>
      <c r="D8981" s="4">
        <v>1299050</v>
      </c>
    </row>
    <row r="8982" spans="1:4" x14ac:dyDescent="0.25">
      <c r="A8982" t="str">
        <f>T("   540752")</f>
        <v xml:space="preserve">   540752</v>
      </c>
      <c r="B8982" t="str">
        <f>T("   TEINTS")</f>
        <v xml:space="preserve">   TEINTS</v>
      </c>
      <c r="C8982" s="4">
        <v>399</v>
      </c>
      <c r="D8982" s="4">
        <v>670221</v>
      </c>
    </row>
    <row r="8983" spans="1:4" x14ac:dyDescent="0.25">
      <c r="A8983" t="str">
        <f>T("   540761")</f>
        <v xml:space="preserve">   540761</v>
      </c>
      <c r="B8983" t="str">
        <f>T("   CONTENANT AU MOINS 85 % EN POIDS DE FILAMENTS DE POLYESTER NON TEXTURES")</f>
        <v xml:space="preserve">   CONTENANT AU MOINS 85 % EN POIDS DE FILAMENTS DE POLYESTER NON TEXTURES</v>
      </c>
      <c r="C8983" s="4">
        <v>323</v>
      </c>
      <c r="D8983" s="4">
        <v>542446</v>
      </c>
    </row>
    <row r="8984" spans="1:4" x14ac:dyDescent="0.25">
      <c r="A8984" t="str">
        <f>T("   570500")</f>
        <v xml:space="preserve">   570500</v>
      </c>
      <c r="B8984" t="str">
        <f>T("   AUTRES TAPIS ET REVETEMENTS DE SOL EN MATIERES TEXTILES, MEME CONFECTIONNES.")</f>
        <v xml:space="preserve">   AUTRES TAPIS ET REVETEMENTS DE SOL EN MATIERES TEXTILES, MEME CONFECTIONNES.</v>
      </c>
      <c r="C8984" s="4">
        <v>4409</v>
      </c>
      <c r="D8984" s="4">
        <v>1043029</v>
      </c>
    </row>
    <row r="8985" spans="1:4" x14ac:dyDescent="0.25">
      <c r="A8985" t="str">
        <f>T("   600532")</f>
        <v xml:space="preserve">   600532</v>
      </c>
      <c r="B8985" t="str">
        <f>T("   TEINTES")</f>
        <v xml:space="preserve">   TEINTES</v>
      </c>
      <c r="C8985" s="4">
        <v>419</v>
      </c>
      <c r="D8985" s="4">
        <v>704134</v>
      </c>
    </row>
    <row r="8986" spans="1:4" x14ac:dyDescent="0.25">
      <c r="A8986" t="str">
        <f>T("   620111")</f>
        <v xml:space="preserve">   620111</v>
      </c>
      <c r="B8986" t="str">
        <f>T("   DE LAINE OU DE POILS FINS")</f>
        <v xml:space="preserve">   DE LAINE OU DE POILS FINS</v>
      </c>
      <c r="C8986" s="4">
        <v>298</v>
      </c>
      <c r="D8986" s="4">
        <v>13481463</v>
      </c>
    </row>
    <row r="8987" spans="1:4" x14ac:dyDescent="0.25">
      <c r="A8987" t="str">
        <f>T("   620442")</f>
        <v xml:space="preserve">   620442</v>
      </c>
      <c r="B8987" t="str">
        <f>T("   DE COTON")</f>
        <v xml:space="preserve">   DE COTON</v>
      </c>
      <c r="C8987" s="4">
        <v>8</v>
      </c>
      <c r="D8987" s="4">
        <v>1465689</v>
      </c>
    </row>
    <row r="8988" spans="1:4" x14ac:dyDescent="0.25">
      <c r="A8988" t="str">
        <f>T("   620590")</f>
        <v xml:space="preserve">   620590</v>
      </c>
      <c r="B8988" t="str">
        <f>T("   D'AUTRES MATIERES TEXTILES")</f>
        <v xml:space="preserve">   D'AUTRES MATIERES TEXTILES</v>
      </c>
      <c r="C8988" s="4">
        <v>2300</v>
      </c>
      <c r="D8988" s="4">
        <v>2600000</v>
      </c>
    </row>
    <row r="8989" spans="1:4" x14ac:dyDescent="0.25">
      <c r="A8989" t="str">
        <f>T("   621410")</f>
        <v xml:space="preserve">   621410</v>
      </c>
      <c r="B8989" t="str">
        <f>T("   DE SOIE OU DE DECHETS DE SOIE")</f>
        <v xml:space="preserve">   DE SOIE OU DE DECHETS DE SOIE</v>
      </c>
      <c r="C8989" s="4">
        <v>3.6</v>
      </c>
      <c r="D8989" s="4">
        <v>237349</v>
      </c>
    </row>
    <row r="8990" spans="1:4" x14ac:dyDescent="0.25">
      <c r="A8990" t="str">
        <f>T("   621600")</f>
        <v xml:space="preserve">   621600</v>
      </c>
      <c r="B8990" t="str">
        <f>T("   GANTS, MITAINES ET MOUFLES.")</f>
        <v xml:space="preserve">   GANTS, MITAINES ET MOUFLES.</v>
      </c>
      <c r="C8990" s="4">
        <v>12</v>
      </c>
      <c r="D8990" s="4">
        <v>362468</v>
      </c>
    </row>
    <row r="8991" spans="1:4" x14ac:dyDescent="0.25">
      <c r="A8991" t="str">
        <f>T("   630510")</f>
        <v xml:space="preserve">   630510</v>
      </c>
      <c r="B8991" t="str">
        <f>T("   DE JUTE OU D'AUTRES FIBRES TEXTILES LIBERIENNES DU N° 53.03")</f>
        <v xml:space="preserve">   DE JUTE OU D'AUTRES FIBRES TEXTILES LIBERIENNES DU N° 53.03</v>
      </c>
      <c r="C8991" s="4">
        <v>36000</v>
      </c>
      <c r="D8991" s="4">
        <v>12053300</v>
      </c>
    </row>
    <row r="8992" spans="1:4" x14ac:dyDescent="0.25">
      <c r="A8992" t="str">
        <f>T("   630590")</f>
        <v xml:space="preserve">   630590</v>
      </c>
      <c r="B8992" t="str">
        <f>T("   D'AUTRES MATIERES TEXTILES")</f>
        <v xml:space="preserve">   D'AUTRES MATIERES TEXTILES</v>
      </c>
      <c r="C8992" s="4">
        <v>125</v>
      </c>
      <c r="D8992" s="4">
        <v>389903</v>
      </c>
    </row>
    <row r="8993" spans="1:4" x14ac:dyDescent="0.25">
      <c r="A8993" t="str">
        <f>T("   630790")</f>
        <v xml:space="preserve">   630790</v>
      </c>
      <c r="B8993" t="str">
        <f>T("   AUTRES")</f>
        <v xml:space="preserve">   AUTRES</v>
      </c>
      <c r="C8993" s="4">
        <v>42.3</v>
      </c>
      <c r="D8993" s="4">
        <v>338786</v>
      </c>
    </row>
    <row r="8994" spans="1:4" x14ac:dyDescent="0.25">
      <c r="A8994" t="str">
        <f>T("   630900")</f>
        <v xml:space="preserve">   630900</v>
      </c>
      <c r="B8994" t="str">
        <f>T("   ARTICLES DE FRIPERIE.")</f>
        <v xml:space="preserve">   ARTICLES DE FRIPERIE.</v>
      </c>
      <c r="C8994" s="4">
        <v>333029</v>
      </c>
      <c r="D8994" s="4">
        <v>179133225</v>
      </c>
    </row>
    <row r="8995" spans="1:4" x14ac:dyDescent="0.25">
      <c r="A8995" t="str">
        <f>T("   640590")</f>
        <v xml:space="preserve">   640590</v>
      </c>
      <c r="B8995" t="str">
        <f>T("   AUTRES")</f>
        <v xml:space="preserve">   AUTRES</v>
      </c>
      <c r="C8995" s="4">
        <v>2000</v>
      </c>
      <c r="D8995" s="4">
        <v>606934</v>
      </c>
    </row>
    <row r="8996" spans="1:4" x14ac:dyDescent="0.25">
      <c r="A8996" t="str">
        <f>T("   660110")</f>
        <v xml:space="preserve">   660110</v>
      </c>
      <c r="B8996" t="str">
        <f>T("   PARASOLS DE JARDIN ET ARTICLES SIMILAIRES")</f>
        <v xml:space="preserve">   PARASOLS DE JARDIN ET ARTICLES SIMILAIRES</v>
      </c>
      <c r="C8996" s="4">
        <v>350</v>
      </c>
      <c r="D8996" s="4">
        <v>2249944</v>
      </c>
    </row>
    <row r="8997" spans="1:4" x14ac:dyDescent="0.25">
      <c r="A8997" t="str">
        <f>T("   690210")</f>
        <v xml:space="preserve">   690210</v>
      </c>
      <c r="B8997" t="str">
        <f>T("   CONTENANT EN POIDS PLUS DE 50 % DES ELEMENTS MG, CA OU CR, PRIS ISOLEMENT OU ENSEMBLE")</f>
        <v xml:space="preserve">   CONTENANT EN POIDS PLUS DE 50 % DES ELEMENTS MG, CA OU CR, PRIS ISOLEMENT OU ENSEMBLE</v>
      </c>
      <c r="C8997" s="4">
        <v>34330</v>
      </c>
      <c r="D8997" s="4">
        <v>22732949</v>
      </c>
    </row>
    <row r="8998" spans="1:4" x14ac:dyDescent="0.25">
      <c r="A8998" t="str">
        <f>T("   700992")</f>
        <v xml:space="preserve">   700992</v>
      </c>
      <c r="B8998" t="str">
        <f>T("   ENCADRES")</f>
        <v xml:space="preserve">   ENCADRES</v>
      </c>
      <c r="C8998" s="4">
        <v>115</v>
      </c>
      <c r="D8998" s="4">
        <v>74779</v>
      </c>
    </row>
    <row r="8999" spans="1:4" x14ac:dyDescent="0.25">
      <c r="A8999" t="str">
        <f>T("   701190")</f>
        <v xml:space="preserve">   701190</v>
      </c>
      <c r="B8999" t="str">
        <f>T("   AUTRES")</f>
        <v xml:space="preserve">   AUTRES</v>
      </c>
      <c r="C8999" s="4">
        <v>3062</v>
      </c>
      <c r="D8999" s="4">
        <v>977380</v>
      </c>
    </row>
    <row r="9000" spans="1:4" x14ac:dyDescent="0.25">
      <c r="A9000" t="str">
        <f>T("   701790")</f>
        <v xml:space="preserve">   701790</v>
      </c>
      <c r="B9000" t="str">
        <f>T("   AUTRE")</f>
        <v xml:space="preserve">   AUTRE</v>
      </c>
      <c r="C9000" s="4">
        <v>1054</v>
      </c>
      <c r="D9000" s="4">
        <v>22363802</v>
      </c>
    </row>
    <row r="9001" spans="1:4" x14ac:dyDescent="0.25">
      <c r="A9001" t="str">
        <f>T("   730791")</f>
        <v xml:space="preserve">   730791</v>
      </c>
      <c r="B9001" t="str">
        <f>T("   BRIDES")</f>
        <v xml:space="preserve">   BRIDES</v>
      </c>
      <c r="C9001" s="4">
        <v>3.3</v>
      </c>
      <c r="D9001" s="4">
        <v>202788</v>
      </c>
    </row>
    <row r="9002" spans="1:4" x14ac:dyDescent="0.25">
      <c r="A9002" t="str">
        <f>T("   730799")</f>
        <v xml:space="preserve">   730799</v>
      </c>
      <c r="B9002" t="str">
        <f>T("   AUTRES")</f>
        <v xml:space="preserve">   AUTRES</v>
      </c>
      <c r="C9002" s="4">
        <v>37</v>
      </c>
      <c r="D9002" s="4">
        <v>508664</v>
      </c>
    </row>
    <row r="9003" spans="1:4" x14ac:dyDescent="0.25">
      <c r="A9003" t="str">
        <f>T("   730890")</f>
        <v xml:space="preserve">   730890</v>
      </c>
      <c r="B9003" t="str">
        <f>T("   AUTRES")</f>
        <v xml:space="preserve">   AUTRES</v>
      </c>
      <c r="C9003" s="4">
        <v>140</v>
      </c>
      <c r="D9003" s="4">
        <v>719356</v>
      </c>
    </row>
    <row r="9004" spans="1:4" x14ac:dyDescent="0.25">
      <c r="A9004" t="str">
        <f>T("   731589")</f>
        <v xml:space="preserve">   731589</v>
      </c>
      <c r="B9004" t="str">
        <f>T("   AUTRES")</f>
        <v xml:space="preserve">   AUTRES</v>
      </c>
      <c r="C9004" s="4">
        <v>142</v>
      </c>
      <c r="D9004" s="4">
        <v>2634992</v>
      </c>
    </row>
    <row r="9005" spans="1:4" x14ac:dyDescent="0.25">
      <c r="A9005" t="str">
        <f>T("   731815")</f>
        <v xml:space="preserve">   731815</v>
      </c>
      <c r="B9005" t="str">
        <f>T("   AUTRES VIS ET BOULONS, MEME AVEC LEURS ECROUS OU RONDELLES")</f>
        <v xml:space="preserve">   AUTRES VIS ET BOULONS, MEME AVEC LEURS ECROUS OU RONDELLES</v>
      </c>
      <c r="C9005" s="4">
        <v>56</v>
      </c>
      <c r="D9005" s="4">
        <v>16576782</v>
      </c>
    </row>
    <row r="9006" spans="1:4" x14ac:dyDescent="0.25">
      <c r="A9006" t="str">
        <f>T("   732112")</f>
        <v xml:space="preserve">   732112</v>
      </c>
      <c r="B9006" t="str">
        <f>T("   A COMBUSTIBLES LIQUIDES")</f>
        <v xml:space="preserve">   A COMBUSTIBLES LIQUIDES</v>
      </c>
      <c r="C9006" s="4">
        <v>296</v>
      </c>
      <c r="D9006" s="4">
        <v>196788</v>
      </c>
    </row>
    <row r="9007" spans="1:4" x14ac:dyDescent="0.25">
      <c r="A9007" t="str">
        <f>T("   732393")</f>
        <v xml:space="preserve">   732393</v>
      </c>
      <c r="B9007" t="str">
        <f>T("   EN ACIERS INOXYDABLES")</f>
        <v xml:space="preserve">   EN ACIERS INOXYDABLES</v>
      </c>
      <c r="C9007" s="4">
        <v>200</v>
      </c>
      <c r="D9007" s="4">
        <v>4241011</v>
      </c>
    </row>
    <row r="9008" spans="1:4" x14ac:dyDescent="0.25">
      <c r="A9008" t="str">
        <f>T("   732394")</f>
        <v xml:space="preserve">   732394</v>
      </c>
      <c r="B9008" t="str">
        <f>T("   EN FER OU EN ACIER, EMAILLES")</f>
        <v xml:space="preserve">   EN FER OU EN ACIER, EMAILLES</v>
      </c>
      <c r="C9008" s="4">
        <v>930</v>
      </c>
      <c r="D9008" s="4">
        <v>1200000</v>
      </c>
    </row>
    <row r="9009" spans="1:4" x14ac:dyDescent="0.25">
      <c r="A9009" t="str">
        <f>T("   732399")</f>
        <v xml:space="preserve">   732399</v>
      </c>
      <c r="B9009" t="str">
        <f>T("   AUTRES")</f>
        <v xml:space="preserve">   AUTRES</v>
      </c>
      <c r="C9009" s="4">
        <v>2134.9</v>
      </c>
      <c r="D9009" s="4">
        <v>638906</v>
      </c>
    </row>
    <row r="9010" spans="1:4" x14ac:dyDescent="0.25">
      <c r="A9010" t="str">
        <f>T("   732620")</f>
        <v xml:space="preserve">   732620</v>
      </c>
      <c r="B9010" t="str">
        <f>T("   OUVRAGES EN FILS DE FER OU D'ACIER")</f>
        <v xml:space="preserve">   OUVRAGES EN FILS DE FER OU D'ACIER</v>
      </c>
      <c r="C9010" s="4">
        <v>34</v>
      </c>
      <c r="D9010" s="4">
        <v>5057452</v>
      </c>
    </row>
    <row r="9011" spans="1:4" x14ac:dyDescent="0.25">
      <c r="A9011" t="str">
        <f>T("   732690")</f>
        <v xml:space="preserve">   732690</v>
      </c>
      <c r="B9011" t="str">
        <f>T("   AUTRES")</f>
        <v xml:space="preserve">   AUTRES</v>
      </c>
      <c r="C9011" s="4">
        <v>17</v>
      </c>
      <c r="D9011" s="4">
        <v>309718</v>
      </c>
    </row>
    <row r="9012" spans="1:4" x14ac:dyDescent="0.25">
      <c r="A9012" t="str">
        <f>T("   761519")</f>
        <v xml:space="preserve">   761519</v>
      </c>
      <c r="B9012" t="str">
        <f>T("   AUTRES ARTICLES DE MENAGES OU D'ECONOMIE DOMESTIQUE EN ALUMINIUM")</f>
        <v xml:space="preserve">   AUTRES ARTICLES DE MENAGES OU D'ECONOMIE DOMESTIQUE EN ALUMINIUM</v>
      </c>
      <c r="C9012" s="4">
        <v>9850</v>
      </c>
      <c r="D9012" s="4">
        <v>200000</v>
      </c>
    </row>
    <row r="9013" spans="1:4" x14ac:dyDescent="0.25">
      <c r="A9013" t="str">
        <f>T("   761520")</f>
        <v xml:space="preserve">   761520</v>
      </c>
      <c r="B9013" t="str">
        <f>T("   ARTICLES D'HYGIENE OU DE TOILETTE ET LEURS PARTIES")</f>
        <v xml:space="preserve">   ARTICLES D'HYGIENE OU DE TOILETTE ET LEURS PARTIES</v>
      </c>
      <c r="C9013" s="4">
        <v>125</v>
      </c>
      <c r="D9013" s="4">
        <v>201229</v>
      </c>
    </row>
    <row r="9014" spans="1:4" x14ac:dyDescent="0.25">
      <c r="A9014" t="str">
        <f>T("   820559")</f>
        <v xml:space="preserve">   820559</v>
      </c>
      <c r="B9014" t="str">
        <f>T("   AUTRES")</f>
        <v xml:space="preserve">   AUTRES</v>
      </c>
      <c r="C9014" s="4">
        <v>306</v>
      </c>
      <c r="D9014" s="4">
        <v>97738</v>
      </c>
    </row>
    <row r="9015" spans="1:4" x14ac:dyDescent="0.25">
      <c r="A9015" t="str">
        <f>T("   820590")</f>
        <v xml:space="preserve">   820590</v>
      </c>
      <c r="B9015" t="str">
        <f>T("   AUTRES, Y COMPRIS LES ASSORTIMENTS D'ARTICLES D'AU MOINS DEUX DES SOUSPOSITIONS DE L")</f>
        <v xml:space="preserve">   AUTRES, Y COMPRIS LES ASSORTIMENTS D'ARTICLES D'AU MOINS DEUX DES SOUSPOSITIONS DE L</v>
      </c>
      <c r="C9015" s="4">
        <v>3878</v>
      </c>
      <c r="D9015" s="4">
        <v>27775111</v>
      </c>
    </row>
    <row r="9016" spans="1:4" x14ac:dyDescent="0.25">
      <c r="A9016" t="str">
        <f>T("   820790")</f>
        <v xml:space="preserve">   820790</v>
      </c>
      <c r="B9016" t="str">
        <f>T("   AUTRES OUTILS INTERCHANGEABLES")</f>
        <v xml:space="preserve">   AUTRES OUTILS INTERCHANGEABLES</v>
      </c>
      <c r="C9016" s="4">
        <v>8300</v>
      </c>
      <c r="D9016" s="4">
        <v>44272124</v>
      </c>
    </row>
    <row r="9017" spans="1:4" x14ac:dyDescent="0.25">
      <c r="A9017" t="str">
        <f>T("   821599")</f>
        <v xml:space="preserve">   821599</v>
      </c>
      <c r="B9017" t="str">
        <f>T("   AUTRES")</f>
        <v xml:space="preserve">   AUTRES</v>
      </c>
      <c r="C9017" s="4">
        <v>805</v>
      </c>
      <c r="D9017" s="4">
        <v>537888</v>
      </c>
    </row>
    <row r="9018" spans="1:4" x14ac:dyDescent="0.25">
      <c r="A9018" t="str">
        <f>T("   830140")</f>
        <v xml:space="preserve">   830140</v>
      </c>
      <c r="B9018" t="str">
        <f>T("   AUTRES SERRURES; VERROUS")</f>
        <v xml:space="preserve">   AUTRES SERRURES; VERROUS</v>
      </c>
      <c r="C9018" s="4">
        <v>3.6</v>
      </c>
      <c r="D9018" s="4">
        <v>453216</v>
      </c>
    </row>
    <row r="9019" spans="1:4" x14ac:dyDescent="0.25">
      <c r="A9019" t="str">
        <f>T("   830400")</f>
        <v xml:space="preserve">   830400</v>
      </c>
      <c r="B9019" t="str">
        <f>T("   CLASSEURS, FICHIERS, BOITES DE CLASSEMENT, PORTECOPIES, PLUMIERS, PORTECACHETS ET MAT")</f>
        <v xml:space="preserve">   CLASSEURS, FICHIERS, BOITES DE CLASSEMENT, PORTECOPIES, PLUMIERS, PORTECACHETS ET MAT</v>
      </c>
      <c r="C9019" s="4">
        <v>534</v>
      </c>
      <c r="D9019" s="4">
        <v>3680945</v>
      </c>
    </row>
    <row r="9020" spans="1:4" x14ac:dyDescent="0.25">
      <c r="A9020" t="str">
        <f>T("   840890")</f>
        <v xml:space="preserve">   840890</v>
      </c>
      <c r="B9020" t="str">
        <f>T("   AUTRES MOTEURS")</f>
        <v xml:space="preserve">   AUTRES MOTEURS</v>
      </c>
      <c r="C9020" s="4">
        <v>3800</v>
      </c>
      <c r="D9020" s="4">
        <v>221403</v>
      </c>
    </row>
    <row r="9021" spans="1:4" x14ac:dyDescent="0.25">
      <c r="A9021" t="str">
        <f>T("   840999")</f>
        <v xml:space="preserve">   840999</v>
      </c>
      <c r="B9021" t="str">
        <f>T("   AUTRES")</f>
        <v xml:space="preserve">   AUTRES</v>
      </c>
      <c r="C9021" s="4">
        <v>345</v>
      </c>
      <c r="D9021" s="4">
        <v>11532367</v>
      </c>
    </row>
    <row r="9022" spans="1:4" x14ac:dyDescent="0.25">
      <c r="A9022" t="str">
        <f>T("   841191")</f>
        <v xml:space="preserve">   841191</v>
      </c>
      <c r="B9022" t="str">
        <f>T("   DE TURBOREACTEURS OU DE TURBOPROPULSEURS")</f>
        <v xml:space="preserve">   DE TURBOREACTEURS OU DE TURBOPROPULSEURS</v>
      </c>
      <c r="C9022" s="4">
        <v>14</v>
      </c>
      <c r="D9022" s="4">
        <v>20524706</v>
      </c>
    </row>
    <row r="9023" spans="1:4" x14ac:dyDescent="0.25">
      <c r="A9023" t="str">
        <f>T("   841330")</f>
        <v xml:space="preserve">   841330</v>
      </c>
      <c r="B9023" t="str">
        <f>T("   POMPES A CARBURANT, A HUILE OU A LIQUIDE DE REFROIDISSEMENT POUR MOTEURS A ALLUMAGE P")</f>
        <v xml:space="preserve">   POMPES A CARBURANT, A HUILE OU A LIQUIDE DE REFROIDISSEMENT POUR MOTEURS A ALLUMAGE P</v>
      </c>
      <c r="C9023" s="4">
        <v>110</v>
      </c>
      <c r="D9023" s="4">
        <v>231076594</v>
      </c>
    </row>
    <row r="9024" spans="1:4" x14ac:dyDescent="0.25">
      <c r="A9024" t="str">
        <f>T("   841381")</f>
        <v xml:space="preserve">   841381</v>
      </c>
      <c r="B9024" t="str">
        <f>T("   POMPES")</f>
        <v xml:space="preserve">   POMPES</v>
      </c>
      <c r="C9024" s="4">
        <v>23</v>
      </c>
      <c r="D9024" s="4">
        <v>32565352</v>
      </c>
    </row>
    <row r="9025" spans="1:4" x14ac:dyDescent="0.25">
      <c r="A9025" t="str">
        <f>T("   841829")</f>
        <v xml:space="preserve">   841829</v>
      </c>
      <c r="B9025" t="str">
        <f>T("   AUTRES")</f>
        <v xml:space="preserve">   AUTRES</v>
      </c>
      <c r="C9025" s="4">
        <v>9462</v>
      </c>
      <c r="D9025" s="4">
        <v>2459531</v>
      </c>
    </row>
    <row r="9026" spans="1:4" x14ac:dyDescent="0.25">
      <c r="A9026" t="str">
        <f>T("   842123")</f>
        <v xml:space="preserve">   842123</v>
      </c>
      <c r="B9026" t="str">
        <f>T("   POUR LA FILTRATION DES HUILES MINERALES DANS LES MOTEURS A ALLUMAGE PAR ETINCELLES O")</f>
        <v xml:space="preserve">   POUR LA FILTRATION DES HUILES MINERALES DANS LES MOTEURS A ALLUMAGE PAR ETINCELLES O</v>
      </c>
      <c r="C9026" s="4">
        <v>10</v>
      </c>
      <c r="D9026" s="4">
        <v>2828766</v>
      </c>
    </row>
    <row r="9027" spans="1:4" x14ac:dyDescent="0.25">
      <c r="A9027" t="str">
        <f>T("   842129")</f>
        <v xml:space="preserve">   842129</v>
      </c>
      <c r="B9027" t="str">
        <f>T("   AUTRES")</f>
        <v xml:space="preserve">   AUTRES</v>
      </c>
      <c r="C9027" s="4">
        <v>6823.2</v>
      </c>
      <c r="D9027" s="4">
        <v>12118401</v>
      </c>
    </row>
    <row r="9028" spans="1:4" x14ac:dyDescent="0.25">
      <c r="A9028" t="str">
        <f>T("   842139")</f>
        <v xml:space="preserve">   842139</v>
      </c>
      <c r="B9028" t="str">
        <f>T("   AUTRES")</f>
        <v xml:space="preserve">   AUTRES</v>
      </c>
      <c r="C9028" s="4">
        <v>161</v>
      </c>
      <c r="D9028" s="4">
        <v>28982382</v>
      </c>
    </row>
    <row r="9029" spans="1:4" x14ac:dyDescent="0.25">
      <c r="A9029" t="str">
        <f>T("   842199")</f>
        <v xml:space="preserve">   842199</v>
      </c>
      <c r="B9029" t="str">
        <f>T("   AUTRES")</f>
        <v xml:space="preserve">   AUTRES</v>
      </c>
      <c r="C9029" s="4">
        <v>6840</v>
      </c>
      <c r="D9029" s="4">
        <v>1967880</v>
      </c>
    </row>
    <row r="9030" spans="1:4" x14ac:dyDescent="0.25">
      <c r="A9030" t="str">
        <f>T("   842240")</f>
        <v xml:space="preserve">   842240</v>
      </c>
      <c r="B9030" t="str">
        <f>T("   AUTRES MACHINES ET APPAREILS A EMPAQUETER OU A EMBALLER LES MARCHANDISES (Y COMPRIS L")</f>
        <v xml:space="preserve">   AUTRES MACHINES ET APPAREILS A EMPAQUETER OU A EMBALLER LES MARCHANDISES (Y COMPRIS L</v>
      </c>
      <c r="C9030" s="4">
        <v>72</v>
      </c>
      <c r="D9030" s="4">
        <v>80000</v>
      </c>
    </row>
    <row r="9031" spans="1:4" x14ac:dyDescent="0.25">
      <c r="A9031" t="str">
        <f>T("   842290")</f>
        <v xml:space="preserve">   842290</v>
      </c>
      <c r="B9031" t="str">
        <f>T("   PARTIES")</f>
        <v xml:space="preserve">   PARTIES</v>
      </c>
      <c r="C9031" s="4">
        <v>5</v>
      </c>
      <c r="D9031" s="4">
        <v>694052</v>
      </c>
    </row>
    <row r="9032" spans="1:4" x14ac:dyDescent="0.25">
      <c r="A9032" t="str">
        <f>T("   842410")</f>
        <v xml:space="preserve">   842410</v>
      </c>
      <c r="B9032" t="str">
        <f>T("   EXTINCTEURS, MEME CHARGES")</f>
        <v xml:space="preserve">   EXTINCTEURS, MEME CHARGES</v>
      </c>
      <c r="C9032" s="4">
        <v>17</v>
      </c>
      <c r="D9032" s="4">
        <v>4001745</v>
      </c>
    </row>
    <row r="9033" spans="1:4" x14ac:dyDescent="0.25">
      <c r="A9033" t="str">
        <f>T("   842720")</f>
        <v xml:space="preserve">   842720</v>
      </c>
      <c r="B9033" t="str">
        <f>T("   AUTRES CHARIOTS AUTOPROPULSES")</f>
        <v xml:space="preserve">   AUTRES CHARIOTS AUTOPROPULSES</v>
      </c>
      <c r="C9033" s="4">
        <v>11820</v>
      </c>
      <c r="D9033" s="4">
        <v>17457390</v>
      </c>
    </row>
    <row r="9034" spans="1:4" x14ac:dyDescent="0.25">
      <c r="A9034" t="str">
        <f>T("   842790")</f>
        <v xml:space="preserve">   842790</v>
      </c>
      <c r="B9034" t="str">
        <f>T("   AUTRES CHARIOTS")</f>
        <v xml:space="preserve">   AUTRES CHARIOTS</v>
      </c>
      <c r="C9034" s="4">
        <v>9530</v>
      </c>
      <c r="D9034" s="4">
        <v>9862163</v>
      </c>
    </row>
    <row r="9035" spans="1:4" x14ac:dyDescent="0.25">
      <c r="A9035" t="str">
        <f>T("   842919")</f>
        <v xml:space="preserve">   842919</v>
      </c>
      <c r="B9035" t="str">
        <f>T("   AUTRES")</f>
        <v xml:space="preserve">   AUTRES</v>
      </c>
      <c r="C9035" s="4">
        <v>23000</v>
      </c>
      <c r="D9035" s="4">
        <v>64480868</v>
      </c>
    </row>
    <row r="9036" spans="1:4" x14ac:dyDescent="0.25">
      <c r="A9036" t="str">
        <f>T("   842920")</f>
        <v xml:space="preserve">   842920</v>
      </c>
      <c r="B9036" t="str">
        <f>T("   NIVELEUSES")</f>
        <v xml:space="preserve">   NIVELEUSES</v>
      </c>
      <c r="C9036" s="4">
        <v>25480</v>
      </c>
      <c r="D9036" s="4">
        <v>9000000</v>
      </c>
    </row>
    <row r="9037" spans="1:4" x14ac:dyDescent="0.25">
      <c r="A9037" t="str">
        <f>T("   842951")</f>
        <v xml:space="preserve">   842951</v>
      </c>
      <c r="B9037" t="str">
        <f>T("   CHARGEUSES ET CHARGEUSESPELLETEUSES A CHARGEMENT FRONTAL")</f>
        <v xml:space="preserve">   CHARGEUSES ET CHARGEUSESPELLETEUSES A CHARGEMENT FRONTAL</v>
      </c>
      <c r="C9037" s="4">
        <v>47420</v>
      </c>
      <c r="D9037" s="4">
        <v>16968582</v>
      </c>
    </row>
    <row r="9038" spans="1:4" x14ac:dyDescent="0.25">
      <c r="A9038" t="str">
        <f>T("   843049")</f>
        <v xml:space="preserve">   843049</v>
      </c>
      <c r="B9038" t="str">
        <f>T("   AUTRES")</f>
        <v xml:space="preserve">   AUTRES</v>
      </c>
      <c r="C9038" s="4">
        <v>20</v>
      </c>
      <c r="D9038" s="4">
        <v>3379673</v>
      </c>
    </row>
    <row r="9039" spans="1:4" x14ac:dyDescent="0.25">
      <c r="A9039" t="str">
        <f>T("   843139")</f>
        <v xml:space="preserve">   843139</v>
      </c>
      <c r="B9039" t="str">
        <f>T("   AUTRES")</f>
        <v xml:space="preserve">   AUTRES</v>
      </c>
      <c r="C9039" s="4">
        <v>1767</v>
      </c>
      <c r="D9039" s="4">
        <v>29220237</v>
      </c>
    </row>
    <row r="9040" spans="1:4" x14ac:dyDescent="0.25">
      <c r="A9040" t="str">
        <f>T("   843143")</f>
        <v xml:space="preserve">   843143</v>
      </c>
      <c r="B9040" t="str">
        <f>T("   PARTIES DE MACHINES DE SONDAGE OU DE FORAGE DES N°S 8430.41 OU 8430.49")</f>
        <v xml:space="preserve">   PARTIES DE MACHINES DE SONDAGE OU DE FORAGE DES N°S 8430.41 OU 8430.49</v>
      </c>
      <c r="C9040" s="4">
        <v>851</v>
      </c>
      <c r="D9040" s="4">
        <v>15810603</v>
      </c>
    </row>
    <row r="9041" spans="1:4" x14ac:dyDescent="0.25">
      <c r="A9041" t="str">
        <f>T("   843149")</f>
        <v xml:space="preserve">   843149</v>
      </c>
      <c r="B9041" t="str">
        <f>T("   AUTRES")</f>
        <v xml:space="preserve">   AUTRES</v>
      </c>
      <c r="C9041" s="4">
        <v>5594.7</v>
      </c>
      <c r="D9041" s="4">
        <v>41009483</v>
      </c>
    </row>
    <row r="9042" spans="1:4" x14ac:dyDescent="0.25">
      <c r="A9042" t="str">
        <f>T("   844317")</f>
        <v xml:space="preserve">   844317</v>
      </c>
      <c r="B9042" t="str">
        <f>T("   MACHINES ET APPAREILS A IMPRIMER, HELIOGRAPHIQUES")</f>
        <v xml:space="preserve">   MACHINES ET APPAREILS A IMPRIMER, HELIOGRAPHIQUES</v>
      </c>
      <c r="C9042" s="4">
        <v>45</v>
      </c>
      <c r="D9042" s="4">
        <v>951798</v>
      </c>
    </row>
    <row r="9043" spans="1:4" x14ac:dyDescent="0.25">
      <c r="A9043" t="str">
        <f>T("   844319")</f>
        <v xml:space="preserve">   844319</v>
      </c>
      <c r="B9043" t="str">
        <f>T("   AUTRES")</f>
        <v xml:space="preserve">   AUTRES</v>
      </c>
      <c r="C9043" s="4">
        <v>3000</v>
      </c>
      <c r="D9043" s="4">
        <v>300000</v>
      </c>
    </row>
    <row r="9044" spans="1:4" x14ac:dyDescent="0.25">
      <c r="A9044" t="str">
        <f>T("   844391")</f>
        <v xml:space="preserve">   844391</v>
      </c>
      <c r="B9044" t="str">
        <f>T("   PARTIES ET ACCESSOIRES DE MACHINES ET D’APPAREILS SERVANT A L’IMPRESSION AU MOYEN DE")</f>
        <v xml:space="preserve">   PARTIES ET ACCESSOIRES DE MACHINES ET D’APPAREILS SERVANT A L’IMPRESSION AU MOYEN DE</v>
      </c>
      <c r="C9044" s="4">
        <v>48.6</v>
      </c>
      <c r="D9044" s="4">
        <v>1429432</v>
      </c>
    </row>
    <row r="9045" spans="1:4" x14ac:dyDescent="0.25">
      <c r="A9045" t="str">
        <f>T("   844399")</f>
        <v xml:space="preserve">   844399</v>
      </c>
      <c r="B9045" t="str">
        <f>T("   AUTRES")</f>
        <v xml:space="preserve">   AUTRES</v>
      </c>
      <c r="C9045" s="4">
        <v>8.8000000000000007</v>
      </c>
      <c r="D9045" s="4">
        <v>1070676</v>
      </c>
    </row>
    <row r="9046" spans="1:4" x14ac:dyDescent="0.25">
      <c r="A9046" t="str">
        <f>T("   846190")</f>
        <v xml:space="preserve">   846190</v>
      </c>
      <c r="B9046" t="str">
        <f>T("   AUTRES")</f>
        <v xml:space="preserve">   AUTRES</v>
      </c>
      <c r="C9046" s="4">
        <v>475</v>
      </c>
      <c r="D9046" s="4">
        <v>5440204</v>
      </c>
    </row>
    <row r="9047" spans="1:4" x14ac:dyDescent="0.25">
      <c r="A9047" t="str">
        <f>T("   846599")</f>
        <v xml:space="preserve">   846599</v>
      </c>
      <c r="B9047" t="str">
        <f>T("   AUTRES")</f>
        <v xml:space="preserve">   AUTRES</v>
      </c>
      <c r="C9047" s="4">
        <v>5800</v>
      </c>
      <c r="D9047" s="4">
        <v>12528836</v>
      </c>
    </row>
    <row r="9048" spans="1:4" x14ac:dyDescent="0.25">
      <c r="A9048" t="str">
        <f>T("   846789")</f>
        <v xml:space="preserve">   846789</v>
      </c>
      <c r="B9048" t="str">
        <f>T("   AUTRES")</f>
        <v xml:space="preserve">   AUTRES</v>
      </c>
      <c r="C9048" s="4">
        <v>509</v>
      </c>
      <c r="D9048" s="4">
        <v>6562670</v>
      </c>
    </row>
    <row r="9049" spans="1:4" x14ac:dyDescent="0.25">
      <c r="A9049" t="str">
        <f>T("   846880")</f>
        <v xml:space="preserve">   846880</v>
      </c>
      <c r="B9049" t="str">
        <f>T("   AUTRES MACHINES ET APPAREILS")</f>
        <v xml:space="preserve">   AUTRES MACHINES ET APPAREILS</v>
      </c>
      <c r="C9049" s="4">
        <v>2850</v>
      </c>
      <c r="D9049" s="4">
        <v>6405482</v>
      </c>
    </row>
    <row r="9050" spans="1:4" x14ac:dyDescent="0.25">
      <c r="A9050" t="str">
        <f>T("   847141")</f>
        <v xml:space="preserve">   847141</v>
      </c>
      <c r="B9050" t="str">
        <f>T("   COMPORTANT, SOUS UNE MEME ENVELOPPE, AU MOINS UNE UNITE CENTRALE DE TRAITEMENT ET, Q")</f>
        <v xml:space="preserve">   COMPORTANT, SOUS UNE MEME ENVELOPPE, AU MOINS UNE UNITE CENTRALE DE TRAITEMENT ET, Q</v>
      </c>
      <c r="C9050" s="4">
        <v>123.9</v>
      </c>
      <c r="D9050" s="4">
        <v>3117778</v>
      </c>
    </row>
    <row r="9051" spans="1:4" x14ac:dyDescent="0.25">
      <c r="A9051" t="str">
        <f>T("   847149")</f>
        <v xml:space="preserve">   847149</v>
      </c>
      <c r="B9051" t="str">
        <f>T("   AUTRES, SE PRESENTANT SOUS FORME DE SYSTEMES")</f>
        <v xml:space="preserve">   AUTRES, SE PRESENTANT SOUS FORME DE SYSTEMES</v>
      </c>
      <c r="C9051" s="4">
        <v>605.9</v>
      </c>
      <c r="D9051" s="4">
        <v>18950377</v>
      </c>
    </row>
    <row r="9052" spans="1:4" x14ac:dyDescent="0.25">
      <c r="A9052" t="str">
        <f>T("   847160")</f>
        <v xml:space="preserve">   847160</v>
      </c>
      <c r="B9052" t="str">
        <f>T("   UNITES D'ENTREE OU DE SORTIE, POUVANT COMPORTER, SOUS LA MEME ENVELOPPE, DES UNITES D")</f>
        <v xml:space="preserve">   UNITES D'ENTREE OU DE SORTIE, POUVANT COMPORTER, SOUS LA MEME ENVELOPPE, DES UNITES D</v>
      </c>
      <c r="C9052" s="4">
        <v>1</v>
      </c>
      <c r="D9052" s="4">
        <v>883578</v>
      </c>
    </row>
    <row r="9053" spans="1:4" x14ac:dyDescent="0.25">
      <c r="A9053" t="str">
        <f>T("   847180")</f>
        <v xml:space="preserve">   847180</v>
      </c>
      <c r="B9053" t="str">
        <f>T("   AUTRES UNITES DE MACHINES AUTOMATIQUES DE TRAITEMENT DE L'INFORMATION")</f>
        <v xml:space="preserve">   AUTRES UNITES DE MACHINES AUTOMATIQUES DE TRAITEMENT DE L'INFORMATION</v>
      </c>
      <c r="C9053" s="4">
        <v>3059.5</v>
      </c>
      <c r="D9053" s="4">
        <v>51973165</v>
      </c>
    </row>
    <row r="9054" spans="1:4" x14ac:dyDescent="0.25">
      <c r="A9054" t="str">
        <f>T("   847190")</f>
        <v xml:space="preserve">   847190</v>
      </c>
      <c r="B9054" t="str">
        <f>T("   AUTRES")</f>
        <v xml:space="preserve">   AUTRES</v>
      </c>
      <c r="C9054" s="4">
        <v>617.20000000000005</v>
      </c>
      <c r="D9054" s="4">
        <v>157802664</v>
      </c>
    </row>
    <row r="9055" spans="1:4" x14ac:dyDescent="0.25">
      <c r="A9055" t="str">
        <f>T("   847310")</f>
        <v xml:space="preserve">   847310</v>
      </c>
      <c r="B9055" t="str">
        <f>T("   PARTIES ET ACCESSOIRES DES MACHINES DU N° 84.69")</f>
        <v xml:space="preserve">   PARTIES ET ACCESSOIRES DES MACHINES DU N° 84.69</v>
      </c>
      <c r="C9055" s="4">
        <v>6799</v>
      </c>
      <c r="D9055" s="4">
        <v>20342632</v>
      </c>
    </row>
    <row r="9056" spans="1:4" x14ac:dyDescent="0.25">
      <c r="A9056" t="str">
        <f>T("   847330")</f>
        <v xml:space="preserve">   847330</v>
      </c>
      <c r="B9056" t="str">
        <f>T("   PARTIES ET ACCESSOIRES DES MACHINES DU N° 84.71")</f>
        <v xml:space="preserve">   PARTIES ET ACCESSOIRES DES MACHINES DU N° 84.71</v>
      </c>
      <c r="C9056" s="4">
        <v>6</v>
      </c>
      <c r="D9056" s="4">
        <v>244427</v>
      </c>
    </row>
    <row r="9057" spans="1:4" x14ac:dyDescent="0.25">
      <c r="A9057" t="str">
        <f>T("   847340")</f>
        <v xml:space="preserve">   847340</v>
      </c>
      <c r="B9057" t="str">
        <f>T("   PARTIES ET ACCESSOIRES DES MACHINES DU N° 84.72")</f>
        <v xml:space="preserve">   PARTIES ET ACCESSOIRES DES MACHINES DU N° 84.72</v>
      </c>
      <c r="C9057" s="4">
        <v>279</v>
      </c>
      <c r="D9057" s="4">
        <v>16855969</v>
      </c>
    </row>
    <row r="9058" spans="1:4" x14ac:dyDescent="0.25">
      <c r="A9058" t="str">
        <f>T("   847350")</f>
        <v xml:space="preserve">   847350</v>
      </c>
      <c r="B9058" t="str">
        <f>T("   PARTIES ET ACCESSOIRES QUI PEUVENT ETRE UTILISES INDIFFEREMMENT AVEC LES MACHINES OU")</f>
        <v xml:space="preserve">   PARTIES ET ACCESSOIRES QUI PEUVENT ETRE UTILISES INDIFFEREMMENT AVEC LES MACHINES OU</v>
      </c>
      <c r="C9058" s="4">
        <v>9</v>
      </c>
      <c r="D9058" s="4">
        <v>512969</v>
      </c>
    </row>
    <row r="9059" spans="1:4" x14ac:dyDescent="0.25">
      <c r="A9059" t="str">
        <f>T("   847490")</f>
        <v xml:space="preserve">   847490</v>
      </c>
      <c r="B9059" t="str">
        <f>T("   PARTIES")</f>
        <v xml:space="preserve">   PARTIES</v>
      </c>
      <c r="C9059" s="4">
        <v>8</v>
      </c>
      <c r="D9059" s="4">
        <v>530324</v>
      </c>
    </row>
    <row r="9060" spans="1:4" x14ac:dyDescent="0.25">
      <c r="A9060" t="str">
        <f>T("   848120")</f>
        <v xml:space="preserve">   848120</v>
      </c>
      <c r="B9060" t="str">
        <f>T("   VALVES POUR TRANSMISSIONS OLEOHYDRAULIQUES OU PNEUMATIQUES")</f>
        <v xml:space="preserve">   VALVES POUR TRANSMISSIONS OLEOHYDRAULIQUES OU PNEUMATIQUES</v>
      </c>
      <c r="C9060" s="4">
        <v>142</v>
      </c>
      <c r="D9060" s="4">
        <v>30382452</v>
      </c>
    </row>
    <row r="9061" spans="1:4" x14ac:dyDescent="0.25">
      <c r="A9061" t="str">
        <f>T("   848180")</f>
        <v xml:space="preserve">   848180</v>
      </c>
      <c r="B9061" t="str">
        <f>T("   Autres articles de robinetterie et organes similaires")</f>
        <v xml:space="preserve">   Autres articles de robinetterie et organes similaires</v>
      </c>
      <c r="C9061" s="4">
        <v>1158</v>
      </c>
      <c r="D9061" s="4">
        <v>15115625</v>
      </c>
    </row>
    <row r="9062" spans="1:4" x14ac:dyDescent="0.25">
      <c r="A9062" t="str">
        <f>T("   848280")</f>
        <v xml:space="preserve">   848280</v>
      </c>
      <c r="B9062" t="str">
        <f>T("   AUTRES, Y COMPRIS LES ROULEMENTS COMBINES")</f>
        <v xml:space="preserve">   AUTRES, Y COMPRIS LES ROULEMENTS COMBINES</v>
      </c>
      <c r="C9062" s="4">
        <v>135</v>
      </c>
      <c r="D9062" s="4">
        <v>7093296</v>
      </c>
    </row>
    <row r="9063" spans="1:4" x14ac:dyDescent="0.25">
      <c r="A9063" t="str">
        <f>T("   848360")</f>
        <v xml:space="preserve">   848360</v>
      </c>
      <c r="B9063" t="str">
        <f>T("   EMBRAYAGES ET ORGANES D'ACCOUPLEMENT, Y COMPRIS LES JOINTS D'ARTICULATION")</f>
        <v xml:space="preserve">   EMBRAYAGES ET ORGANES D'ACCOUPLEMENT, Y COMPRIS LES JOINTS D'ARTICULATION</v>
      </c>
      <c r="C9063" s="4">
        <v>11</v>
      </c>
      <c r="D9063" s="4">
        <v>14296907</v>
      </c>
    </row>
    <row r="9064" spans="1:4" x14ac:dyDescent="0.25">
      <c r="A9064" t="str">
        <f>T("   848390")</f>
        <v xml:space="preserve">   848390</v>
      </c>
      <c r="B9064" t="str">
        <f>T("   ROUES DENTEES ET AUTRES ORGANES ELEMENTAIRES DE TRANSMISSION PRESENTES SEPAREMENT; PA")</f>
        <v xml:space="preserve">   ROUES DENTEES ET AUTRES ORGANES ELEMENTAIRES DE TRANSMISSION PRESENTES SEPAREMENT; PA</v>
      </c>
      <c r="C9064" s="4">
        <v>39</v>
      </c>
      <c r="D9064" s="4">
        <v>529858</v>
      </c>
    </row>
    <row r="9065" spans="1:4" x14ac:dyDescent="0.25">
      <c r="A9065" t="str">
        <f>T("   850140")</f>
        <v xml:space="preserve">   850140</v>
      </c>
      <c r="B9065" t="str">
        <f>T("   AUTRES MOTEURS A COURANT ALTERNATIF, MONOPHASES")</f>
        <v xml:space="preserve">   AUTRES MOTEURS A COURANT ALTERNATIF, MONOPHASES</v>
      </c>
      <c r="C9065" s="4">
        <v>18</v>
      </c>
      <c r="D9065" s="4">
        <v>275986</v>
      </c>
    </row>
    <row r="9066" spans="1:4" x14ac:dyDescent="0.25">
      <c r="A9066" t="str">
        <f>T("   850300")</f>
        <v xml:space="preserve">   850300</v>
      </c>
      <c r="B9066" t="str">
        <f>T("   PARTIES RECONNAISSABLES COMME ETANT EXCLUSIVEMENT OU PRINCIPALEMENT DESTINEES AUX MACHI")</f>
        <v xml:space="preserve">   PARTIES RECONNAISSABLES COMME ETANT EXCLUSIVEMENT OU PRINCIPALEMENT DESTINEES AUX MACHI</v>
      </c>
      <c r="C9066" s="4">
        <v>17500</v>
      </c>
      <c r="D9066" s="4">
        <v>22130667</v>
      </c>
    </row>
    <row r="9067" spans="1:4" x14ac:dyDescent="0.25">
      <c r="A9067" t="str">
        <f>T("   850440")</f>
        <v xml:space="preserve">   850440</v>
      </c>
      <c r="B9067" t="str">
        <f>T("   CONVERTISSEURS STATIQUES")</f>
        <v xml:space="preserve">   CONVERTISSEURS STATIQUES</v>
      </c>
      <c r="C9067" s="4">
        <v>289</v>
      </c>
      <c r="D9067" s="4">
        <v>4301265</v>
      </c>
    </row>
    <row r="9068" spans="1:4" x14ac:dyDescent="0.25">
      <c r="A9068" t="str">
        <f>T("   850490")</f>
        <v xml:space="preserve">   850490</v>
      </c>
      <c r="B9068" t="str">
        <f>T("   PARTIES")</f>
        <v xml:space="preserve">   PARTIES</v>
      </c>
      <c r="C9068" s="4">
        <v>10</v>
      </c>
      <c r="D9068" s="4">
        <v>789776</v>
      </c>
    </row>
    <row r="9069" spans="1:4" x14ac:dyDescent="0.25">
      <c r="A9069" t="str">
        <f>T("   850650")</f>
        <v xml:space="preserve">   850650</v>
      </c>
      <c r="B9069" t="str">
        <f>T("   AU LITHIUM")</f>
        <v xml:space="preserve">   AU LITHIUM</v>
      </c>
      <c r="C9069" s="4">
        <v>1</v>
      </c>
      <c r="D9069" s="4">
        <v>324215</v>
      </c>
    </row>
    <row r="9070" spans="1:4" x14ac:dyDescent="0.25">
      <c r="A9070" t="str">
        <f>T("   850680")</f>
        <v xml:space="preserve">   850680</v>
      </c>
      <c r="B9070" t="str">
        <f>T("   AUTRES PILES ET BATTERIES DE PILES")</f>
        <v xml:space="preserve">   AUTRES PILES ET BATTERIES DE PILES</v>
      </c>
      <c r="C9070" s="4">
        <v>226</v>
      </c>
      <c r="D9070" s="4">
        <v>379801</v>
      </c>
    </row>
    <row r="9071" spans="1:4" x14ac:dyDescent="0.25">
      <c r="A9071" t="str">
        <f>T("   850710")</f>
        <v xml:space="preserve">   850710</v>
      </c>
      <c r="B9071" t="str">
        <f>T("   AU PLOMB, DES TYPES UTILISES POUR LE DEMARRAGE DES MOTEURS A PISTON")</f>
        <v xml:space="preserve">   AU PLOMB, DES TYPES UTILISES POUR LE DEMARRAGE DES MOTEURS A PISTON</v>
      </c>
      <c r="C9071" s="4">
        <v>204</v>
      </c>
      <c r="D9071" s="4">
        <v>1423197</v>
      </c>
    </row>
    <row r="9072" spans="1:4" x14ac:dyDescent="0.25">
      <c r="A9072" t="str">
        <f>T("   850730")</f>
        <v xml:space="preserve">   850730</v>
      </c>
      <c r="B9072" t="str">
        <f>T("   AU NICKELCADMIUM")</f>
        <v xml:space="preserve">   AU NICKELCADMIUM</v>
      </c>
      <c r="C9072" s="4">
        <v>39</v>
      </c>
      <c r="D9072" s="4">
        <v>3623831</v>
      </c>
    </row>
    <row r="9073" spans="1:4" x14ac:dyDescent="0.25">
      <c r="A9073" t="str">
        <f>T("   850780")</f>
        <v xml:space="preserve">   850780</v>
      </c>
      <c r="B9073" t="str">
        <f>T("   AUTRES ACCUMULATEURS")</f>
        <v xml:space="preserve">   AUTRES ACCUMULATEURS</v>
      </c>
      <c r="C9073" s="4">
        <v>517.5</v>
      </c>
      <c r="D9073" s="4">
        <v>20812263</v>
      </c>
    </row>
    <row r="9074" spans="1:4" x14ac:dyDescent="0.25">
      <c r="A9074" t="str">
        <f>T("   850870")</f>
        <v xml:space="preserve">   850870</v>
      </c>
      <c r="B9074" t="str">
        <f>T("   PARTIES")</f>
        <v xml:space="preserve">   PARTIES</v>
      </c>
      <c r="C9074" s="4">
        <v>400</v>
      </c>
      <c r="D9074" s="4">
        <v>8867385</v>
      </c>
    </row>
    <row r="9075" spans="1:4" x14ac:dyDescent="0.25">
      <c r="A9075" t="str">
        <f>T("   851290")</f>
        <v xml:space="preserve">   851290</v>
      </c>
      <c r="B9075" t="str">
        <f>T("   PARTIES")</f>
        <v xml:space="preserve">   PARTIES</v>
      </c>
      <c r="C9075" s="4">
        <v>1</v>
      </c>
      <c r="D9075" s="4">
        <v>226214</v>
      </c>
    </row>
    <row r="9076" spans="1:4" x14ac:dyDescent="0.25">
      <c r="A9076" t="str">
        <f>T("   851660")</f>
        <v xml:space="preserve">   851660</v>
      </c>
      <c r="B9076" t="str">
        <f>T("   AUTRES FOURS; CUISINIERES, RECHAUDS (Y COMPRIS LES TABLES DE CUISSON), GRILS ET ROTIS")</f>
        <v xml:space="preserve">   AUTRES FOURS; CUISINIERES, RECHAUDS (Y COMPRIS LES TABLES DE CUISSON), GRILS ET ROTIS</v>
      </c>
      <c r="C9076" s="4">
        <v>11100</v>
      </c>
      <c r="D9076" s="4">
        <v>2394254</v>
      </c>
    </row>
    <row r="9077" spans="1:4" x14ac:dyDescent="0.25">
      <c r="A9077" t="str">
        <f>T("   851712")</f>
        <v xml:space="preserve">   851712</v>
      </c>
      <c r="B9077" t="str">
        <f>T("   TELEPHONES POUR RESEAUX CELLULAIRES ET POUR AUTRES RESEAUX SANS FIL")</f>
        <v xml:space="preserve">   TELEPHONES POUR RESEAUX CELLULAIRES ET POUR AUTRES RESEAUX SANS FIL</v>
      </c>
      <c r="C9077" s="4">
        <v>9</v>
      </c>
      <c r="D9077" s="4">
        <v>532640</v>
      </c>
    </row>
    <row r="9078" spans="1:4" x14ac:dyDescent="0.25">
      <c r="A9078" t="str">
        <f>T("   851718")</f>
        <v xml:space="preserve">   851718</v>
      </c>
      <c r="B9078" t="str">
        <f>T("   AUTRES")</f>
        <v xml:space="preserve">   AUTRES</v>
      </c>
      <c r="C9078" s="4">
        <v>29</v>
      </c>
      <c r="D9078" s="4">
        <v>794368</v>
      </c>
    </row>
    <row r="9079" spans="1:4" x14ac:dyDescent="0.25">
      <c r="A9079" t="str">
        <f>T("   851762")</f>
        <v xml:space="preserve">   851762</v>
      </c>
      <c r="B9079" t="str">
        <f>T("   APPAREILS POUR LA RECEPTION, LA CONVERSION ET L'EMISSION, LA TRANSMISSION OU LA REGE")</f>
        <v xml:space="preserve">   APPAREILS POUR LA RECEPTION, LA CONVERSION ET L'EMISSION, LA TRANSMISSION OU LA REGE</v>
      </c>
      <c r="C9079" s="4">
        <v>263.2</v>
      </c>
      <c r="D9079" s="4">
        <v>40526850</v>
      </c>
    </row>
    <row r="9080" spans="1:4" x14ac:dyDescent="0.25">
      <c r="A9080" t="str">
        <f>T("   851769")</f>
        <v xml:space="preserve">   851769</v>
      </c>
      <c r="B9080" t="str">
        <f>T("   AUTRES")</f>
        <v xml:space="preserve">   AUTRES</v>
      </c>
      <c r="C9080" s="4">
        <v>1415.4</v>
      </c>
      <c r="D9080" s="4">
        <v>48390426</v>
      </c>
    </row>
    <row r="9081" spans="1:4" x14ac:dyDescent="0.25">
      <c r="A9081" t="str">
        <f>T("   851770")</f>
        <v xml:space="preserve">   851770</v>
      </c>
      <c r="B9081" t="str">
        <f>T("   PARTIES")</f>
        <v xml:space="preserve">   PARTIES</v>
      </c>
      <c r="C9081" s="4">
        <v>309.5</v>
      </c>
      <c r="D9081" s="4">
        <v>29160801</v>
      </c>
    </row>
    <row r="9082" spans="1:4" x14ac:dyDescent="0.25">
      <c r="A9082" t="str">
        <f>T("   851830")</f>
        <v xml:space="preserve">   851830</v>
      </c>
      <c r="B9082" t="str">
        <f>T("   CASQUES D'ECOUTE ET ECOUTEURS, MEME COMBINES AVEC UN MICROPHONE, ET ENSEMBLES OU ASSO")</f>
        <v xml:space="preserve">   CASQUES D'ECOUTE ET ECOUTEURS, MEME COMBINES AVEC UN MICROPHONE, ET ENSEMBLES OU ASSO</v>
      </c>
      <c r="C9082" s="4">
        <v>293</v>
      </c>
      <c r="D9082" s="4">
        <v>1814529</v>
      </c>
    </row>
    <row r="9083" spans="1:4" x14ac:dyDescent="0.25">
      <c r="A9083" t="str">
        <f>T("   852290")</f>
        <v xml:space="preserve">   852290</v>
      </c>
      <c r="B9083" t="str">
        <f>T("   AUTRES")</f>
        <v xml:space="preserve">   AUTRES</v>
      </c>
      <c r="C9083" s="4">
        <v>626</v>
      </c>
      <c r="D9083" s="4">
        <v>16270183</v>
      </c>
    </row>
    <row r="9084" spans="1:4" x14ac:dyDescent="0.25">
      <c r="A9084" t="str">
        <f>T("   852321")</f>
        <v xml:space="preserve">   852321</v>
      </c>
      <c r="B9084" t="str">
        <f>T("   CARTES MUNIES D'UNE PISTE MAGNETIQUE")</f>
        <v xml:space="preserve">   CARTES MUNIES D'UNE PISTE MAGNETIQUE</v>
      </c>
      <c r="C9084" s="4">
        <v>26.7</v>
      </c>
      <c r="D9084" s="4">
        <v>1840716</v>
      </c>
    </row>
    <row r="9085" spans="1:4" x14ac:dyDescent="0.25">
      <c r="A9085" t="str">
        <f>T("   852329")</f>
        <v xml:space="preserve">   852329</v>
      </c>
      <c r="B9085" t="str">
        <f>T("   AUTRES")</f>
        <v xml:space="preserve">   AUTRES</v>
      </c>
      <c r="C9085" s="4">
        <v>13.5</v>
      </c>
      <c r="D9085" s="4">
        <v>654555</v>
      </c>
    </row>
    <row r="9086" spans="1:4" x14ac:dyDescent="0.25">
      <c r="A9086" t="str">
        <f>T("   852560")</f>
        <v xml:space="preserve">   852560</v>
      </c>
      <c r="B9086" t="str">
        <f>T("   APPAREILS D'EMISSION INCORPORANT UN APPAREIL DE RECEPTION")</f>
        <v xml:space="preserve">   APPAREILS D'EMISSION INCORPORANT UN APPAREIL DE RECEPTION</v>
      </c>
      <c r="C9086" s="4">
        <v>18.5</v>
      </c>
      <c r="D9086" s="4">
        <v>1013694</v>
      </c>
    </row>
    <row r="9087" spans="1:4" x14ac:dyDescent="0.25">
      <c r="A9087" t="str">
        <f>T("   852849")</f>
        <v xml:space="preserve">   852849</v>
      </c>
      <c r="B9087" t="str">
        <f>T("   AUTRES")</f>
        <v xml:space="preserve">   AUTRES</v>
      </c>
      <c r="C9087" s="4">
        <v>3373</v>
      </c>
      <c r="D9087" s="4">
        <v>1647704</v>
      </c>
    </row>
    <row r="9088" spans="1:4" x14ac:dyDescent="0.25">
      <c r="A9088" t="str">
        <f>T("   852859")</f>
        <v xml:space="preserve">   852859</v>
      </c>
      <c r="B9088" t="str">
        <f>T("   AUTRES")</f>
        <v xml:space="preserve">   AUTRES</v>
      </c>
      <c r="C9088" s="4">
        <v>45</v>
      </c>
      <c r="D9088" s="4">
        <v>688758</v>
      </c>
    </row>
    <row r="9089" spans="1:4" x14ac:dyDescent="0.25">
      <c r="A9089" t="str">
        <f>T("   852910")</f>
        <v xml:space="preserve">   852910</v>
      </c>
      <c r="B9089" t="str">
        <f>T("   ANTENNES ET REFLECTEURS D’ANTENNES DE TOUS TYPES; PARTIES RECONNAISSABLES COMME ETANT")</f>
        <v xml:space="preserve">   ANTENNES ET REFLECTEURS D’ANTENNES DE TOUS TYPES; PARTIES RECONNAISSABLES COMME ETANT</v>
      </c>
      <c r="C9089" s="4">
        <v>12022</v>
      </c>
      <c r="D9089" s="4">
        <v>65633628</v>
      </c>
    </row>
    <row r="9090" spans="1:4" x14ac:dyDescent="0.25">
      <c r="A9090" t="str">
        <f>T("   852990")</f>
        <v xml:space="preserve">   852990</v>
      </c>
      <c r="B9090" t="str">
        <f>T("   AUTRES")</f>
        <v xml:space="preserve">   AUTRES</v>
      </c>
      <c r="C9090" s="4">
        <v>4123</v>
      </c>
      <c r="D9090" s="4">
        <v>103287458</v>
      </c>
    </row>
    <row r="9091" spans="1:4" x14ac:dyDescent="0.25">
      <c r="A9091" t="str">
        <f>T("   853390")</f>
        <v xml:space="preserve">   853390</v>
      </c>
      <c r="B9091" t="str">
        <f>T("   PARTIES")</f>
        <v xml:space="preserve">   PARTIES</v>
      </c>
      <c r="C9091" s="4">
        <v>1.9</v>
      </c>
      <c r="D9091" s="4">
        <v>155262</v>
      </c>
    </row>
    <row r="9092" spans="1:4" x14ac:dyDescent="0.25">
      <c r="A9092" t="str">
        <f>T("   853630")</f>
        <v xml:space="preserve">   853630</v>
      </c>
      <c r="B9092" t="str">
        <f>T("   AUTRES APPAREILS POUR LA PROTECTION DES CIRCUITS ELECTRIQUES")</f>
        <v xml:space="preserve">   AUTRES APPAREILS POUR LA PROTECTION DES CIRCUITS ELECTRIQUES</v>
      </c>
      <c r="C9092" s="4">
        <v>2</v>
      </c>
      <c r="D9092" s="4">
        <v>203348</v>
      </c>
    </row>
    <row r="9093" spans="1:4" x14ac:dyDescent="0.25">
      <c r="A9093" t="str">
        <f>T("   853641")</f>
        <v xml:space="preserve">   853641</v>
      </c>
      <c r="B9093" t="str">
        <f>T("   POUR UNE TENSION N'EXCEDANT PAS 60 V")</f>
        <v xml:space="preserve">   POUR UNE TENSION N'EXCEDANT PAS 60 V</v>
      </c>
      <c r="C9093" s="4">
        <v>2</v>
      </c>
      <c r="D9093" s="4">
        <v>270984</v>
      </c>
    </row>
    <row r="9094" spans="1:4" x14ac:dyDescent="0.25">
      <c r="A9094" t="str">
        <f>T("   853650")</f>
        <v xml:space="preserve">   853650</v>
      </c>
      <c r="B9094" t="str">
        <f>T("   AUTRES INTERRUPTEURS, SECTIONNEURS ET COMMUTATEURS")</f>
        <v xml:space="preserve">   AUTRES INTERRUPTEURS, SECTIONNEURS ET COMMUTATEURS</v>
      </c>
      <c r="C9094" s="4">
        <v>765</v>
      </c>
      <c r="D9094" s="4">
        <v>45479219</v>
      </c>
    </row>
    <row r="9095" spans="1:4" x14ac:dyDescent="0.25">
      <c r="A9095" t="str">
        <f>T("   853669")</f>
        <v xml:space="preserve">   853669</v>
      </c>
      <c r="B9095" t="str">
        <f>T("   AUTRES")</f>
        <v xml:space="preserve">   AUTRES</v>
      </c>
      <c r="C9095" s="4">
        <v>409</v>
      </c>
      <c r="D9095" s="4">
        <v>40921989</v>
      </c>
    </row>
    <row r="9096" spans="1:4" x14ac:dyDescent="0.25">
      <c r="A9096" t="str">
        <f>T("   853710")</f>
        <v xml:space="preserve">   853710</v>
      </c>
      <c r="B9096" t="str">
        <f>T("   POUR UNE TENSION N'EXCEDANT PAS 1.000 V")</f>
        <v xml:space="preserve">   POUR UNE TENSION N'EXCEDANT PAS 1.000 V</v>
      </c>
      <c r="C9096" s="4">
        <v>5</v>
      </c>
      <c r="D9096" s="4">
        <v>3758776</v>
      </c>
    </row>
    <row r="9097" spans="1:4" x14ac:dyDescent="0.25">
      <c r="A9097" t="str">
        <f>T("   853720")</f>
        <v xml:space="preserve">   853720</v>
      </c>
      <c r="B9097" t="str">
        <f>T("   POUR UNE TENSION EXCEDANT 1.000 V")</f>
        <v xml:space="preserve">   POUR UNE TENSION EXCEDANT 1.000 V</v>
      </c>
      <c r="C9097" s="4">
        <v>891</v>
      </c>
      <c r="D9097" s="4">
        <v>56642889</v>
      </c>
    </row>
    <row r="9098" spans="1:4" x14ac:dyDescent="0.25">
      <c r="A9098" t="str">
        <f>T("   854370")</f>
        <v xml:space="preserve">   854370</v>
      </c>
      <c r="B9098" t="str">
        <f>T("   AUTRES MACHINES ET APPAREILS")</f>
        <v xml:space="preserve">   AUTRES MACHINES ET APPAREILS</v>
      </c>
      <c r="C9098" s="4">
        <v>13</v>
      </c>
      <c r="D9098" s="4">
        <v>6262742</v>
      </c>
    </row>
    <row r="9099" spans="1:4" x14ac:dyDescent="0.25">
      <c r="A9099" t="str">
        <f>T("   854420")</f>
        <v xml:space="preserve">   854420</v>
      </c>
      <c r="B9099" t="str">
        <f>T("   Cables coaxiaux et autres conducteurs electriques coaxiaux")</f>
        <v xml:space="preserve">   Cables coaxiaux et autres conducteurs electriques coaxiaux</v>
      </c>
      <c r="C9099" s="4">
        <v>3340</v>
      </c>
      <c r="D9099" s="4">
        <v>2242773</v>
      </c>
    </row>
    <row r="9100" spans="1:4" x14ac:dyDescent="0.25">
      <c r="A9100" t="str">
        <f>T("   854430")</f>
        <v xml:space="preserve">   854430</v>
      </c>
      <c r="B9100" t="str">
        <f>T("   JEUX DE FILS POUR BOUGIES D'ALLUMAGE ET AUTRES JEUX DE FILS DES TYPES UTILISES DANS L")</f>
        <v xml:space="preserve">   JEUX DE FILS POUR BOUGIES D'ALLUMAGE ET AUTRES JEUX DE FILS DES TYPES UTILISES DANS L</v>
      </c>
      <c r="C9100" s="4">
        <v>5</v>
      </c>
      <c r="D9100" s="4">
        <v>3185295</v>
      </c>
    </row>
    <row r="9101" spans="1:4" x14ac:dyDescent="0.25">
      <c r="A9101" t="str">
        <f>T("   854449")</f>
        <v xml:space="preserve">   854449</v>
      </c>
      <c r="B9101" t="str">
        <f>T("   AUTRES")</f>
        <v xml:space="preserve">   AUTRES</v>
      </c>
      <c r="C9101" s="4">
        <v>8165</v>
      </c>
      <c r="D9101" s="4">
        <v>2606785</v>
      </c>
    </row>
    <row r="9102" spans="1:4" x14ac:dyDescent="0.25">
      <c r="A9102" t="str">
        <f>T("   860721")</f>
        <v xml:space="preserve">   860721</v>
      </c>
      <c r="B9102" t="str">
        <f>T("   FREINS A AIR COMPRIME ET LEURS PARTIES")</f>
        <v xml:space="preserve">   FREINS A AIR COMPRIME ET LEURS PARTIES</v>
      </c>
      <c r="C9102" s="4">
        <v>382</v>
      </c>
      <c r="D9102" s="4">
        <v>5172730</v>
      </c>
    </row>
    <row r="9103" spans="1:4" x14ac:dyDescent="0.25">
      <c r="A9103" t="str">
        <f>T("   870120")</f>
        <v xml:space="preserve">   870120</v>
      </c>
      <c r="B9103" t="str">
        <f>T("   TRACTEURS ROUTIERS POUR SEMIREMORQUES")</f>
        <v xml:space="preserve">   TRACTEURS ROUTIERS POUR SEMIREMORQUES</v>
      </c>
      <c r="C9103" s="4">
        <v>1971591</v>
      </c>
      <c r="D9103" s="4">
        <v>755661121</v>
      </c>
    </row>
    <row r="9104" spans="1:4" x14ac:dyDescent="0.25">
      <c r="A9104" t="str">
        <f>T("   870190")</f>
        <v xml:space="preserve">   870190</v>
      </c>
      <c r="B9104" t="str">
        <f>T("   AUTRES")</f>
        <v xml:space="preserve">   AUTRES</v>
      </c>
      <c r="C9104" s="4">
        <v>76730</v>
      </c>
      <c r="D9104" s="4">
        <v>298426184</v>
      </c>
    </row>
    <row r="9105" spans="1:4" x14ac:dyDescent="0.25">
      <c r="A9105" t="str">
        <f>T("   870210")</f>
        <v xml:space="preserve">   870210</v>
      </c>
      <c r="B9105" t="str">
        <f>T("   A MOTEUR A PISTON A ALLUMAGE PAR COMPRESSION (DIESEL OU SEMIDIESEL)")</f>
        <v xml:space="preserve">   A MOTEUR A PISTON A ALLUMAGE PAR COMPRESSION (DIESEL OU SEMIDIESEL)</v>
      </c>
      <c r="C9105" s="4">
        <v>109465</v>
      </c>
      <c r="D9105" s="4">
        <v>34081469</v>
      </c>
    </row>
    <row r="9106" spans="1:4" x14ac:dyDescent="0.25">
      <c r="A9106" t="str">
        <f>T("   870290")</f>
        <v xml:space="preserve">   870290</v>
      </c>
      <c r="B9106" t="str">
        <f>T("   AUTRES")</f>
        <v xml:space="preserve">   AUTRES</v>
      </c>
      <c r="C9106" s="4">
        <v>28925</v>
      </c>
      <c r="D9106" s="4">
        <v>25437083</v>
      </c>
    </row>
    <row r="9107" spans="1:4" x14ac:dyDescent="0.25">
      <c r="A9107" t="str">
        <f>T("   870322")</f>
        <v xml:space="preserve">   870322</v>
      </c>
      <c r="B9107" t="str">
        <f>T("   D’UNE CYLINDREE EXCEDANT 1.000 CM³ MAIS N’EXCEDANT PAS 1.500 CM³")</f>
        <v xml:space="preserve">   D’UNE CYLINDREE EXCEDANT 1.000 CM³ MAIS N’EXCEDANT PAS 1.500 CM³</v>
      </c>
      <c r="C9107" s="4">
        <v>317160</v>
      </c>
      <c r="D9107" s="4">
        <v>404395037</v>
      </c>
    </row>
    <row r="9108" spans="1:4" x14ac:dyDescent="0.25">
      <c r="A9108" t="str">
        <f>T("   870323")</f>
        <v xml:space="preserve">   870323</v>
      </c>
      <c r="B9108" t="str">
        <f>T("   D’UNE CYLINDREE EXCEDANT 1.500 CM³ MAIS N’EXCEDANT PAS 3.000 CM³")</f>
        <v xml:space="preserve">   D’UNE CYLINDREE EXCEDANT 1.500 CM³ MAIS N’EXCEDANT PAS 3.000 CM³</v>
      </c>
      <c r="C9108" s="4">
        <v>1302023</v>
      </c>
      <c r="D9108" s="4">
        <v>1595602869</v>
      </c>
    </row>
    <row r="9109" spans="1:4" x14ac:dyDescent="0.25">
      <c r="A9109" t="str">
        <f>T("   870324")</f>
        <v xml:space="preserve">   870324</v>
      </c>
      <c r="B9109" t="str">
        <f>T("   D’UNE CYLINDREE EXCEDANT 3.000 CM³")</f>
        <v xml:space="preserve">   D’UNE CYLINDREE EXCEDANT 3.000 CM³</v>
      </c>
      <c r="C9109" s="4">
        <v>38511</v>
      </c>
      <c r="D9109" s="4">
        <v>48953497</v>
      </c>
    </row>
    <row r="9110" spans="1:4" x14ac:dyDescent="0.25">
      <c r="A9110" t="str">
        <f>T("   870331")</f>
        <v xml:space="preserve">   870331</v>
      </c>
      <c r="B9110" t="str">
        <f>T("   D'UNE CYLINDREE N'EXCEDANT PAS 1.500 CM³")</f>
        <v xml:space="preserve">   D'UNE CYLINDREE N'EXCEDANT PAS 1.500 CM³</v>
      </c>
      <c r="C9110" s="4">
        <v>1000</v>
      </c>
      <c r="D9110" s="4">
        <v>1200000</v>
      </c>
    </row>
    <row r="9111" spans="1:4" x14ac:dyDescent="0.25">
      <c r="A9111" t="str">
        <f>T("   870332")</f>
        <v xml:space="preserve">   870332</v>
      </c>
      <c r="B9111" t="str">
        <f>T("   D'UNE CYLINDREE EXCEDANT 1.500 CM³ MAIS N'EXCEDANT PAS 2.500 CM³")</f>
        <v xml:space="preserve">   D'UNE CYLINDREE EXCEDANT 1.500 CM³ MAIS N'EXCEDANT PAS 2.500 CM³</v>
      </c>
      <c r="C9111" s="4">
        <v>37026</v>
      </c>
      <c r="D9111" s="4">
        <v>68261546</v>
      </c>
    </row>
    <row r="9112" spans="1:4" x14ac:dyDescent="0.25">
      <c r="A9112" t="str">
        <f>T("   870333")</f>
        <v xml:space="preserve">   870333</v>
      </c>
      <c r="B9112" t="str">
        <f>T("   D'UNE CYLINDREE EXCEDANT 2.500 CM³")</f>
        <v xml:space="preserve">   D'UNE CYLINDREE EXCEDANT 2.500 CM³</v>
      </c>
      <c r="C9112" s="4">
        <v>27230</v>
      </c>
      <c r="D9112" s="4">
        <v>81524419</v>
      </c>
    </row>
    <row r="9113" spans="1:4" x14ac:dyDescent="0.25">
      <c r="A9113" t="str">
        <f>T("   870421")</f>
        <v xml:space="preserve">   870421</v>
      </c>
      <c r="B9113" t="str">
        <f>T("   D'UN POIDS EN CHARGE MAXIMAL N'EXCEDANT PAS 5 TONNES")</f>
        <v xml:space="preserve">   D'UN POIDS EN CHARGE MAXIMAL N'EXCEDANT PAS 5 TONNES</v>
      </c>
      <c r="C9113" s="4">
        <v>158109</v>
      </c>
      <c r="D9113" s="4">
        <v>128232754</v>
      </c>
    </row>
    <row r="9114" spans="1:4" x14ac:dyDescent="0.25">
      <c r="A9114" t="str">
        <f>T("   870422")</f>
        <v xml:space="preserve">   870422</v>
      </c>
      <c r="B9114" t="str">
        <f>T("   D'UN POIDS EN CHARGE MAXIMAL EXCEDANT 5 TONNES MAIS N'EXCEDANT PAS 20 TONNES")</f>
        <v xml:space="preserve">   D'UN POIDS EN CHARGE MAXIMAL EXCEDANT 5 TONNES MAIS N'EXCEDANT PAS 20 TONNES</v>
      </c>
      <c r="C9114" s="4">
        <v>1363154</v>
      </c>
      <c r="D9114" s="4">
        <v>617474626</v>
      </c>
    </row>
    <row r="9115" spans="1:4" x14ac:dyDescent="0.25">
      <c r="A9115" t="str">
        <f>T("   870423")</f>
        <v xml:space="preserve">   870423</v>
      </c>
      <c r="B9115" t="str">
        <f>T("   D'UN POIDS EN CHARGE MAXIMAL EXCEDANT 20 TONNES")</f>
        <v xml:space="preserve">   D'UN POIDS EN CHARGE MAXIMAL EXCEDANT 20 TONNES</v>
      </c>
      <c r="C9115" s="4">
        <v>141017</v>
      </c>
      <c r="D9115" s="4">
        <v>32268142</v>
      </c>
    </row>
    <row r="9116" spans="1:4" x14ac:dyDescent="0.25">
      <c r="A9116" t="str">
        <f>T("   870431")</f>
        <v xml:space="preserve">   870431</v>
      </c>
      <c r="B9116" t="str">
        <f>T("   D'UN POIDS EN CHARGE MAXIMAL N'EXCEDANT PAS 5 TONNES")</f>
        <v xml:space="preserve">   D'UN POIDS EN CHARGE MAXIMAL N'EXCEDANT PAS 5 TONNES</v>
      </c>
      <c r="C9116" s="4">
        <v>299910</v>
      </c>
      <c r="D9116" s="4">
        <v>168582687</v>
      </c>
    </row>
    <row r="9117" spans="1:4" x14ac:dyDescent="0.25">
      <c r="A9117" t="str">
        <f>T("   870432")</f>
        <v xml:space="preserve">   870432</v>
      </c>
      <c r="B9117" t="str">
        <f>T("   D'UN POIDS EN CHARGE MAXIMAL EXCEDANT 5 TONNES")</f>
        <v xml:space="preserve">   D'UN POIDS EN CHARGE MAXIMAL EXCEDANT 5 TONNES</v>
      </c>
      <c r="C9117" s="4">
        <v>9490</v>
      </c>
      <c r="D9117" s="4">
        <v>3411914</v>
      </c>
    </row>
    <row r="9118" spans="1:4" x14ac:dyDescent="0.25">
      <c r="A9118" t="str">
        <f>T("   870510")</f>
        <v xml:space="preserve">   870510</v>
      </c>
      <c r="B9118" t="str">
        <f>T("   CAMIONSGRUES")</f>
        <v xml:space="preserve">   CAMIONSGRUES</v>
      </c>
      <c r="C9118" s="4">
        <v>30320</v>
      </c>
      <c r="D9118" s="4">
        <v>3523828</v>
      </c>
    </row>
    <row r="9119" spans="1:4" x14ac:dyDescent="0.25">
      <c r="A9119" t="str">
        <f>T("   870830")</f>
        <v xml:space="preserve">   870830</v>
      </c>
      <c r="B9119" t="str">
        <f>T("   FREINS ET SERVOFREINS, ET LEURS PARTIES")</f>
        <v xml:space="preserve">   FREINS ET SERVOFREINS, ET LEURS PARTIES</v>
      </c>
      <c r="C9119" s="4">
        <v>134</v>
      </c>
      <c r="D9119" s="4">
        <v>1821811</v>
      </c>
    </row>
    <row r="9120" spans="1:4" x14ac:dyDescent="0.25">
      <c r="A9120" t="str">
        <f>T("   870891")</f>
        <v xml:space="preserve">   870891</v>
      </c>
      <c r="B9120" t="str">
        <f>T("   RADIATEURS ET LEURS PARTIES")</f>
        <v xml:space="preserve">   RADIATEURS ET LEURS PARTIES</v>
      </c>
      <c r="C9120" s="4">
        <v>182</v>
      </c>
      <c r="D9120" s="4">
        <v>3531584</v>
      </c>
    </row>
    <row r="9121" spans="1:4" x14ac:dyDescent="0.25">
      <c r="A9121" t="str">
        <f>T("   870892")</f>
        <v xml:space="preserve">   870892</v>
      </c>
      <c r="B9121" t="str">
        <f>T("   SILENCIEUX ET TUYAUX D'ECHAPPEMENT; LEURS PARTIES")</f>
        <v xml:space="preserve">   SILENCIEUX ET TUYAUX D'ECHAPPEMENT; LEURS PARTIES</v>
      </c>
      <c r="C9121" s="4">
        <v>74</v>
      </c>
      <c r="D9121" s="4">
        <v>1392485</v>
      </c>
    </row>
    <row r="9122" spans="1:4" x14ac:dyDescent="0.25">
      <c r="A9122" t="str">
        <f>T("   870899")</f>
        <v xml:space="preserve">   870899</v>
      </c>
      <c r="B9122" t="str">
        <f>T("   AUTRES")</f>
        <v xml:space="preserve">   AUTRES</v>
      </c>
      <c r="C9122" s="4">
        <v>5595.1</v>
      </c>
      <c r="D9122" s="4">
        <v>48013901</v>
      </c>
    </row>
    <row r="9123" spans="1:4" x14ac:dyDescent="0.25">
      <c r="A9123" t="str">
        <f>T("   871140")</f>
        <v xml:space="preserve">   871140</v>
      </c>
      <c r="B9123" t="str">
        <f>T("   A MOTEUR A PISTON ALTERNATIF, D'UNE CYLINDREE EXCEDANT 500 CM³ MAIS N'EXCEDANT PAS 80")</f>
        <v xml:space="preserve">   A MOTEUR A PISTON ALTERNATIF, D'UNE CYLINDREE EXCEDANT 500 CM³ MAIS N'EXCEDANT PAS 80</v>
      </c>
      <c r="C9123" s="4">
        <v>3080</v>
      </c>
      <c r="D9123" s="4">
        <v>4500000</v>
      </c>
    </row>
    <row r="9124" spans="1:4" x14ac:dyDescent="0.25">
      <c r="A9124" t="str">
        <f>T("   871190")</f>
        <v xml:space="preserve">   871190</v>
      </c>
      <c r="B9124" t="str">
        <f>T("   AUTRES")</f>
        <v xml:space="preserve">   AUTRES</v>
      </c>
      <c r="C9124" s="4">
        <v>2880</v>
      </c>
      <c r="D9124" s="4">
        <v>1128135</v>
      </c>
    </row>
    <row r="9125" spans="1:4" x14ac:dyDescent="0.25">
      <c r="A9125" t="str">
        <f>T("   871200")</f>
        <v xml:space="preserve">   871200</v>
      </c>
      <c r="B9125" t="str">
        <f>T("   BICYCLETTES ET AUTRES CYCLES (Y COMPRIS LES TRIPORTEURS), SANS MOTEUR.")</f>
        <v xml:space="preserve">   BICYCLETTES ET AUTRES CYCLES (Y COMPRIS LES TRIPORTEURS), SANS MOTEUR.</v>
      </c>
      <c r="C9125" s="4">
        <v>455</v>
      </c>
      <c r="D9125" s="4">
        <v>273075</v>
      </c>
    </row>
    <row r="9126" spans="1:4" x14ac:dyDescent="0.25">
      <c r="A9126" t="str">
        <f>T("   871639")</f>
        <v xml:space="preserve">   871639</v>
      </c>
      <c r="B9126" t="str">
        <f>T("   AUTRES")</f>
        <v xml:space="preserve">   AUTRES</v>
      </c>
      <c r="C9126" s="4">
        <v>361465</v>
      </c>
      <c r="D9126" s="4">
        <v>106560962</v>
      </c>
    </row>
    <row r="9127" spans="1:4" x14ac:dyDescent="0.25">
      <c r="A9127" t="str">
        <f>T("   871640")</f>
        <v xml:space="preserve">   871640</v>
      </c>
      <c r="B9127" t="str">
        <f>T("   AUTRES REMORQUES ET SEMIREMORQUES")</f>
        <v xml:space="preserve">   AUTRES REMORQUES ET SEMIREMORQUES</v>
      </c>
      <c r="C9127" s="4">
        <v>496721</v>
      </c>
      <c r="D9127" s="4">
        <v>213298744</v>
      </c>
    </row>
    <row r="9128" spans="1:4" x14ac:dyDescent="0.25">
      <c r="A9128" t="str">
        <f>T("   871690")</f>
        <v xml:space="preserve">   871690</v>
      </c>
      <c r="B9128" t="str">
        <f>T("   PARTIES")</f>
        <v xml:space="preserve">   PARTIES</v>
      </c>
      <c r="C9128" s="4">
        <v>240</v>
      </c>
      <c r="D9128" s="4">
        <v>240000</v>
      </c>
    </row>
    <row r="9129" spans="1:4" x14ac:dyDescent="0.25">
      <c r="A9129" t="str">
        <f>T("   880310")</f>
        <v xml:space="preserve">   880310</v>
      </c>
      <c r="B9129" t="str">
        <f>T("   HELICES ET ROTORS, ET LEURS PARTIES")</f>
        <v xml:space="preserve">   HELICES ET ROTORS, ET LEURS PARTIES</v>
      </c>
      <c r="C9129" s="4">
        <v>37</v>
      </c>
      <c r="D9129" s="4">
        <v>57878479</v>
      </c>
    </row>
    <row r="9130" spans="1:4" x14ac:dyDescent="0.25">
      <c r="A9130" t="str">
        <f>T("   880330")</f>
        <v xml:space="preserve">   880330</v>
      </c>
      <c r="B9130" t="str">
        <f>T("   AUTRES PARTIES D'AVIONS OU D'HELICOPTERES")</f>
        <v xml:space="preserve">   AUTRES PARTIES D'AVIONS OU D'HELICOPTERES</v>
      </c>
      <c r="C9130" s="4">
        <v>309</v>
      </c>
      <c r="D9130" s="4">
        <v>362999813</v>
      </c>
    </row>
    <row r="9131" spans="1:4" x14ac:dyDescent="0.25">
      <c r="A9131" t="str">
        <f>T("   890710")</f>
        <v xml:space="preserve">   890710</v>
      </c>
      <c r="B9131" t="str">
        <f>T("   RADEAUX GONFLABLES")</f>
        <v xml:space="preserve">   RADEAUX GONFLABLES</v>
      </c>
      <c r="C9131" s="4">
        <v>183</v>
      </c>
      <c r="D9131" s="4">
        <v>24442393</v>
      </c>
    </row>
    <row r="9132" spans="1:4" x14ac:dyDescent="0.25">
      <c r="A9132" t="str">
        <f>T("   900490")</f>
        <v xml:space="preserve">   900490</v>
      </c>
      <c r="B9132" t="str">
        <f>T("   AUTRES")</f>
        <v xml:space="preserve">   AUTRES</v>
      </c>
      <c r="C9132" s="4">
        <v>126</v>
      </c>
      <c r="D9132" s="4">
        <v>384708</v>
      </c>
    </row>
    <row r="9133" spans="1:4" x14ac:dyDescent="0.25">
      <c r="A9133" t="str">
        <f>T("   901180")</f>
        <v xml:space="preserve">   901180</v>
      </c>
      <c r="B9133" t="str">
        <f>T("   Autres microscopes")</f>
        <v xml:space="preserve">   Autres microscopes</v>
      </c>
      <c r="C9133" s="4">
        <v>174</v>
      </c>
      <c r="D9133" s="4">
        <v>1496901</v>
      </c>
    </row>
    <row r="9134" spans="1:4" x14ac:dyDescent="0.25">
      <c r="A9134" t="str">
        <f>T("   901813")</f>
        <v xml:space="preserve">   901813</v>
      </c>
      <c r="B9134" t="str">
        <f>T("   APPAREILS DE DIAGNOSTIC PAR VISUALISATION A RESONANCE MAGNETIQUE")</f>
        <v xml:space="preserve">   APPAREILS DE DIAGNOSTIC PAR VISUALISATION A RESONANCE MAGNETIQUE</v>
      </c>
      <c r="C9134" s="4">
        <v>44</v>
      </c>
      <c r="D9134" s="4">
        <v>331916</v>
      </c>
    </row>
    <row r="9135" spans="1:4" x14ac:dyDescent="0.25">
      <c r="A9135" t="str">
        <f>T("   901839")</f>
        <v xml:space="preserve">   901839</v>
      </c>
      <c r="B9135" t="str">
        <f>T("   AUTRES")</f>
        <v xml:space="preserve">   AUTRES</v>
      </c>
      <c r="C9135" s="4">
        <v>1259</v>
      </c>
      <c r="D9135" s="4">
        <v>9485838</v>
      </c>
    </row>
    <row r="9136" spans="1:4" x14ac:dyDescent="0.25">
      <c r="A9136" t="str">
        <f>T("   901890")</f>
        <v xml:space="preserve">   901890</v>
      </c>
      <c r="B9136" t="str">
        <f>T("   AUTRES INSTRUMENTS ET APPAREILS")</f>
        <v xml:space="preserve">   AUTRES INSTRUMENTS ET APPAREILS</v>
      </c>
      <c r="C9136" s="4">
        <v>587</v>
      </c>
      <c r="D9136" s="4">
        <v>4047540</v>
      </c>
    </row>
    <row r="9137" spans="1:4" x14ac:dyDescent="0.25">
      <c r="A9137" t="str">
        <f>T("   902290")</f>
        <v xml:space="preserve">   902290</v>
      </c>
      <c r="B9137" t="str">
        <f>T("   AUTRES, Y COMPRIS LES PARTIES ET ACCESSOIRES")</f>
        <v xml:space="preserve">   AUTRES, Y COMPRIS LES PARTIES ET ACCESSOIRES</v>
      </c>
      <c r="C9137" s="4">
        <v>31.5</v>
      </c>
      <c r="D9137" s="4">
        <v>4832464</v>
      </c>
    </row>
    <row r="9138" spans="1:4" x14ac:dyDescent="0.25">
      <c r="A9138" t="str">
        <f>T("   902519")</f>
        <v xml:space="preserve">   902519</v>
      </c>
      <c r="B9138" t="str">
        <f>T("   AUTRES")</f>
        <v xml:space="preserve">   AUTRES</v>
      </c>
      <c r="C9138" s="4">
        <v>216</v>
      </c>
      <c r="D9138" s="4">
        <v>1635964</v>
      </c>
    </row>
    <row r="9139" spans="1:4" x14ac:dyDescent="0.25">
      <c r="A9139" t="str">
        <f>T("   902620")</f>
        <v xml:space="preserve">   902620</v>
      </c>
      <c r="B9139" t="str">
        <f>T("   POUR LA MESURE OU LE CONTROLE DE LA PRESSION")</f>
        <v xml:space="preserve">   POUR LA MESURE OU LE CONTROLE DE LA PRESSION</v>
      </c>
      <c r="C9139" s="4">
        <v>1.3</v>
      </c>
      <c r="D9139" s="4">
        <v>171824</v>
      </c>
    </row>
    <row r="9140" spans="1:4" x14ac:dyDescent="0.25">
      <c r="A9140" t="str">
        <f>T("   902690")</f>
        <v xml:space="preserve">   902690</v>
      </c>
      <c r="B9140" t="str">
        <f>T("   PARTIES ET ACCESSOIRES")</f>
        <v xml:space="preserve">   PARTIES ET ACCESSOIRES</v>
      </c>
      <c r="C9140" s="4">
        <v>15</v>
      </c>
      <c r="D9140" s="4">
        <v>2249949</v>
      </c>
    </row>
    <row r="9141" spans="1:4" x14ac:dyDescent="0.25">
      <c r="A9141" t="str">
        <f>T("   903289")</f>
        <v xml:space="preserve">   903289</v>
      </c>
      <c r="B9141" t="str">
        <f>T("   AUTRES")</f>
        <v xml:space="preserve">   AUTRES</v>
      </c>
      <c r="C9141" s="4">
        <v>16</v>
      </c>
      <c r="D9141" s="4">
        <v>23055042</v>
      </c>
    </row>
    <row r="9142" spans="1:4" x14ac:dyDescent="0.25">
      <c r="A9142" t="str">
        <f>T("   940310")</f>
        <v xml:space="preserve">   940310</v>
      </c>
      <c r="B9142" t="str">
        <f>T("   MEUBLES EN METAL DES TYPES UTILISES DANS LES BUREAUX")</f>
        <v xml:space="preserve">   MEUBLES EN METAL DES TYPES UTILISES DANS LES BUREAUX</v>
      </c>
      <c r="C9142" s="4">
        <v>4000</v>
      </c>
      <c r="D9142" s="4">
        <v>1750000</v>
      </c>
    </row>
    <row r="9143" spans="1:4" x14ac:dyDescent="0.25">
      <c r="A9143" t="str">
        <f>T("   940320")</f>
        <v xml:space="preserve">   940320</v>
      </c>
      <c r="B9143" t="str">
        <f>T("   AUTRES MEUBLES EN METAL")</f>
        <v xml:space="preserve">   AUTRES MEUBLES EN METAL</v>
      </c>
      <c r="C9143" s="4">
        <v>828.4</v>
      </c>
      <c r="D9143" s="4">
        <v>4817225</v>
      </c>
    </row>
    <row r="9144" spans="1:4" x14ac:dyDescent="0.25">
      <c r="A9144" t="str">
        <f>T("   940350")</f>
        <v xml:space="preserve">   940350</v>
      </c>
      <c r="B9144" t="str">
        <f>T("   MEUBLES EN BOIS DES TYPES UTILISES DANS LES CHAMBRES A COUCHER")</f>
        <v xml:space="preserve">   MEUBLES EN BOIS DES TYPES UTILISES DANS LES CHAMBRES A COUCHER</v>
      </c>
      <c r="C9144" s="4">
        <v>1500</v>
      </c>
      <c r="D9144" s="4">
        <v>1200000</v>
      </c>
    </row>
    <row r="9145" spans="1:4" x14ac:dyDescent="0.25">
      <c r="A9145" t="str">
        <f>T("   940360")</f>
        <v xml:space="preserve">   940360</v>
      </c>
      <c r="B9145" t="str">
        <f>T("   Autres meubles en bois")</f>
        <v xml:space="preserve">   Autres meubles en bois</v>
      </c>
      <c r="C9145" s="4">
        <v>24811</v>
      </c>
      <c r="D9145" s="4">
        <v>4009883</v>
      </c>
    </row>
    <row r="9146" spans="1:4" x14ac:dyDescent="0.25">
      <c r="A9146" t="str">
        <f>T("   940370")</f>
        <v xml:space="preserve">   940370</v>
      </c>
      <c r="B9146" t="str">
        <f>T("   MEUBLES EN MATIERES PLASTIQUES")</f>
        <v xml:space="preserve">   MEUBLES EN MATIERES PLASTIQUES</v>
      </c>
      <c r="C9146" s="4">
        <v>450</v>
      </c>
      <c r="D9146" s="4">
        <v>637594</v>
      </c>
    </row>
    <row r="9147" spans="1:4" x14ac:dyDescent="0.25">
      <c r="A9147" t="str">
        <f>T("   940389")</f>
        <v xml:space="preserve">   940389</v>
      </c>
      <c r="B9147" t="str">
        <f>T("   AUTRES")</f>
        <v xml:space="preserve">   AUTRES</v>
      </c>
      <c r="C9147" s="4">
        <v>19739</v>
      </c>
      <c r="D9147" s="4">
        <v>6137608</v>
      </c>
    </row>
    <row r="9148" spans="1:4" x14ac:dyDescent="0.25">
      <c r="A9148" t="str">
        <f>T("   940390")</f>
        <v xml:space="preserve">   940390</v>
      </c>
      <c r="B9148" t="str">
        <f>T("   PARTIES")</f>
        <v xml:space="preserve">   PARTIES</v>
      </c>
      <c r="C9148" s="4">
        <v>200</v>
      </c>
      <c r="D9148" s="4">
        <v>419952</v>
      </c>
    </row>
    <row r="9149" spans="1:4" x14ac:dyDescent="0.25">
      <c r="A9149" t="str">
        <f>T("   940429")</f>
        <v xml:space="preserve">   940429</v>
      </c>
      <c r="B9149" t="str">
        <f>T("   EN AUTRES MATIERES")</f>
        <v xml:space="preserve">   EN AUTRES MATIERES</v>
      </c>
      <c r="C9149" s="4">
        <v>800</v>
      </c>
      <c r="D9149" s="4">
        <v>720114</v>
      </c>
    </row>
    <row r="9150" spans="1:4" x14ac:dyDescent="0.25">
      <c r="A9150" t="str">
        <f>T("   950430")</f>
        <v xml:space="preserve">   950430</v>
      </c>
      <c r="B9150" t="str">
        <f>T("   AUTRES JEUX FONCTIONNANT PAR L'INTRODUCTION D'UNE PIECE DE MONNAIE, D'UN BILLET DE BA")</f>
        <v xml:space="preserve">   AUTRES JEUX FONCTIONNANT PAR L'INTRODUCTION D'UNE PIECE DE MONNAIE, D'UN BILLET DE BA</v>
      </c>
      <c r="C9150" s="4">
        <v>18</v>
      </c>
      <c r="D9150" s="4">
        <v>147089</v>
      </c>
    </row>
    <row r="9151" spans="1:4" x14ac:dyDescent="0.25">
      <c r="A9151" t="str">
        <f>T("   960390")</f>
        <v xml:space="preserve">   960390</v>
      </c>
      <c r="B9151" t="str">
        <f>T("   AUTRES")</f>
        <v xml:space="preserve">   AUTRES</v>
      </c>
      <c r="C9151" s="4">
        <v>353</v>
      </c>
      <c r="D9151" s="4">
        <v>234834</v>
      </c>
    </row>
    <row r="9152" spans="1:4" x14ac:dyDescent="0.25">
      <c r="A9152" t="str">
        <f>T("   960810")</f>
        <v xml:space="preserve">   960810</v>
      </c>
      <c r="B9152" t="str">
        <f>T("   STYLOS ET CRAYONS A BILLE")</f>
        <v xml:space="preserve">   STYLOS ET CRAYONS A BILLE</v>
      </c>
      <c r="C9152" s="4">
        <v>105</v>
      </c>
      <c r="D9152" s="4">
        <v>90522</v>
      </c>
    </row>
    <row r="9153" spans="1:4" x14ac:dyDescent="0.25">
      <c r="A9153" t="str">
        <f>T("   961590")</f>
        <v xml:space="preserve">   961590</v>
      </c>
      <c r="B9153" t="str">
        <f>T("   AUTRES")</f>
        <v xml:space="preserve">   AUTRES</v>
      </c>
      <c r="C9153" s="4">
        <v>5</v>
      </c>
      <c r="D9153" s="4">
        <v>4192</v>
      </c>
    </row>
    <row r="9154" spans="1:4" s="5" customFormat="1" x14ac:dyDescent="0.25">
      <c r="A9154" s="5" t="str">
        <f>T("   ZZ_Total_Produit_SH6")</f>
        <v xml:space="preserve">   ZZ_Total_Produit_SH6</v>
      </c>
      <c r="B9154" s="5" t="str">
        <f>T("   ZZ_Total_Produit_SH6")</f>
        <v xml:space="preserve">   ZZ_Total_Produit_SH6</v>
      </c>
      <c r="C9154" s="1">
        <v>101572907.8</v>
      </c>
      <c r="D9154" s="1">
        <v>54997168748.654999</v>
      </c>
    </row>
    <row r="9155" spans="1:4" s="5" customFormat="1" x14ac:dyDescent="0.25">
      <c r="B9155" s="5" t="str">
        <f>T("Norvège")</f>
        <v>Norvège</v>
      </c>
      <c r="C9155" s="1"/>
      <c r="D9155" s="1"/>
    </row>
    <row r="9156" spans="1:4" x14ac:dyDescent="0.25">
      <c r="A9156" t="str">
        <f>T("   030219")</f>
        <v xml:space="preserve">   030219</v>
      </c>
      <c r="B9156" t="str">
        <f>T("   AUTRES")</f>
        <v xml:space="preserve">   AUTRES</v>
      </c>
      <c r="C9156" s="4">
        <v>613000</v>
      </c>
      <c r="D9156" s="4">
        <v>245200000</v>
      </c>
    </row>
    <row r="9157" spans="1:4" x14ac:dyDescent="0.25">
      <c r="A9157" t="str">
        <f>T("   271019")</f>
        <v xml:space="preserve">   271019</v>
      </c>
      <c r="B9157" t="str">
        <f>T("   AUTRES")</f>
        <v xml:space="preserve">   AUTRES</v>
      </c>
      <c r="C9157" s="4">
        <v>1</v>
      </c>
      <c r="D9157" s="4">
        <v>19418</v>
      </c>
    </row>
    <row r="9158" spans="1:4" x14ac:dyDescent="0.25">
      <c r="A9158" t="str">
        <f>T("   350699")</f>
        <v xml:space="preserve">   350699</v>
      </c>
      <c r="B9158" t="str">
        <f>T("   AUTRES")</f>
        <v xml:space="preserve">   AUTRES</v>
      </c>
      <c r="C9158" s="4">
        <v>64</v>
      </c>
      <c r="D9158" s="4">
        <v>2389007</v>
      </c>
    </row>
    <row r="9159" spans="1:4" x14ac:dyDescent="0.25">
      <c r="A9159" t="str">
        <f>T("   391732")</f>
        <v xml:space="preserve">   391732</v>
      </c>
      <c r="B9159" t="str">
        <f>T("   AUTRES, NON RENFORCES D'AUTRES MATIERES NI AUTREMENT ASSOCIES A D'AUTRES MATIERES, S")</f>
        <v xml:space="preserve">   AUTRES, NON RENFORCES D'AUTRES MATIERES NI AUTREMENT ASSOCIES A D'AUTRES MATIERES, S</v>
      </c>
      <c r="C9159" s="4">
        <v>291</v>
      </c>
      <c r="D9159" s="4">
        <v>3239345</v>
      </c>
    </row>
    <row r="9160" spans="1:4" x14ac:dyDescent="0.25">
      <c r="A9160" t="str">
        <f>T("   401039")</f>
        <v xml:space="preserve">   401039</v>
      </c>
      <c r="B9160" t="str">
        <f>T("   AUTRES")</f>
        <v xml:space="preserve">   AUTRES</v>
      </c>
      <c r="C9160" s="4">
        <v>2</v>
      </c>
      <c r="D9160" s="4">
        <v>48194</v>
      </c>
    </row>
    <row r="9161" spans="1:4" x14ac:dyDescent="0.25">
      <c r="A9161" t="str">
        <f>T("   401693")</f>
        <v xml:space="preserve">   401693</v>
      </c>
      <c r="B9161" t="str">
        <f>T("   JOINTS")</f>
        <v xml:space="preserve">   JOINTS</v>
      </c>
      <c r="C9161" s="4">
        <v>153</v>
      </c>
      <c r="D9161" s="4">
        <v>4325720</v>
      </c>
    </row>
    <row r="9162" spans="1:4" x14ac:dyDescent="0.25">
      <c r="A9162" t="str">
        <f>T("   690890")</f>
        <v xml:space="preserve">   690890</v>
      </c>
      <c r="B9162" t="str">
        <f>T("   AUTRES")</f>
        <v xml:space="preserve">   AUTRES</v>
      </c>
      <c r="C9162" s="4">
        <v>2000</v>
      </c>
      <c r="D9162" s="4">
        <v>764609</v>
      </c>
    </row>
    <row r="9163" spans="1:4" x14ac:dyDescent="0.25">
      <c r="A9163" t="str">
        <f>T("   701790")</f>
        <v xml:space="preserve">   701790</v>
      </c>
      <c r="B9163" t="str">
        <f>T("   AUTRE")</f>
        <v xml:space="preserve">   AUTRE</v>
      </c>
      <c r="C9163" s="4">
        <v>1</v>
      </c>
      <c r="D9163" s="4">
        <v>28878</v>
      </c>
    </row>
    <row r="9164" spans="1:4" x14ac:dyDescent="0.25">
      <c r="A9164" t="str">
        <f>T("   730791")</f>
        <v xml:space="preserve">   730791</v>
      </c>
      <c r="B9164" t="str">
        <f>T("   BRIDES")</f>
        <v xml:space="preserve">   BRIDES</v>
      </c>
      <c r="C9164" s="4">
        <v>207</v>
      </c>
      <c r="D9164" s="4">
        <v>2312238</v>
      </c>
    </row>
    <row r="9165" spans="1:4" x14ac:dyDescent="0.25">
      <c r="A9165" t="str">
        <f>T("   730799")</f>
        <v xml:space="preserve">   730799</v>
      </c>
      <c r="B9165" t="str">
        <f>T("   AUTRES")</f>
        <v xml:space="preserve">   AUTRES</v>
      </c>
      <c r="C9165" s="4">
        <v>649</v>
      </c>
      <c r="D9165" s="4">
        <v>18573014</v>
      </c>
    </row>
    <row r="9166" spans="1:4" x14ac:dyDescent="0.25">
      <c r="A9166" t="str">
        <f>T("   731600")</f>
        <v xml:space="preserve">   731600</v>
      </c>
      <c r="B9166" t="str">
        <f>T("   ANCRES, GRAPPINS ET LEURS PARTIES, EN FONTE, FER OU ACIER.")</f>
        <v xml:space="preserve">   ANCRES, GRAPPINS ET LEURS PARTIES, EN FONTE, FER OU ACIER.</v>
      </c>
      <c r="C9166" s="4">
        <v>3.4</v>
      </c>
      <c r="D9166" s="4">
        <v>563045</v>
      </c>
    </row>
    <row r="9167" spans="1:4" x14ac:dyDescent="0.25">
      <c r="A9167" t="str">
        <f>T("   732690")</f>
        <v xml:space="preserve">   732690</v>
      </c>
      <c r="B9167" t="str">
        <f>T("   AUTRES")</f>
        <v xml:space="preserve">   AUTRES</v>
      </c>
      <c r="C9167" s="4">
        <v>140</v>
      </c>
      <c r="D9167" s="4">
        <v>7795488</v>
      </c>
    </row>
    <row r="9168" spans="1:4" x14ac:dyDescent="0.25">
      <c r="A9168" t="str">
        <f>T("   761290")</f>
        <v xml:space="preserve">   761290</v>
      </c>
      <c r="B9168" t="str">
        <f>T("   AUTRES")</f>
        <v xml:space="preserve">   AUTRES</v>
      </c>
      <c r="C9168" s="4">
        <v>200</v>
      </c>
      <c r="D9168" s="4">
        <v>471000</v>
      </c>
    </row>
    <row r="9169" spans="1:4" x14ac:dyDescent="0.25">
      <c r="A9169" t="str">
        <f>T("   761699")</f>
        <v xml:space="preserve">   761699</v>
      </c>
      <c r="B9169" t="str">
        <f>T("   AUTRES")</f>
        <v xml:space="preserve">   AUTRES</v>
      </c>
      <c r="C9169" s="4">
        <v>10</v>
      </c>
      <c r="D9169" s="4">
        <v>288780</v>
      </c>
    </row>
    <row r="9170" spans="1:4" x14ac:dyDescent="0.25">
      <c r="A9170" t="str">
        <f>T("   840999")</f>
        <v xml:space="preserve">   840999</v>
      </c>
      <c r="B9170" t="str">
        <f>T("   AUTRES")</f>
        <v xml:space="preserve">   AUTRES</v>
      </c>
      <c r="C9170" s="4">
        <v>1</v>
      </c>
      <c r="D9170" s="4">
        <v>498786</v>
      </c>
    </row>
    <row r="9171" spans="1:4" x14ac:dyDescent="0.25">
      <c r="A9171" t="str">
        <f>T("   841360")</f>
        <v xml:space="preserve">   841360</v>
      </c>
      <c r="B9171" t="str">
        <f>T("   Autres pompes volumetriques rotatives")</f>
        <v xml:space="preserve">   Autres pompes volumetriques rotatives</v>
      </c>
      <c r="C9171" s="4">
        <v>344</v>
      </c>
      <c r="D9171" s="4">
        <v>3826698</v>
      </c>
    </row>
    <row r="9172" spans="1:4" x14ac:dyDescent="0.25">
      <c r="A9172" t="str">
        <f>T("   841391")</f>
        <v xml:space="preserve">   841391</v>
      </c>
      <c r="B9172" t="str">
        <f>T("   DE POMPES")</f>
        <v xml:space="preserve">   DE POMPES</v>
      </c>
      <c r="C9172" s="4">
        <v>4</v>
      </c>
      <c r="D9172" s="4">
        <v>4520508</v>
      </c>
    </row>
    <row r="9173" spans="1:4" x14ac:dyDescent="0.25">
      <c r="A9173" t="str">
        <f>T("   841490")</f>
        <v xml:space="preserve">   841490</v>
      </c>
      <c r="B9173" t="str">
        <f>T("   PARTIES")</f>
        <v xml:space="preserve">   PARTIES</v>
      </c>
      <c r="C9173" s="4">
        <v>2</v>
      </c>
      <c r="D9173" s="4">
        <v>348203</v>
      </c>
    </row>
    <row r="9174" spans="1:4" x14ac:dyDescent="0.25">
      <c r="A9174" t="str">
        <f>T("   841829")</f>
        <v xml:space="preserve">   841829</v>
      </c>
      <c r="B9174" t="str">
        <f>T("   AUTRES")</f>
        <v xml:space="preserve">   AUTRES</v>
      </c>
      <c r="C9174" s="4">
        <v>964</v>
      </c>
      <c r="D9174" s="4">
        <v>400000</v>
      </c>
    </row>
    <row r="9175" spans="1:4" x14ac:dyDescent="0.25">
      <c r="A9175" t="str">
        <f>T("   842119")</f>
        <v xml:space="preserve">   842119</v>
      </c>
      <c r="B9175" t="str">
        <f>T("   AUTRES")</f>
        <v xml:space="preserve">   AUTRES</v>
      </c>
      <c r="C9175" s="4">
        <v>101.64</v>
      </c>
      <c r="D9175" s="4">
        <v>3905052</v>
      </c>
    </row>
    <row r="9176" spans="1:4" x14ac:dyDescent="0.25">
      <c r="A9176" t="str">
        <f>T("   842129")</f>
        <v xml:space="preserve">   842129</v>
      </c>
      <c r="B9176" t="str">
        <f>T("   AUTRES")</f>
        <v xml:space="preserve">   AUTRES</v>
      </c>
      <c r="C9176" s="4">
        <v>70</v>
      </c>
      <c r="D9176" s="4">
        <v>1978141</v>
      </c>
    </row>
    <row r="9177" spans="1:4" x14ac:dyDescent="0.25">
      <c r="A9177" t="str">
        <f>T("   842139")</f>
        <v xml:space="preserve">   842139</v>
      </c>
      <c r="B9177" t="str">
        <f>T("   AUTRES")</f>
        <v xml:space="preserve">   AUTRES</v>
      </c>
      <c r="C9177" s="4">
        <v>295</v>
      </c>
      <c r="D9177" s="4">
        <v>7959102</v>
      </c>
    </row>
    <row r="9178" spans="1:4" x14ac:dyDescent="0.25">
      <c r="A9178" t="str">
        <f>T("   843120")</f>
        <v xml:space="preserve">   843120</v>
      </c>
      <c r="B9178" t="str">
        <f>T("   DE MACHINES OU APPAREILS DU N° 84.27")</f>
        <v xml:space="preserve">   DE MACHINES OU APPAREILS DU N° 84.27</v>
      </c>
      <c r="C9178" s="4">
        <v>13</v>
      </c>
      <c r="D9178" s="4">
        <v>1842520</v>
      </c>
    </row>
    <row r="9179" spans="1:4" x14ac:dyDescent="0.25">
      <c r="A9179" t="str">
        <f>T("   843139")</f>
        <v xml:space="preserve">   843139</v>
      </c>
      <c r="B9179" t="str">
        <f>T("   AUTRES")</f>
        <v xml:space="preserve">   AUTRES</v>
      </c>
      <c r="C9179" s="4">
        <v>71.849999999999994</v>
      </c>
      <c r="D9179" s="4">
        <v>6075886</v>
      </c>
    </row>
    <row r="9180" spans="1:4" x14ac:dyDescent="0.25">
      <c r="A9180" t="str">
        <f>T("   843143")</f>
        <v xml:space="preserve">   843143</v>
      </c>
      <c r="B9180" t="str">
        <f>T("   PARTIES DE MACHINES DE SONDAGE OU DE FORAGE DES N°S 8430.41 OU 8430.49")</f>
        <v xml:space="preserve">   PARTIES DE MACHINES DE SONDAGE OU DE FORAGE DES N°S 8430.41 OU 8430.49</v>
      </c>
      <c r="C9180" s="4">
        <v>1189</v>
      </c>
      <c r="D9180" s="4">
        <v>63947362</v>
      </c>
    </row>
    <row r="9181" spans="1:4" x14ac:dyDescent="0.25">
      <c r="A9181" t="str">
        <f>T("   846900")</f>
        <v xml:space="preserve">   846900</v>
      </c>
      <c r="B9181" t="str">
        <f>T("   MACHINES A ECRIRE AUTRES QUE LES IMPRIMANTES DU N° 84.43; MACHINES POUR LE TRAITEMENT D")</f>
        <v xml:space="preserve">   MACHINES A ECRIRE AUTRES QUE LES IMPRIMANTES DU N° 84.43; MACHINES POUR LE TRAITEMENT D</v>
      </c>
      <c r="C9181" s="4">
        <v>2000</v>
      </c>
      <c r="D9181" s="4">
        <v>1000000</v>
      </c>
    </row>
    <row r="9182" spans="1:4" x14ac:dyDescent="0.25">
      <c r="A9182" t="str">
        <f>T("   847141")</f>
        <v xml:space="preserve">   847141</v>
      </c>
      <c r="B9182" t="str">
        <f>T("   COMPORTANT, SOUS UNE MEME ENVELOPPE, AU MOINS UNE UNITE CENTRALE DE TRAITEMENT ET, Q")</f>
        <v xml:space="preserve">   COMPORTANT, SOUS UNE MEME ENVELOPPE, AU MOINS UNE UNITE CENTRALE DE TRAITEMENT ET, Q</v>
      </c>
      <c r="C9182" s="4">
        <v>5000</v>
      </c>
      <c r="D9182" s="4">
        <v>8000000</v>
      </c>
    </row>
    <row r="9183" spans="1:4" x14ac:dyDescent="0.25">
      <c r="A9183" t="str">
        <f>T("   847190")</f>
        <v xml:space="preserve">   847190</v>
      </c>
      <c r="B9183" t="str">
        <f>T("   AUTRES")</f>
        <v xml:space="preserve">   AUTRES</v>
      </c>
      <c r="C9183" s="4">
        <v>75.3</v>
      </c>
      <c r="D9183" s="4">
        <v>1105149</v>
      </c>
    </row>
    <row r="9184" spans="1:4" x14ac:dyDescent="0.25">
      <c r="A9184" t="str">
        <f>T("   848190")</f>
        <v xml:space="preserve">   848190</v>
      </c>
      <c r="B9184" t="str">
        <f>T("   PARTIES")</f>
        <v xml:space="preserve">   PARTIES</v>
      </c>
      <c r="C9184" s="4">
        <v>15</v>
      </c>
      <c r="D9184" s="4">
        <v>421718</v>
      </c>
    </row>
    <row r="9185" spans="1:4" x14ac:dyDescent="0.25">
      <c r="A9185" t="str">
        <f>T("   848390")</f>
        <v xml:space="preserve">   848390</v>
      </c>
      <c r="B9185" t="str">
        <f>T("   ROUES DENTEES ET AUTRES ORGANES ELEMENTAIRES DE TRANSMISSION PRESENTES SEPAREMENT; PA")</f>
        <v xml:space="preserve">   ROUES DENTEES ET AUTRES ORGANES ELEMENTAIRES DE TRANSMISSION PRESENTES SEPAREMENT; PA</v>
      </c>
      <c r="C9185" s="4">
        <v>10</v>
      </c>
      <c r="D9185" s="4">
        <v>579121</v>
      </c>
    </row>
    <row r="9186" spans="1:4" x14ac:dyDescent="0.25">
      <c r="A9186" t="str">
        <f>T("   848490")</f>
        <v xml:space="preserve">   848490</v>
      </c>
      <c r="B9186" t="str">
        <f>T("   AUTRES")</f>
        <v xml:space="preserve">   AUTRES</v>
      </c>
      <c r="C9186" s="4">
        <v>13</v>
      </c>
      <c r="D9186" s="4">
        <v>285147</v>
      </c>
    </row>
    <row r="9187" spans="1:4" x14ac:dyDescent="0.25">
      <c r="A9187" t="str">
        <f>T("   850132")</f>
        <v xml:space="preserve">   850132</v>
      </c>
      <c r="B9187" t="str">
        <f>T("   D'UNE PUISSANCE EXCEDANT 750 W MAIS N'EXCEDANT PAS 75 KW")</f>
        <v xml:space="preserve">   D'UNE PUISSANCE EXCEDANT 750 W MAIS N'EXCEDANT PAS 75 KW</v>
      </c>
      <c r="C9187" s="4">
        <v>199</v>
      </c>
      <c r="D9187" s="4">
        <v>2215686</v>
      </c>
    </row>
    <row r="9188" spans="1:4" x14ac:dyDescent="0.25">
      <c r="A9188" t="str">
        <f>T("   850153")</f>
        <v xml:space="preserve">   850153</v>
      </c>
      <c r="B9188" t="str">
        <f>T("   D'UNE PUISSANCE EXCEDANT 75 KW")</f>
        <v xml:space="preserve">   D'UNE PUISSANCE EXCEDANT 75 KW</v>
      </c>
      <c r="C9188" s="4">
        <v>383</v>
      </c>
      <c r="D9188" s="4">
        <v>6175785</v>
      </c>
    </row>
    <row r="9189" spans="1:4" x14ac:dyDescent="0.25">
      <c r="A9189" t="str">
        <f>T("   850519")</f>
        <v xml:space="preserve">   850519</v>
      </c>
      <c r="B9189" t="str">
        <f>T("   AUTRES")</f>
        <v xml:space="preserve">   AUTRES</v>
      </c>
      <c r="C9189" s="4">
        <v>26.81</v>
      </c>
      <c r="D9189" s="4">
        <v>2647979</v>
      </c>
    </row>
    <row r="9190" spans="1:4" x14ac:dyDescent="0.25">
      <c r="A9190" t="str">
        <f>T("   850780")</f>
        <v xml:space="preserve">   850780</v>
      </c>
      <c r="B9190" t="str">
        <f>T("   AUTRES ACCUMULATEURS")</f>
        <v xml:space="preserve">   AUTRES ACCUMULATEURS</v>
      </c>
      <c r="C9190" s="4">
        <v>1</v>
      </c>
      <c r="D9190" s="4">
        <v>1111802</v>
      </c>
    </row>
    <row r="9191" spans="1:4" x14ac:dyDescent="0.25">
      <c r="A9191" t="str">
        <f>T("   851140")</f>
        <v xml:space="preserve">   851140</v>
      </c>
      <c r="B9191" t="str">
        <f>T("   Demarreurs, meme fonctionnant comme generatrices")</f>
        <v xml:space="preserve">   Demarreurs, meme fonctionnant comme generatrices</v>
      </c>
      <c r="C9191" s="4">
        <v>28</v>
      </c>
      <c r="D9191" s="4">
        <v>1792358</v>
      </c>
    </row>
    <row r="9192" spans="1:4" x14ac:dyDescent="0.25">
      <c r="A9192" t="str">
        <f>T("   851769")</f>
        <v xml:space="preserve">   851769</v>
      </c>
      <c r="B9192" t="str">
        <f>T("   AUTRES")</f>
        <v xml:space="preserve">   AUTRES</v>
      </c>
      <c r="C9192" s="4">
        <v>72</v>
      </c>
      <c r="D9192" s="4">
        <v>2151924</v>
      </c>
    </row>
    <row r="9193" spans="1:4" x14ac:dyDescent="0.25">
      <c r="A9193" t="str">
        <f>T("   852849")</f>
        <v xml:space="preserve">   852849</v>
      </c>
      <c r="B9193" t="str">
        <f>T("   AUTRES")</f>
        <v xml:space="preserve">   AUTRES</v>
      </c>
      <c r="C9193" s="4">
        <v>4000</v>
      </c>
      <c r="D9193" s="4">
        <v>926216</v>
      </c>
    </row>
    <row r="9194" spans="1:4" x14ac:dyDescent="0.25">
      <c r="A9194" t="str">
        <f>T("   852859")</f>
        <v xml:space="preserve">   852859</v>
      </c>
      <c r="B9194" t="str">
        <f>T("   AUTRES")</f>
        <v xml:space="preserve">   AUTRES</v>
      </c>
      <c r="C9194" s="4">
        <v>12862</v>
      </c>
      <c r="D9194" s="4">
        <v>4240000</v>
      </c>
    </row>
    <row r="9195" spans="1:4" x14ac:dyDescent="0.25">
      <c r="A9195" t="str">
        <f>T("   853590")</f>
        <v xml:space="preserve">   853590</v>
      </c>
      <c r="B9195" t="str">
        <f>T("   AUTRES")</f>
        <v xml:space="preserve">   AUTRES</v>
      </c>
      <c r="C9195" s="4">
        <v>1</v>
      </c>
      <c r="D9195" s="4">
        <v>1328745</v>
      </c>
    </row>
    <row r="9196" spans="1:4" x14ac:dyDescent="0.25">
      <c r="A9196" t="str">
        <f>T("   853650")</f>
        <v xml:space="preserve">   853650</v>
      </c>
      <c r="B9196" t="str">
        <f>T("   AUTRES INTERRUPTEURS, SECTIONNEURS ET COMMUTATEURS")</f>
        <v xml:space="preserve">   AUTRES INTERRUPTEURS, SECTIONNEURS ET COMMUTATEURS</v>
      </c>
      <c r="C9196" s="4">
        <v>106.55</v>
      </c>
      <c r="D9196" s="4">
        <v>2315715</v>
      </c>
    </row>
    <row r="9197" spans="1:4" x14ac:dyDescent="0.25">
      <c r="A9197" t="str">
        <f>T("   853690")</f>
        <v xml:space="preserve">   853690</v>
      </c>
      <c r="B9197" t="str">
        <f>T("   AUTRES APPAREILS")</f>
        <v xml:space="preserve">   AUTRES APPAREILS</v>
      </c>
      <c r="C9197" s="4">
        <v>233.76</v>
      </c>
      <c r="D9197" s="4">
        <v>8614975</v>
      </c>
    </row>
    <row r="9198" spans="1:4" x14ac:dyDescent="0.25">
      <c r="A9198" t="str">
        <f>T("   853922")</f>
        <v xml:space="preserve">   853922</v>
      </c>
      <c r="B9198" t="str">
        <f>T("   AUTRES, D’UNE PUISSANCE N’EXCEDANT PAS 200 W ET D’UNE TENSION EXCEDANT 100 V")</f>
        <v xml:space="preserve">   AUTRES, D’UNE PUISSANCE N’EXCEDANT PAS 200 W ET D’UNE TENSION EXCEDANT 100 V</v>
      </c>
      <c r="C9198" s="4">
        <v>100</v>
      </c>
      <c r="D9198" s="4">
        <v>5400747</v>
      </c>
    </row>
    <row r="9199" spans="1:4" x14ac:dyDescent="0.25">
      <c r="A9199" t="str">
        <f>T("   853939")</f>
        <v xml:space="preserve">   853939</v>
      </c>
      <c r="B9199" t="str">
        <f>T("   AUTRES")</f>
        <v xml:space="preserve">   AUTRES</v>
      </c>
      <c r="C9199" s="4">
        <v>17</v>
      </c>
      <c r="D9199" s="4">
        <v>510779</v>
      </c>
    </row>
    <row r="9200" spans="1:4" x14ac:dyDescent="0.25">
      <c r="A9200" t="str">
        <f>T("   854320")</f>
        <v xml:space="preserve">   854320</v>
      </c>
      <c r="B9200" t="str">
        <f>T("   GENERATEURS DE SIGNAUX")</f>
        <v xml:space="preserve">   GENERATEURS DE SIGNAUX</v>
      </c>
      <c r="C9200" s="4">
        <v>25</v>
      </c>
      <c r="D9200" s="4">
        <v>744746</v>
      </c>
    </row>
    <row r="9201" spans="1:4" x14ac:dyDescent="0.25">
      <c r="A9201" t="str">
        <f>T("   854420")</f>
        <v xml:space="preserve">   854420</v>
      </c>
      <c r="B9201" t="str">
        <f>T("   Cables coaxiaux et autres conducteurs electriques coaxiaux")</f>
        <v xml:space="preserve">   Cables coaxiaux et autres conducteurs electriques coaxiaux</v>
      </c>
      <c r="C9201" s="4">
        <v>171</v>
      </c>
      <c r="D9201" s="4">
        <v>3304507</v>
      </c>
    </row>
    <row r="9202" spans="1:4" x14ac:dyDescent="0.25">
      <c r="A9202" t="str">
        <f>T("   860719")</f>
        <v xml:space="preserve">   860719</v>
      </c>
      <c r="B9202" t="str">
        <f>T("   AUTRES, Y COMPRIS LES PARTIES")</f>
        <v xml:space="preserve">   AUTRES, Y COMPRIS LES PARTIES</v>
      </c>
      <c r="C9202" s="4">
        <v>27</v>
      </c>
      <c r="D9202" s="4">
        <v>833804</v>
      </c>
    </row>
    <row r="9203" spans="1:4" x14ac:dyDescent="0.25">
      <c r="A9203" t="str">
        <f>T("   870120")</f>
        <v xml:space="preserve">   870120</v>
      </c>
      <c r="B9203" t="str">
        <f>T("   TRACTEURS ROUTIERS POUR SEMIREMORQUES")</f>
        <v xml:space="preserve">   TRACTEURS ROUTIERS POUR SEMIREMORQUES</v>
      </c>
      <c r="C9203" s="4">
        <v>112616</v>
      </c>
      <c r="D9203" s="4">
        <v>30800000</v>
      </c>
    </row>
    <row r="9204" spans="1:4" x14ac:dyDescent="0.25">
      <c r="A9204" t="str">
        <f>T("   870290")</f>
        <v xml:space="preserve">   870290</v>
      </c>
      <c r="B9204" t="str">
        <f>T("   AUTRES")</f>
        <v xml:space="preserve">   AUTRES</v>
      </c>
      <c r="C9204" s="4">
        <v>1000</v>
      </c>
      <c r="D9204" s="4">
        <v>1221553</v>
      </c>
    </row>
    <row r="9205" spans="1:4" x14ac:dyDescent="0.25">
      <c r="A9205" t="str">
        <f>T("   870322")</f>
        <v xml:space="preserve">   870322</v>
      </c>
      <c r="B9205" t="str">
        <f>T("   D’UNE CYLINDREE EXCEDANT 1.000 CM³ MAIS N’EXCEDANT PAS 1.500 CM³")</f>
        <v xml:space="preserve">   D’UNE CYLINDREE EXCEDANT 1.000 CM³ MAIS N’EXCEDANT PAS 1.500 CM³</v>
      </c>
      <c r="C9205" s="4">
        <v>11140</v>
      </c>
      <c r="D9205" s="4">
        <v>13378713</v>
      </c>
    </row>
    <row r="9206" spans="1:4" x14ac:dyDescent="0.25">
      <c r="A9206" t="str">
        <f>T("   870323")</f>
        <v xml:space="preserve">   870323</v>
      </c>
      <c r="B9206" t="str">
        <f>T("   D’UNE CYLINDREE EXCEDANT 1.500 CM³ MAIS N’EXCEDANT PAS 3.000 CM³")</f>
        <v xml:space="preserve">   D’UNE CYLINDREE EXCEDANT 1.500 CM³ MAIS N’EXCEDANT PAS 3.000 CM³</v>
      </c>
      <c r="C9206" s="4">
        <v>52884</v>
      </c>
      <c r="D9206" s="4">
        <v>83150166</v>
      </c>
    </row>
    <row r="9207" spans="1:4" x14ac:dyDescent="0.25">
      <c r="A9207" t="str">
        <f>T("   870324")</f>
        <v xml:space="preserve">   870324</v>
      </c>
      <c r="B9207" t="str">
        <f>T("   D’UNE CYLINDREE EXCEDANT 3.000 CM³")</f>
        <v xml:space="preserve">   D’UNE CYLINDREE EXCEDANT 3.000 CM³</v>
      </c>
      <c r="C9207" s="4">
        <v>1602</v>
      </c>
      <c r="D9207" s="4">
        <v>1398727</v>
      </c>
    </row>
    <row r="9208" spans="1:4" x14ac:dyDescent="0.25">
      <c r="A9208" t="str">
        <f>T("   870332")</f>
        <v xml:space="preserve">   870332</v>
      </c>
      <c r="B9208" t="str">
        <f>T("   D'UNE CYLINDREE EXCEDANT 1.500 CM³ MAIS N'EXCEDANT PAS 2.500 CM³")</f>
        <v xml:space="preserve">   D'UNE CYLINDREE EXCEDANT 1.500 CM³ MAIS N'EXCEDANT PAS 2.500 CM³</v>
      </c>
      <c r="C9208" s="4">
        <v>1950</v>
      </c>
      <c r="D9208" s="4">
        <v>1200000</v>
      </c>
    </row>
    <row r="9209" spans="1:4" x14ac:dyDescent="0.25">
      <c r="A9209" t="str">
        <f>T("   870333")</f>
        <v xml:space="preserve">   870333</v>
      </c>
      <c r="B9209" t="str">
        <f>T("   D'UNE CYLINDREE EXCEDANT 2.500 CM³")</f>
        <v xml:space="preserve">   D'UNE CYLINDREE EXCEDANT 2.500 CM³</v>
      </c>
      <c r="C9209" s="4">
        <v>5890</v>
      </c>
      <c r="D9209" s="4">
        <v>5479712</v>
      </c>
    </row>
    <row r="9210" spans="1:4" x14ac:dyDescent="0.25">
      <c r="A9210" t="str">
        <f>T("   870421")</f>
        <v xml:space="preserve">   870421</v>
      </c>
      <c r="B9210" t="str">
        <f>T("   D'UN POIDS EN CHARGE MAXIMAL N'EXCEDANT PAS 5 TONNES")</f>
        <v xml:space="preserve">   D'UN POIDS EN CHARGE MAXIMAL N'EXCEDANT PAS 5 TONNES</v>
      </c>
      <c r="C9210" s="4">
        <v>8650</v>
      </c>
      <c r="D9210" s="4">
        <v>7200000</v>
      </c>
    </row>
    <row r="9211" spans="1:4" x14ac:dyDescent="0.25">
      <c r="A9211" t="str">
        <f>T("   870422")</f>
        <v xml:space="preserve">   870422</v>
      </c>
      <c r="B9211" t="str">
        <f>T("   D'UN POIDS EN CHARGE MAXIMAL EXCEDANT 5 TONNES MAIS N'EXCEDANT PAS 20 TONNES")</f>
        <v xml:space="preserve">   D'UN POIDS EN CHARGE MAXIMAL EXCEDANT 5 TONNES MAIS N'EXCEDANT PAS 20 TONNES</v>
      </c>
      <c r="C9211" s="4">
        <v>31920</v>
      </c>
      <c r="D9211" s="4">
        <v>8635742</v>
      </c>
    </row>
    <row r="9212" spans="1:4" x14ac:dyDescent="0.25">
      <c r="A9212" t="str">
        <f>T("   870423")</f>
        <v xml:space="preserve">   870423</v>
      </c>
      <c r="B9212" t="str">
        <f>T("   D'UN POIDS EN CHARGE MAXIMAL EXCEDANT 20 TONNES")</f>
        <v xml:space="preserve">   D'UN POIDS EN CHARGE MAXIMAL EXCEDANT 20 TONNES</v>
      </c>
      <c r="C9212" s="4">
        <v>13000</v>
      </c>
      <c r="D9212" s="4">
        <v>2867871</v>
      </c>
    </row>
    <row r="9213" spans="1:4" x14ac:dyDescent="0.25">
      <c r="A9213" t="str">
        <f>T("   870431")</f>
        <v xml:space="preserve">   870431</v>
      </c>
      <c r="B9213" t="str">
        <f>T("   D'UN POIDS EN CHARGE MAXIMAL N'EXCEDANT PAS 5 TONNES")</f>
        <v xml:space="preserve">   D'UN POIDS EN CHARGE MAXIMAL N'EXCEDANT PAS 5 TONNES</v>
      </c>
      <c r="C9213" s="4">
        <v>21145</v>
      </c>
      <c r="D9213" s="4">
        <v>17245020</v>
      </c>
    </row>
    <row r="9214" spans="1:4" x14ac:dyDescent="0.25">
      <c r="A9214" t="str">
        <f>T("   871200")</f>
        <v xml:space="preserve">   871200</v>
      </c>
      <c r="B9214" t="str">
        <f>T("   BICYCLETTES ET AUTRES CYCLES (Y COMPRIS LES TRIPORTEURS), SANS MOTEUR.")</f>
        <v xml:space="preserve">   BICYCLETTES ET AUTRES CYCLES (Y COMPRIS LES TRIPORTEURS), SANS MOTEUR.</v>
      </c>
      <c r="C9214" s="4">
        <v>10962</v>
      </c>
      <c r="D9214" s="4">
        <v>1905415</v>
      </c>
    </row>
    <row r="9215" spans="1:4" x14ac:dyDescent="0.25">
      <c r="A9215" t="str">
        <f>T("   871631")</f>
        <v xml:space="preserve">   871631</v>
      </c>
      <c r="B9215" t="str">
        <f>T("   CITERNES")</f>
        <v xml:space="preserve">   CITERNES</v>
      </c>
      <c r="C9215" s="4">
        <v>19500</v>
      </c>
      <c r="D9215" s="4">
        <v>3600000</v>
      </c>
    </row>
    <row r="9216" spans="1:4" x14ac:dyDescent="0.25">
      <c r="A9216" t="str">
        <f>T("   871639")</f>
        <v xml:space="preserve">   871639</v>
      </c>
      <c r="B9216" t="str">
        <f>T("   AUTRES")</f>
        <v xml:space="preserve">   AUTRES</v>
      </c>
      <c r="C9216" s="4">
        <v>18000</v>
      </c>
      <c r="D9216" s="4">
        <v>2000000</v>
      </c>
    </row>
    <row r="9217" spans="1:4" x14ac:dyDescent="0.25">
      <c r="A9217" t="str">
        <f>T("   871640")</f>
        <v xml:space="preserve">   871640</v>
      </c>
      <c r="B9217" t="str">
        <f>T("   AUTRES REMORQUES ET SEMIREMORQUES")</f>
        <v xml:space="preserve">   AUTRES REMORQUES ET SEMIREMORQUES</v>
      </c>
      <c r="C9217" s="4">
        <v>2500</v>
      </c>
      <c r="D9217" s="4">
        <v>2000000</v>
      </c>
    </row>
    <row r="9218" spans="1:4" x14ac:dyDescent="0.25">
      <c r="A9218" t="str">
        <f>T("   880330")</f>
        <v xml:space="preserve">   880330</v>
      </c>
      <c r="B9218" t="str">
        <f>T("   AUTRES PARTIES D'AVIONS OU D'HELICOPTERES")</f>
        <v xml:space="preserve">   AUTRES PARTIES D'AVIONS OU D'HELICOPTERES</v>
      </c>
      <c r="C9218" s="4">
        <v>8</v>
      </c>
      <c r="D9218" s="4">
        <v>5661252</v>
      </c>
    </row>
    <row r="9219" spans="1:4" x14ac:dyDescent="0.25">
      <c r="A9219" t="str">
        <f>T("   890790")</f>
        <v xml:space="preserve">   890790</v>
      </c>
      <c r="B9219" t="str">
        <f>T("   AUTRES")</f>
        <v xml:space="preserve">   AUTRES</v>
      </c>
      <c r="C9219" s="4">
        <v>97.5</v>
      </c>
      <c r="D9219" s="4">
        <v>12953855</v>
      </c>
    </row>
    <row r="9220" spans="1:4" x14ac:dyDescent="0.25">
      <c r="A9220" t="str">
        <f>T("   901410")</f>
        <v xml:space="preserve">   901410</v>
      </c>
      <c r="B9220" t="str">
        <f>T("   BOUSSOLES, Y COMPRIS LES COMPAS DE NAVIGATION")</f>
        <v xml:space="preserve">   BOUSSOLES, Y COMPRIS LES COMPAS DE NAVIGATION</v>
      </c>
      <c r="C9220" s="4">
        <v>9</v>
      </c>
      <c r="D9220" s="4">
        <v>10578891</v>
      </c>
    </row>
    <row r="9221" spans="1:4" x14ac:dyDescent="0.25">
      <c r="A9221" t="str">
        <f>T("   902710")</f>
        <v xml:space="preserve">   902710</v>
      </c>
      <c r="B9221" t="str">
        <f>T("   ANALYSEURS DE GAZ OU DE FUMEES")</f>
        <v xml:space="preserve">   ANALYSEURS DE GAZ OU DE FUMEES</v>
      </c>
      <c r="C9221" s="4">
        <v>9</v>
      </c>
      <c r="D9221" s="4">
        <v>748647</v>
      </c>
    </row>
    <row r="9222" spans="1:4" x14ac:dyDescent="0.25">
      <c r="A9222" t="str">
        <f>T("   903090")</f>
        <v xml:space="preserve">   903090</v>
      </c>
      <c r="B9222" t="str">
        <f>T("   PARTIES ET ACCESSOIRES")</f>
        <v xml:space="preserve">   PARTIES ET ACCESSOIRES</v>
      </c>
      <c r="C9222" s="4">
        <v>1</v>
      </c>
      <c r="D9222" s="4">
        <v>709642</v>
      </c>
    </row>
    <row r="9223" spans="1:4" x14ac:dyDescent="0.25">
      <c r="A9223" t="str">
        <f>T("   940330")</f>
        <v xml:space="preserve">   940330</v>
      </c>
      <c r="B9223" t="str">
        <f>T("   MEUBLES EN BOIS DES TYPES UTILISES DANS LES BUREAUX")</f>
        <v xml:space="preserve">   MEUBLES EN BOIS DES TYPES UTILISES DANS LES BUREAUX</v>
      </c>
      <c r="C9223" s="4">
        <v>4112</v>
      </c>
      <c r="D9223" s="4">
        <v>700000</v>
      </c>
    </row>
    <row r="9224" spans="1:4" x14ac:dyDescent="0.25">
      <c r="A9224" t="str">
        <f>T("   940360")</f>
        <v xml:space="preserve">   940360</v>
      </c>
      <c r="B9224" t="str">
        <f>T("   Autres meubles en bois")</f>
        <v xml:space="preserve">   Autres meubles en bois</v>
      </c>
      <c r="C9224" s="4">
        <v>1800</v>
      </c>
      <c r="D9224" s="4">
        <v>1109609</v>
      </c>
    </row>
    <row r="9225" spans="1:4" x14ac:dyDescent="0.25">
      <c r="A9225" t="str">
        <f>T("   940370")</f>
        <v xml:space="preserve">   940370</v>
      </c>
      <c r="B9225" t="str">
        <f>T("   MEUBLES EN MATIERES PLASTIQUES")</f>
        <v xml:space="preserve">   MEUBLES EN MATIERES PLASTIQUES</v>
      </c>
      <c r="C9225" s="4">
        <v>600</v>
      </c>
      <c r="D9225" s="4">
        <v>436920</v>
      </c>
    </row>
    <row r="9226" spans="1:4" x14ac:dyDescent="0.25">
      <c r="A9226" t="str">
        <f>T("   940389")</f>
        <v xml:space="preserve">   940389</v>
      </c>
      <c r="B9226" t="str">
        <f>T("   AUTRES")</f>
        <v xml:space="preserve">   AUTRES</v>
      </c>
      <c r="C9226" s="4">
        <v>8200</v>
      </c>
      <c r="D9226" s="4">
        <v>1509385</v>
      </c>
    </row>
    <row r="9227" spans="1:4" x14ac:dyDescent="0.25">
      <c r="A9227" t="str">
        <f>T("   940490")</f>
        <v xml:space="preserve">   940490</v>
      </c>
      <c r="B9227" t="str">
        <f>T("   AUTRES")</f>
        <v xml:space="preserve">   AUTRES</v>
      </c>
      <c r="C9227" s="4">
        <v>2400</v>
      </c>
      <c r="D9227" s="4">
        <v>250000</v>
      </c>
    </row>
    <row r="9228" spans="1:4" x14ac:dyDescent="0.25">
      <c r="A9228" t="str">
        <f>T("   940560")</f>
        <v xml:space="preserve">   940560</v>
      </c>
      <c r="B9228" t="str">
        <f>T("   LAMPESRECLAMES, ENSEIGNES LUMINEUSES, PLAQUES INDICATRICES LUMINEUSES ET ARTICLES SI")</f>
        <v xml:space="preserve">   LAMPESRECLAMES, ENSEIGNES LUMINEUSES, PLAQUES INDICATRICES LUMINEUSES ET ARTICLES SI</v>
      </c>
      <c r="C9228" s="4">
        <v>0.5</v>
      </c>
      <c r="D9228" s="4">
        <v>33145</v>
      </c>
    </row>
    <row r="9229" spans="1:4" x14ac:dyDescent="0.25">
      <c r="A9229" t="str">
        <f>T("   940592")</f>
        <v xml:space="preserve">   940592</v>
      </c>
      <c r="B9229" t="str">
        <f>T("   EN MATIERES PLASTIQUES")</f>
        <v xml:space="preserve">   EN MATIERES PLASTIQUES</v>
      </c>
      <c r="C9229" s="4">
        <v>2.19</v>
      </c>
      <c r="D9229" s="4">
        <v>216313</v>
      </c>
    </row>
    <row r="9230" spans="1:4" x14ac:dyDescent="0.25">
      <c r="A9230" t="str">
        <f>T("   940600")</f>
        <v xml:space="preserve">   940600</v>
      </c>
      <c r="B9230" t="str">
        <f>T("   CONSTRUCTIONS PREFABRIQUEES.")</f>
        <v xml:space="preserve">   CONSTRUCTIONS PREFABRIQUEES.</v>
      </c>
      <c r="C9230" s="4">
        <v>300</v>
      </c>
      <c r="D9230" s="4">
        <v>764611</v>
      </c>
    </row>
    <row r="9231" spans="1:4" x14ac:dyDescent="0.25">
      <c r="A9231" t="str">
        <f>T("   960390")</f>
        <v xml:space="preserve">   960390</v>
      </c>
      <c r="B9231" t="str">
        <f>T("   AUTRES")</f>
        <v xml:space="preserve">   AUTRES</v>
      </c>
      <c r="C9231" s="4">
        <v>1</v>
      </c>
      <c r="D9231" s="4">
        <v>35350</v>
      </c>
    </row>
    <row r="9232" spans="1:4" s="5" customFormat="1" x14ac:dyDescent="0.25">
      <c r="A9232" s="5" t="str">
        <f>T("   ZZ_Total_Produit_SH6")</f>
        <v xml:space="preserve">   ZZ_Total_Produit_SH6</v>
      </c>
      <c r="B9232" s="5" t="str">
        <f>T("   ZZ_Total_Produit_SH6")</f>
        <v xml:space="preserve">   ZZ_Total_Produit_SH6</v>
      </c>
      <c r="C9232" s="1">
        <v>975442.5</v>
      </c>
      <c r="D9232" s="1">
        <v>654818436</v>
      </c>
    </row>
    <row r="9233" spans="1:4" s="5" customFormat="1" x14ac:dyDescent="0.25">
      <c r="B9233" s="5" t="str">
        <f>T("Nouvelle-Zélande")</f>
        <v>Nouvelle-Zélande</v>
      </c>
      <c r="C9233" s="1"/>
      <c r="D9233" s="1"/>
    </row>
    <row r="9234" spans="1:4" x14ac:dyDescent="0.25">
      <c r="A9234" t="str">
        <f>T("   020712")</f>
        <v xml:space="preserve">   020712</v>
      </c>
      <c r="B9234" t="str">
        <f>T("   NON DECOUPES EN MORCEAUX, CONGELES")</f>
        <v xml:space="preserve">   NON DECOUPES EN MORCEAUX, CONGELES</v>
      </c>
      <c r="C9234" s="4">
        <v>25000</v>
      </c>
      <c r="D9234" s="4">
        <v>15550188</v>
      </c>
    </row>
    <row r="9235" spans="1:4" x14ac:dyDescent="0.25">
      <c r="A9235" t="str">
        <f>T("   030269")</f>
        <v xml:space="preserve">   030269</v>
      </c>
      <c r="B9235" t="str">
        <f>T("   Autres poissons entiers,frais ou refrigeres.(foies,oeufs laitances exclus)")</f>
        <v xml:space="preserve">   Autres poissons entiers,frais ou refrigeres.(foies,oeufs laitances exclus)</v>
      </c>
      <c r="C9235" s="4">
        <v>105600</v>
      </c>
      <c r="D9235" s="4">
        <v>42240000</v>
      </c>
    </row>
    <row r="9236" spans="1:4" x14ac:dyDescent="0.25">
      <c r="A9236" t="str">
        <f>T("   040221")</f>
        <v xml:space="preserve">   040221</v>
      </c>
      <c r="B9236" t="str">
        <f>T("   SANS ADDITION DE SUCRE OU D'AUTRES EDULCORANTS")</f>
        <v xml:space="preserve">   SANS ADDITION DE SUCRE OU D'AUTRES EDULCORANTS</v>
      </c>
      <c r="C9236" s="4">
        <v>51200</v>
      </c>
      <c r="D9236" s="4">
        <v>120020000</v>
      </c>
    </row>
    <row r="9237" spans="1:4" x14ac:dyDescent="0.25">
      <c r="A9237" t="str">
        <f>T("   110100")</f>
        <v xml:space="preserve">   110100</v>
      </c>
      <c r="B9237" t="str">
        <f>T("   FARINES DE FROMENT (BLE) OU DE METEIL.")</f>
        <v xml:space="preserve">   FARINES DE FROMENT (BLE) OU DE METEIL.</v>
      </c>
      <c r="C9237" s="4">
        <v>25000</v>
      </c>
      <c r="D9237" s="4">
        <v>6669263.3490000004</v>
      </c>
    </row>
    <row r="9238" spans="1:4" x14ac:dyDescent="0.25">
      <c r="A9238" t="str">
        <f>T("   851769")</f>
        <v xml:space="preserve">   851769</v>
      </c>
      <c r="B9238" t="str">
        <f>T("   AUTRES")</f>
        <v xml:space="preserve">   AUTRES</v>
      </c>
      <c r="C9238" s="4">
        <v>1</v>
      </c>
      <c r="D9238" s="4">
        <v>94600</v>
      </c>
    </row>
    <row r="9239" spans="1:4" x14ac:dyDescent="0.25">
      <c r="A9239" t="str">
        <f>T("   851770")</f>
        <v xml:space="preserve">   851770</v>
      </c>
      <c r="B9239" t="str">
        <f>T("   PARTIES")</f>
        <v xml:space="preserve">   PARTIES</v>
      </c>
      <c r="C9239" s="4">
        <v>7</v>
      </c>
      <c r="D9239" s="4">
        <v>1000771</v>
      </c>
    </row>
    <row r="9240" spans="1:4" x14ac:dyDescent="0.25">
      <c r="A9240" t="str">
        <f>T("   853650")</f>
        <v xml:space="preserve">   853650</v>
      </c>
      <c r="B9240" t="str">
        <f>T("   AUTRES INTERRUPTEURS, SECTIONNEURS ET COMMUTATEURS")</f>
        <v xml:space="preserve">   AUTRES INTERRUPTEURS, SECTIONNEURS ET COMMUTATEURS</v>
      </c>
      <c r="C9240" s="4">
        <v>1.9</v>
      </c>
      <c r="D9240" s="4">
        <v>40588</v>
      </c>
    </row>
    <row r="9241" spans="1:4" x14ac:dyDescent="0.25">
      <c r="A9241" t="str">
        <f>T("   870899")</f>
        <v xml:space="preserve">   870899</v>
      </c>
      <c r="B9241" t="str">
        <f>T("   AUTRES")</f>
        <v xml:space="preserve">   AUTRES</v>
      </c>
      <c r="C9241" s="4">
        <v>1.8</v>
      </c>
      <c r="D9241" s="4">
        <v>438431</v>
      </c>
    </row>
    <row r="9242" spans="1:4" s="5" customFormat="1" x14ac:dyDescent="0.25">
      <c r="A9242" s="5" t="str">
        <f>T("   ZZ_Total_Produit_SH6")</f>
        <v xml:space="preserve">   ZZ_Total_Produit_SH6</v>
      </c>
      <c r="B9242" s="5" t="str">
        <f>T("   ZZ_Total_Produit_SH6")</f>
        <v xml:space="preserve">   ZZ_Total_Produit_SH6</v>
      </c>
      <c r="C9242" s="1">
        <v>206811.7</v>
      </c>
      <c r="D9242" s="1">
        <v>186053841.34900001</v>
      </c>
    </row>
    <row r="9243" spans="1:4" s="5" customFormat="1" x14ac:dyDescent="0.25">
      <c r="B9243" s="5" t="str">
        <f>T("Oman")</f>
        <v>Oman</v>
      </c>
      <c r="C9243" s="1"/>
      <c r="D9243" s="1"/>
    </row>
    <row r="9244" spans="1:4" x14ac:dyDescent="0.25">
      <c r="A9244" t="str">
        <f>T("   030268")</f>
        <v xml:space="preserve">   030268</v>
      </c>
      <c r="B9244" t="str">
        <f>T("   --LEGINES(DISSOSTICHUS SPP)")</f>
        <v xml:space="preserve">   --LEGINES(DISSOSTICHUS SPP)</v>
      </c>
      <c r="C9244" s="4">
        <v>150726</v>
      </c>
      <c r="D9244" s="4">
        <v>60290400</v>
      </c>
    </row>
    <row r="9245" spans="1:4" x14ac:dyDescent="0.25">
      <c r="A9245" t="str">
        <f>T("   030329")</f>
        <v xml:space="preserve">   030329</v>
      </c>
      <c r="B9245" t="str">
        <f>T("   AUTRES")</f>
        <v xml:space="preserve">   AUTRES</v>
      </c>
      <c r="C9245" s="4">
        <v>185056</v>
      </c>
      <c r="D9245" s="4">
        <v>43557711</v>
      </c>
    </row>
    <row r="9246" spans="1:4" x14ac:dyDescent="0.25">
      <c r="A9246" t="str">
        <f>T("   210390")</f>
        <v xml:space="preserve">   210390</v>
      </c>
      <c r="B9246" t="str">
        <f>T("   AUTRES")</f>
        <v xml:space="preserve">   AUTRES</v>
      </c>
      <c r="C9246" s="4">
        <v>40320</v>
      </c>
      <c r="D9246" s="4">
        <v>19442654</v>
      </c>
    </row>
    <row r="9247" spans="1:4" x14ac:dyDescent="0.25">
      <c r="A9247" t="str">
        <f>T("   870421")</f>
        <v xml:space="preserve">   870421</v>
      </c>
      <c r="B9247" t="str">
        <f>T("   D'UN POIDS EN CHARGE MAXIMAL N'EXCEDANT PAS 5 TONNES")</f>
        <v xml:space="preserve">   D'UN POIDS EN CHARGE MAXIMAL N'EXCEDANT PAS 5 TONNES</v>
      </c>
      <c r="C9247" s="4">
        <v>1670</v>
      </c>
      <c r="D9247" s="4">
        <v>3367697</v>
      </c>
    </row>
    <row r="9248" spans="1:4" s="5" customFormat="1" x14ac:dyDescent="0.25">
      <c r="A9248" s="5" t="str">
        <f>T("   ZZ_Total_Produit_SH6")</f>
        <v xml:space="preserve">   ZZ_Total_Produit_SH6</v>
      </c>
      <c r="B9248" s="5" t="str">
        <f>T("   ZZ_Total_Produit_SH6")</f>
        <v xml:space="preserve">   ZZ_Total_Produit_SH6</v>
      </c>
      <c r="C9248" s="1">
        <v>377772</v>
      </c>
      <c r="D9248" s="1">
        <v>126658462</v>
      </c>
    </row>
    <row r="9249" spans="1:4" s="5" customFormat="1" x14ac:dyDescent="0.25">
      <c r="B9249" s="5" t="str">
        <f>T("Panama")</f>
        <v>Panama</v>
      </c>
      <c r="C9249" s="1"/>
      <c r="D9249" s="1"/>
    </row>
    <row r="9250" spans="1:4" x14ac:dyDescent="0.25">
      <c r="A9250" t="str">
        <f>T("   441199")</f>
        <v xml:space="preserve">   441199</v>
      </c>
      <c r="B9250" t="str">
        <f>T("   AUTRES PANNEAUX DE FIBRES 0,35 G/CM3 ET -")</f>
        <v xml:space="preserve">   AUTRES PANNEAUX DE FIBRES 0,35 G/CM3 ET -</v>
      </c>
      <c r="C9250" s="4">
        <v>110300</v>
      </c>
      <c r="D9250" s="4">
        <v>15321657</v>
      </c>
    </row>
    <row r="9251" spans="1:4" x14ac:dyDescent="0.25">
      <c r="A9251" t="str">
        <f>T("   610690")</f>
        <v xml:space="preserve">   610690</v>
      </c>
      <c r="B9251" t="str">
        <f>T("   D'AUTRES MATIERES TEXTILES")</f>
        <v xml:space="preserve">   D'AUTRES MATIERES TEXTILES</v>
      </c>
      <c r="C9251" s="4">
        <v>1400</v>
      </c>
      <c r="D9251" s="4">
        <v>700000</v>
      </c>
    </row>
    <row r="9252" spans="1:4" x14ac:dyDescent="0.25">
      <c r="A9252" t="str">
        <f>T("   630590")</f>
        <v xml:space="preserve">   630590</v>
      </c>
      <c r="B9252" t="str">
        <f>T("   D'AUTRES MATIERES TEXTILES")</f>
        <v xml:space="preserve">   D'AUTRES MATIERES TEXTILES</v>
      </c>
      <c r="C9252" s="4">
        <v>985</v>
      </c>
      <c r="D9252" s="4">
        <v>372000</v>
      </c>
    </row>
    <row r="9253" spans="1:4" x14ac:dyDescent="0.25">
      <c r="A9253" t="str">
        <f>T("   870899")</f>
        <v xml:space="preserve">   870899</v>
      </c>
      <c r="B9253" t="str">
        <f>T("   AUTRES")</f>
        <v xml:space="preserve">   AUTRES</v>
      </c>
      <c r="C9253" s="4">
        <v>3</v>
      </c>
      <c r="D9253" s="4">
        <v>45033</v>
      </c>
    </row>
    <row r="9254" spans="1:4" s="5" customFormat="1" x14ac:dyDescent="0.25">
      <c r="A9254" s="5" t="str">
        <f>T("   ZZ_Total_Produit_SH6")</f>
        <v xml:space="preserve">   ZZ_Total_Produit_SH6</v>
      </c>
      <c r="B9254" s="5" t="str">
        <f>T("   ZZ_Total_Produit_SH6")</f>
        <v xml:space="preserve">   ZZ_Total_Produit_SH6</v>
      </c>
      <c r="C9254" s="1">
        <v>112688</v>
      </c>
      <c r="D9254" s="1">
        <v>16438690</v>
      </c>
    </row>
    <row r="9255" spans="1:4" s="5" customFormat="1" x14ac:dyDescent="0.25">
      <c r="B9255" s="5" t="str">
        <f>T("Philippines")</f>
        <v>Philippines</v>
      </c>
      <c r="C9255" s="1"/>
      <c r="D9255" s="1"/>
    </row>
    <row r="9256" spans="1:4" x14ac:dyDescent="0.25">
      <c r="A9256" t="str">
        <f>T("   490199")</f>
        <v xml:space="preserve">   490199</v>
      </c>
      <c r="B9256" t="str">
        <f>T("   AUTRES")</f>
        <v xml:space="preserve">   AUTRES</v>
      </c>
      <c r="C9256" s="4">
        <v>4</v>
      </c>
      <c r="D9256" s="4">
        <v>131953</v>
      </c>
    </row>
    <row r="9257" spans="1:4" s="5" customFormat="1" x14ac:dyDescent="0.25">
      <c r="A9257" s="5" t="str">
        <f>T("   ZZ_Total_Produit_SH6")</f>
        <v xml:space="preserve">   ZZ_Total_Produit_SH6</v>
      </c>
      <c r="B9257" s="5" t="str">
        <f>T("   ZZ_Total_Produit_SH6")</f>
        <v xml:space="preserve">   ZZ_Total_Produit_SH6</v>
      </c>
      <c r="C9257" s="1">
        <v>4</v>
      </c>
      <c r="D9257" s="1">
        <v>131953</v>
      </c>
    </row>
    <row r="9258" spans="1:4" s="5" customFormat="1" x14ac:dyDescent="0.25">
      <c r="B9258" s="5" t="str">
        <f>T("Pakistan")</f>
        <v>Pakistan</v>
      </c>
      <c r="C9258" s="1"/>
      <c r="D9258" s="1"/>
    </row>
    <row r="9259" spans="1:4" x14ac:dyDescent="0.25">
      <c r="A9259" t="str">
        <f>T("   100620")</f>
        <v xml:space="preserve">   100620</v>
      </c>
      <c r="B9259" t="str">
        <f>T("   RIZ DECORTIQUE (RIZ CARGO OU RIZ BRUN)")</f>
        <v xml:space="preserve">   RIZ DECORTIQUE (RIZ CARGO OU RIZ BRUN)</v>
      </c>
      <c r="C9259" s="4">
        <v>1806000</v>
      </c>
      <c r="D9259" s="4">
        <v>601025441.57599998</v>
      </c>
    </row>
    <row r="9260" spans="1:4" x14ac:dyDescent="0.25">
      <c r="A9260" t="str">
        <f>T("   100630")</f>
        <v xml:space="preserve">   100630</v>
      </c>
      <c r="B9260" t="str">
        <f>T("   RIZ SEMIBLANCHI OU BLANCHI, MEME POLI OU GLACE")</f>
        <v xml:space="preserve">   RIZ SEMIBLANCHI OU BLANCHI, MEME POLI OU GLACE</v>
      </c>
      <c r="C9260" s="4">
        <v>7810507</v>
      </c>
      <c r="D9260" s="4">
        <v>1447028236</v>
      </c>
    </row>
    <row r="9261" spans="1:4" x14ac:dyDescent="0.25">
      <c r="A9261" t="str">
        <f>T("   100640")</f>
        <v xml:space="preserve">   100640</v>
      </c>
      <c r="B9261" t="str">
        <f>T("   RIZ EN BRISURES")</f>
        <v xml:space="preserve">   RIZ EN BRISURES</v>
      </c>
      <c r="C9261" s="4">
        <v>8101026</v>
      </c>
      <c r="D9261" s="4">
        <v>3004589947.9289999</v>
      </c>
    </row>
    <row r="9262" spans="1:4" x14ac:dyDescent="0.25">
      <c r="A9262" t="str">
        <f>T("   190219")</f>
        <v xml:space="preserve">   190219</v>
      </c>
      <c r="B9262" t="str">
        <f>T("   AUTRES")</f>
        <v xml:space="preserve">   AUTRES</v>
      </c>
      <c r="C9262" s="4">
        <v>11654</v>
      </c>
      <c r="D9262" s="4">
        <v>813044</v>
      </c>
    </row>
    <row r="9263" spans="1:4" x14ac:dyDescent="0.25">
      <c r="A9263" t="str">
        <f>T("   190590")</f>
        <v xml:space="preserve">   190590</v>
      </c>
      <c r="B9263" t="str">
        <f>T("   AUTRES")</f>
        <v xml:space="preserve">   AUTRES</v>
      </c>
      <c r="C9263" s="4">
        <v>23449</v>
      </c>
      <c r="D9263" s="4">
        <v>4789849</v>
      </c>
    </row>
    <row r="9264" spans="1:4" x14ac:dyDescent="0.25">
      <c r="A9264" t="str">
        <f>T("   200980")</f>
        <v xml:space="preserve">   200980</v>
      </c>
      <c r="B9264" t="str">
        <f>T("   AUTRES JUS DE FRUITS OU DE LEGUMES,SANS ALCOOL,SUCRES OU NON")</f>
        <v xml:space="preserve">   AUTRES JUS DE FRUITS OU DE LEGUMES,SANS ALCOOL,SUCRES OU NON</v>
      </c>
      <c r="C9264" s="4">
        <v>164113</v>
      </c>
      <c r="D9264" s="4">
        <v>15937204</v>
      </c>
    </row>
    <row r="9265" spans="1:4" x14ac:dyDescent="0.25">
      <c r="A9265" t="str">
        <f>T("   220290")</f>
        <v xml:space="preserve">   220290</v>
      </c>
      <c r="B9265" t="str">
        <f>T("   AUTRES")</f>
        <v xml:space="preserve">   AUTRES</v>
      </c>
      <c r="C9265" s="4">
        <v>23308</v>
      </c>
      <c r="D9265" s="4">
        <v>3541528</v>
      </c>
    </row>
    <row r="9266" spans="1:4" x14ac:dyDescent="0.25">
      <c r="A9266" t="str">
        <f>T("   250100")</f>
        <v xml:space="preserve">   250100</v>
      </c>
      <c r="B9266" t="str">
        <f>T("   SEL (Y COMPRIS LE SEL PREPARE POUR LA TABLE ET LE SEL DENATURE) ET CHLORURE DE SODIUM P")</f>
        <v xml:space="preserve">   SEL (Y COMPRIS LE SEL PREPARE POUR LA TABLE ET LE SEL DENATURE) ET CHLORURE DE SODIUM P</v>
      </c>
      <c r="C9266" s="4">
        <v>644450</v>
      </c>
      <c r="D9266" s="4">
        <v>48926824</v>
      </c>
    </row>
    <row r="9267" spans="1:4" x14ac:dyDescent="0.25">
      <c r="A9267" t="str">
        <f>T("   360500")</f>
        <v xml:space="preserve">   360500</v>
      </c>
      <c r="B9267" t="str">
        <f>T("   ALLUMETTES, AUTRES QUE LES ARTICLES DE PYROTECHNIE DU N° 36.04.")</f>
        <v xml:space="preserve">   ALLUMETTES, AUTRES QUE LES ARTICLES DE PYROTECHNIE DU N° 36.04.</v>
      </c>
      <c r="C9267" s="4">
        <v>17833</v>
      </c>
      <c r="D9267" s="4">
        <v>4959057</v>
      </c>
    </row>
    <row r="9268" spans="1:4" x14ac:dyDescent="0.25">
      <c r="A9268" t="str">
        <f>T("   392321")</f>
        <v xml:space="preserve">   392321</v>
      </c>
      <c r="B9268" t="str">
        <f>T("   EN POLYMERES DE L'ETHYLENE")</f>
        <v xml:space="preserve">   EN POLYMERES DE L'ETHYLENE</v>
      </c>
      <c r="C9268" s="4">
        <v>21900</v>
      </c>
      <c r="D9268" s="4">
        <v>3385693</v>
      </c>
    </row>
    <row r="9269" spans="1:4" x14ac:dyDescent="0.25">
      <c r="A9269" t="str">
        <f>T("   581091")</f>
        <v xml:space="preserve">   581091</v>
      </c>
      <c r="B9269" t="str">
        <f>T("   DE COTON")</f>
        <v xml:space="preserve">   DE COTON</v>
      </c>
      <c r="C9269" s="4">
        <v>228</v>
      </c>
      <c r="D9269" s="4">
        <v>402500</v>
      </c>
    </row>
    <row r="9270" spans="1:4" x14ac:dyDescent="0.25">
      <c r="A9270" t="str">
        <f>T("   581099")</f>
        <v xml:space="preserve">   581099</v>
      </c>
      <c r="B9270" t="str">
        <f>T("   D'AUTRES MATIERES TEXTILES")</f>
        <v xml:space="preserve">   D'AUTRES MATIERES TEXTILES</v>
      </c>
      <c r="C9270" s="4">
        <v>142</v>
      </c>
      <c r="D9270" s="4">
        <v>250000</v>
      </c>
    </row>
    <row r="9271" spans="1:4" x14ac:dyDescent="0.25">
      <c r="A9271" t="str">
        <f>T("   610729")</f>
        <v xml:space="preserve">   610729</v>
      </c>
      <c r="B9271" t="str">
        <f>T("   D'AUTRES MATIERES TEXTILES")</f>
        <v xml:space="preserve">   D'AUTRES MATIERES TEXTILES</v>
      </c>
      <c r="C9271" s="4">
        <v>360</v>
      </c>
      <c r="D9271" s="4">
        <v>162000</v>
      </c>
    </row>
    <row r="9272" spans="1:4" x14ac:dyDescent="0.25">
      <c r="A9272" t="str">
        <f>T("   630491")</f>
        <v xml:space="preserve">   630491</v>
      </c>
      <c r="B9272" t="str">
        <f>T("   EN BONNETERIE")</f>
        <v xml:space="preserve">   EN BONNETERIE</v>
      </c>
      <c r="C9272" s="4">
        <v>85070</v>
      </c>
      <c r="D9272" s="4">
        <v>17253093</v>
      </c>
    </row>
    <row r="9273" spans="1:4" x14ac:dyDescent="0.25">
      <c r="A9273" t="str">
        <f>T("   660200")</f>
        <v xml:space="preserve">   660200</v>
      </c>
      <c r="B9273" t="str">
        <f>T("   CANNES, CANNESSIEGES, FOUETS, CRAVACHES ET ARTICLES SIMILAIRES.")</f>
        <v xml:space="preserve">   CANNES, CANNESSIEGES, FOUETS, CRAVACHES ET ARTICLES SIMILAIRES.</v>
      </c>
      <c r="C9273" s="4">
        <v>50</v>
      </c>
      <c r="D9273" s="4">
        <v>1269527</v>
      </c>
    </row>
    <row r="9274" spans="1:4" x14ac:dyDescent="0.25">
      <c r="A9274" t="str">
        <f>T("   870899")</f>
        <v xml:space="preserve">   870899</v>
      </c>
      <c r="B9274" t="str">
        <f>T("   AUTRES")</f>
        <v xml:space="preserve">   AUTRES</v>
      </c>
      <c r="C9274" s="4">
        <v>94</v>
      </c>
      <c r="D9274" s="4">
        <v>110000</v>
      </c>
    </row>
    <row r="9275" spans="1:4" x14ac:dyDescent="0.25">
      <c r="A9275" t="str">
        <f>T("   871130")</f>
        <v xml:space="preserve">   871130</v>
      </c>
      <c r="B9275" t="str">
        <f>T("   A MOTEUR A PISTON ALTERNATIF, D'UNE CYLINDREE EXCEDANT 250 CM³ MAIS N'EXCEDANT PAS 50")</f>
        <v xml:space="preserve">   A MOTEUR A PISTON ALTERNATIF, D'UNE CYLINDREE EXCEDANT 250 CM³ MAIS N'EXCEDANT PAS 50</v>
      </c>
      <c r="C9275" s="4">
        <v>11340</v>
      </c>
      <c r="D9275" s="4">
        <v>8100000</v>
      </c>
    </row>
    <row r="9276" spans="1:4" x14ac:dyDescent="0.25">
      <c r="A9276" t="str">
        <f>T("   901839")</f>
        <v xml:space="preserve">   901839</v>
      </c>
      <c r="B9276" t="str">
        <f>T("   AUTRES")</f>
        <v xml:space="preserve">   AUTRES</v>
      </c>
      <c r="C9276" s="4">
        <v>248</v>
      </c>
      <c r="D9276" s="4">
        <v>9958</v>
      </c>
    </row>
    <row r="9277" spans="1:4" x14ac:dyDescent="0.25">
      <c r="A9277" t="str">
        <f>T("   901890")</f>
        <v xml:space="preserve">   901890</v>
      </c>
      <c r="B9277" t="str">
        <f>T("   AUTRES INSTRUMENTS ET APPAREILS")</f>
        <v xml:space="preserve">   AUTRES INSTRUMENTS ET APPAREILS</v>
      </c>
      <c r="C9277" s="4">
        <v>35</v>
      </c>
      <c r="D9277" s="4">
        <v>424871</v>
      </c>
    </row>
    <row r="9278" spans="1:4" s="5" customFormat="1" x14ac:dyDescent="0.25">
      <c r="A9278" s="5" t="str">
        <f>T("   ZZ_Total_Produit_SH6")</f>
        <v xml:space="preserve">   ZZ_Total_Produit_SH6</v>
      </c>
      <c r="B9278" s="5" t="str">
        <f>T("   ZZ_Total_Produit_SH6")</f>
        <v xml:space="preserve">   ZZ_Total_Produit_SH6</v>
      </c>
      <c r="C9278" s="1">
        <v>18721807</v>
      </c>
      <c r="D9278" s="1">
        <v>5162978773.5050001</v>
      </c>
    </row>
    <row r="9279" spans="1:4" s="5" customFormat="1" x14ac:dyDescent="0.25">
      <c r="B9279" s="5" t="str">
        <f>T("Pologne")</f>
        <v>Pologne</v>
      </c>
      <c r="C9279" s="1"/>
      <c r="D9279" s="1"/>
    </row>
    <row r="9280" spans="1:4" x14ac:dyDescent="0.25">
      <c r="A9280" t="str">
        <f>T("   020712")</f>
        <v xml:space="preserve">   020712</v>
      </c>
      <c r="B9280" t="str">
        <f>T("   NON DECOUPES EN MORCEAUX, CONGELES")</f>
        <v xml:space="preserve">   NON DECOUPES EN MORCEAUX, CONGELES</v>
      </c>
      <c r="C9280" s="4">
        <v>1970820</v>
      </c>
      <c r="D9280" s="4">
        <v>1222234558</v>
      </c>
    </row>
    <row r="9281" spans="1:4" x14ac:dyDescent="0.25">
      <c r="A9281" t="str">
        <f>T("   020714")</f>
        <v xml:space="preserve">   020714</v>
      </c>
      <c r="B9281" t="str">
        <f>T("   MORCEAUX ET ABATS, CONGELES")</f>
        <v xml:space="preserve">   MORCEAUX ET ABATS, CONGELES</v>
      </c>
      <c r="C9281" s="4">
        <v>17259279</v>
      </c>
      <c r="D9281" s="4">
        <v>10656786283</v>
      </c>
    </row>
    <row r="9282" spans="1:4" x14ac:dyDescent="0.25">
      <c r="A9282" t="str">
        <f>T("   020727")</f>
        <v xml:space="preserve">   020727</v>
      </c>
      <c r="B9282" t="str">
        <f>T("   MORCEAUX ET ABATS, CONGELES")</f>
        <v xml:space="preserve">   MORCEAUX ET ABATS, CONGELES</v>
      </c>
      <c r="C9282" s="4">
        <v>2443880</v>
      </c>
      <c r="D9282" s="4">
        <v>1509947646</v>
      </c>
    </row>
    <row r="9283" spans="1:4" x14ac:dyDescent="0.25">
      <c r="A9283" t="str">
        <f>T("   030219")</f>
        <v xml:space="preserve">   030219</v>
      </c>
      <c r="B9283" t="str">
        <f>T("   AUTRES")</f>
        <v xml:space="preserve">   AUTRES</v>
      </c>
      <c r="C9283" s="4">
        <v>26000</v>
      </c>
      <c r="D9283" s="4">
        <v>10400000</v>
      </c>
    </row>
    <row r="9284" spans="1:4" x14ac:dyDescent="0.25">
      <c r="A9284" t="str">
        <f>T("   030379")</f>
        <v xml:space="preserve">   030379</v>
      </c>
      <c r="B9284" t="str">
        <f>T("   AUTRES POISSONS ENTIERS CONGELES.(FOIES,OEUFS,LAITANCES EXCLUS)")</f>
        <v xml:space="preserve">   AUTRES POISSONS ENTIERS CONGELES.(FOIES,OEUFS,LAITANCES EXCLUS)</v>
      </c>
      <c r="C9284" s="4">
        <v>32510</v>
      </c>
      <c r="D9284" s="4">
        <v>7314750</v>
      </c>
    </row>
    <row r="9285" spans="1:4" x14ac:dyDescent="0.25">
      <c r="A9285" t="str">
        <f>T("   040210")</f>
        <v xml:space="preserve">   040210</v>
      </c>
      <c r="B9285" t="str">
        <f>T("   EN POUDRE, EN GRANULES OU SOUS D’AUTRES FORMES SOLIDES, D’UNE TENEUR EN POIDS DE MATI")</f>
        <v xml:space="preserve">   EN POUDRE, EN GRANULES OU SOUS D’AUTRES FORMES SOLIDES, D’UNE TENEUR EN POIDS DE MATI</v>
      </c>
      <c r="C9285" s="4">
        <v>25360</v>
      </c>
      <c r="D9285" s="4">
        <v>52497791</v>
      </c>
    </row>
    <row r="9286" spans="1:4" x14ac:dyDescent="0.25">
      <c r="A9286" t="str">
        <f>T("   040700")</f>
        <v xml:space="preserve">   040700</v>
      </c>
      <c r="B9286" t="str">
        <f>T("   Oeufs d'oiseaux en coquilles,frais,conserves ou cuits")</f>
        <v xml:space="preserve">   Oeufs d'oiseaux en coquilles,frais,conserves ou cuits</v>
      </c>
      <c r="C9286" s="4">
        <v>202676</v>
      </c>
      <c r="D9286" s="4">
        <v>76062969</v>
      </c>
    </row>
    <row r="9287" spans="1:4" x14ac:dyDescent="0.25">
      <c r="A9287" t="str">
        <f>T("   160100")</f>
        <v xml:space="preserve">   160100</v>
      </c>
      <c r="B9287" t="str">
        <f>T("   SAUCISSES, SAUCISSONS ET PRODUITS SIMILAIRES, DE VIANDE, D'ABATS OU DE SANG; PREPARATIO")</f>
        <v xml:space="preserve">   SAUCISSES, SAUCISSONS ET PRODUITS SIMILAIRES, DE VIANDE, D'ABATS OU DE SANG; PREPARATIO</v>
      </c>
      <c r="C9287" s="4">
        <v>12000</v>
      </c>
      <c r="D9287" s="4">
        <v>9000000</v>
      </c>
    </row>
    <row r="9288" spans="1:4" x14ac:dyDescent="0.25">
      <c r="A9288" t="str">
        <f>T("   190190")</f>
        <v xml:space="preserve">   190190</v>
      </c>
      <c r="B9288" t="str">
        <f>T("   AUTRES")</f>
        <v xml:space="preserve">   AUTRES</v>
      </c>
      <c r="C9288" s="4">
        <v>20900</v>
      </c>
      <c r="D9288" s="4">
        <v>12452088</v>
      </c>
    </row>
    <row r="9289" spans="1:4" x14ac:dyDescent="0.25">
      <c r="A9289" t="str">
        <f>T("   190490")</f>
        <v xml:space="preserve">   190490</v>
      </c>
      <c r="B9289" t="str">
        <f>T("   AUTRES")</f>
        <v xml:space="preserve">   AUTRES</v>
      </c>
      <c r="C9289" s="4">
        <v>17400</v>
      </c>
      <c r="D9289" s="4">
        <v>3230000</v>
      </c>
    </row>
    <row r="9290" spans="1:4" x14ac:dyDescent="0.25">
      <c r="A9290" t="str">
        <f>T("   200540")</f>
        <v xml:space="preserve">   200540</v>
      </c>
      <c r="B9290" t="str">
        <f>T("   POIS (PISUM SATIVUM)")</f>
        <v xml:space="preserve">   POIS (PISUM SATIVUM)</v>
      </c>
      <c r="C9290" s="4">
        <v>13500</v>
      </c>
      <c r="D9290" s="4">
        <v>4602281</v>
      </c>
    </row>
    <row r="9291" spans="1:4" x14ac:dyDescent="0.25">
      <c r="A9291" t="str">
        <f>T("   200840")</f>
        <v xml:space="preserve">   200840</v>
      </c>
      <c r="B9291" t="str">
        <f>T("   POIRES")</f>
        <v xml:space="preserve">   POIRES</v>
      </c>
      <c r="C9291" s="4">
        <v>17400</v>
      </c>
      <c r="D9291" s="4">
        <v>3230000</v>
      </c>
    </row>
    <row r="9292" spans="1:4" x14ac:dyDescent="0.25">
      <c r="A9292" t="str">
        <f>T("   220290")</f>
        <v xml:space="preserve">   220290</v>
      </c>
      <c r="B9292" t="str">
        <f>T("   AUTRES")</f>
        <v xml:space="preserve">   AUTRES</v>
      </c>
      <c r="C9292" s="4">
        <v>2349048</v>
      </c>
      <c r="D9292" s="4">
        <v>401523092</v>
      </c>
    </row>
    <row r="9293" spans="1:4" x14ac:dyDescent="0.25">
      <c r="A9293" t="str">
        <f>T("   220300")</f>
        <v xml:space="preserve">   220300</v>
      </c>
      <c r="B9293" t="str">
        <f>T("   BIERES DE MALT.")</f>
        <v xml:space="preserve">   BIERES DE MALT.</v>
      </c>
      <c r="C9293" s="4">
        <v>80812</v>
      </c>
      <c r="D9293" s="4">
        <v>12913411</v>
      </c>
    </row>
    <row r="9294" spans="1:4" x14ac:dyDescent="0.25">
      <c r="A9294" t="str">
        <f>T("   220600")</f>
        <v xml:space="preserve">   220600</v>
      </c>
      <c r="B9294" t="str">
        <f>T("   AUTRES BOISSONS FERMENTEES (CIDRE, POIRE, HYDROMEL, PAR EXEMPLE); MELANGES DE BOISSONS")</f>
        <v xml:space="preserve">   AUTRES BOISSONS FERMENTEES (CIDRE, POIRE, HYDROMEL, PAR EXEMPLE); MELANGES DE BOISSONS</v>
      </c>
      <c r="C9294" s="4">
        <v>18989</v>
      </c>
      <c r="D9294" s="4">
        <v>2652726</v>
      </c>
    </row>
    <row r="9295" spans="1:4" x14ac:dyDescent="0.25">
      <c r="A9295" t="str">
        <f>T("   300450")</f>
        <v xml:space="preserve">   300450</v>
      </c>
      <c r="B9295" t="str">
        <f>T("   AUTRES MEDICAMENTS CONTENANT DES VITAMINES OU D'AUTRES PRODUITS DU N° 29.36")</f>
        <v xml:space="preserve">   AUTRES MEDICAMENTS CONTENANT DES VITAMINES OU D'AUTRES PRODUITS DU N° 29.36</v>
      </c>
      <c r="C9295" s="4">
        <v>0.2</v>
      </c>
      <c r="D9295" s="4">
        <v>30870</v>
      </c>
    </row>
    <row r="9296" spans="1:4" x14ac:dyDescent="0.25">
      <c r="A9296" t="str">
        <f>T("   382100")</f>
        <v xml:space="preserve">   382100</v>
      </c>
      <c r="B9296" t="str">
        <f>T("   MILIEUX DE CULTURE PREPARES POUR LE DEVELOPPEMENT ET L'ENTRETIEN DES MICROORGANISMES (")</f>
        <v xml:space="preserve">   MILIEUX DE CULTURE PREPARES POUR LE DEVELOPPEMENT ET L'ENTRETIEN DES MICROORGANISMES (</v>
      </c>
      <c r="C9296" s="4">
        <v>3</v>
      </c>
      <c r="D9296" s="4">
        <v>543596</v>
      </c>
    </row>
    <row r="9297" spans="1:4" x14ac:dyDescent="0.25">
      <c r="A9297" t="str">
        <f>T("   401220")</f>
        <v xml:space="preserve">   401220</v>
      </c>
      <c r="B9297" t="str">
        <f>T("   PNEUMATIQUES USAGES")</f>
        <v xml:space="preserve">   PNEUMATIQUES USAGES</v>
      </c>
      <c r="C9297" s="4">
        <v>19325</v>
      </c>
      <c r="D9297" s="4">
        <v>4149223</v>
      </c>
    </row>
    <row r="9298" spans="1:4" x14ac:dyDescent="0.25">
      <c r="A9298" t="str">
        <f>T("   401310")</f>
        <v xml:space="preserve">   401310</v>
      </c>
      <c r="B9298" t="str">
        <f>T("   DES TYPES UTILISES POUR LES VOITURES DE TOURISME (Y COMPRIS LES VOITURES DU TYPE «BRE")</f>
        <v xml:space="preserve">   DES TYPES UTILISES POUR LES VOITURES DE TOURISME (Y COMPRIS LES VOITURES DU TYPE «BRE</v>
      </c>
      <c r="C9298" s="4">
        <v>25</v>
      </c>
      <c r="D9298" s="4">
        <v>210563</v>
      </c>
    </row>
    <row r="9299" spans="1:4" x14ac:dyDescent="0.25">
      <c r="A9299" t="str">
        <f>T("   491110")</f>
        <v xml:space="preserve">   491110</v>
      </c>
      <c r="B9299" t="str">
        <f>T("   IMPRIMES PUBLICITAIRES, CATALOGUES COMMERCIAUX ET SIMILAIRES")</f>
        <v xml:space="preserve">   IMPRIMES PUBLICITAIRES, CATALOGUES COMMERCIAUX ET SIMILAIRES</v>
      </c>
      <c r="C9299" s="4">
        <v>500</v>
      </c>
      <c r="D9299" s="4">
        <v>31486</v>
      </c>
    </row>
    <row r="9300" spans="1:4" x14ac:dyDescent="0.25">
      <c r="A9300" t="str">
        <f>T("   630900")</f>
        <v xml:space="preserve">   630900</v>
      </c>
      <c r="B9300" t="str">
        <f>T("   ARTICLES DE FRIPERIE.")</f>
        <v xml:space="preserve">   ARTICLES DE FRIPERIE.</v>
      </c>
      <c r="C9300" s="4">
        <v>925250</v>
      </c>
      <c r="D9300" s="4">
        <v>490307865</v>
      </c>
    </row>
    <row r="9301" spans="1:4" x14ac:dyDescent="0.25">
      <c r="A9301" t="str">
        <f>T("   640590")</f>
        <v xml:space="preserve">   640590</v>
      </c>
      <c r="B9301" t="str">
        <f>T("   AUTRES")</f>
        <v xml:space="preserve">   AUTRES</v>
      </c>
      <c r="C9301" s="4">
        <v>6504</v>
      </c>
      <c r="D9301" s="4">
        <v>3000000</v>
      </c>
    </row>
    <row r="9302" spans="1:4" x14ac:dyDescent="0.25">
      <c r="A9302" t="str">
        <f>T("   741999")</f>
        <v xml:space="preserve">   741999</v>
      </c>
      <c r="B9302" t="str">
        <f>T("   AUTRES")</f>
        <v xml:space="preserve">   AUTRES</v>
      </c>
      <c r="C9302" s="4">
        <v>68</v>
      </c>
      <c r="D9302" s="4">
        <v>65596</v>
      </c>
    </row>
    <row r="9303" spans="1:4" x14ac:dyDescent="0.25">
      <c r="A9303" t="str">
        <f>T("   820720")</f>
        <v xml:space="preserve">   820720</v>
      </c>
      <c r="B9303" t="str">
        <f>T("   FILIERES POUR L'ETIRAGE OU LE FILAGE (EXTRUSION) DES METAUX")</f>
        <v xml:space="preserve">   FILIERES POUR L'ETIRAGE OU LE FILAGE (EXTRUSION) DES METAUX</v>
      </c>
      <c r="C9303" s="4">
        <v>2000</v>
      </c>
      <c r="D9303" s="4">
        <v>139574</v>
      </c>
    </row>
    <row r="9304" spans="1:4" x14ac:dyDescent="0.25">
      <c r="A9304" t="str">
        <f>T("   830610")</f>
        <v xml:space="preserve">   830610</v>
      </c>
      <c r="B9304" t="str">
        <f>T("   CLOCHES, SONNETTES, GONGS ET ARTICLES SIMILAIRES")</f>
        <v xml:space="preserve">   CLOCHES, SONNETTES, GONGS ET ARTICLES SIMILAIRES</v>
      </c>
      <c r="C9304" s="4">
        <v>80</v>
      </c>
      <c r="D9304" s="4">
        <v>427030</v>
      </c>
    </row>
    <row r="9305" spans="1:4" x14ac:dyDescent="0.25">
      <c r="A9305" t="str">
        <f>T("   840991")</f>
        <v xml:space="preserve">   840991</v>
      </c>
      <c r="B9305" t="str">
        <f>T("   RECONNAISSABLES COMME ETANT EXCLUSIVEMENT OU PRINCIPALEMENT DESTINEES AUX MOTEURS A")</f>
        <v xml:space="preserve">   RECONNAISSABLES COMME ETANT EXCLUSIVEMENT OU PRINCIPALEMENT DESTINEES AUX MOTEURS A</v>
      </c>
      <c r="C9305" s="4">
        <v>8</v>
      </c>
      <c r="D9305" s="4">
        <v>110857</v>
      </c>
    </row>
    <row r="9306" spans="1:4" x14ac:dyDescent="0.25">
      <c r="A9306" t="str">
        <f>T("   841829")</f>
        <v xml:space="preserve">   841829</v>
      </c>
      <c r="B9306" t="str">
        <f>T("   AUTRES")</f>
        <v xml:space="preserve">   AUTRES</v>
      </c>
      <c r="C9306" s="4">
        <v>10152</v>
      </c>
      <c r="D9306" s="4">
        <v>12638592</v>
      </c>
    </row>
    <row r="9307" spans="1:4" x14ac:dyDescent="0.25">
      <c r="A9307" t="str">
        <f>T("   850440")</f>
        <v xml:space="preserve">   850440</v>
      </c>
      <c r="B9307" t="str">
        <f>T("   CONVERTISSEURS STATIQUES")</f>
        <v xml:space="preserve">   CONVERTISSEURS STATIQUES</v>
      </c>
      <c r="C9307" s="4">
        <v>9</v>
      </c>
      <c r="D9307" s="4">
        <v>155390</v>
      </c>
    </row>
    <row r="9308" spans="1:4" x14ac:dyDescent="0.25">
      <c r="A9308" t="str">
        <f>T("   851679")</f>
        <v xml:space="preserve">   851679</v>
      </c>
      <c r="B9308" t="str">
        <f>T("   AUTRES")</f>
        <v xml:space="preserve">   AUTRES</v>
      </c>
      <c r="C9308" s="4">
        <v>2000</v>
      </c>
      <c r="D9308" s="4">
        <v>904699</v>
      </c>
    </row>
    <row r="9309" spans="1:4" x14ac:dyDescent="0.25">
      <c r="A9309" t="str">
        <f>T("   851769")</f>
        <v xml:space="preserve">   851769</v>
      </c>
      <c r="B9309" t="str">
        <f>T("   AUTRES")</f>
        <v xml:space="preserve">   AUTRES</v>
      </c>
      <c r="C9309" s="4">
        <v>246</v>
      </c>
      <c r="D9309" s="4">
        <v>10053866</v>
      </c>
    </row>
    <row r="9310" spans="1:4" x14ac:dyDescent="0.25">
      <c r="A9310" t="str">
        <f>T("   852910")</f>
        <v xml:space="preserve">   852910</v>
      </c>
      <c r="B9310" t="str">
        <f>T("   ANTENNES ET REFLECTEURS D’ANTENNES DE TOUS TYPES; PARTIES RECONNAISSABLES COMME ETANT")</f>
        <v xml:space="preserve">   ANTENNES ET REFLECTEURS D’ANTENNES DE TOUS TYPES; PARTIES RECONNAISSABLES COMME ETANT</v>
      </c>
      <c r="C9310" s="4">
        <v>3</v>
      </c>
      <c r="D9310" s="4">
        <v>45556</v>
      </c>
    </row>
    <row r="9311" spans="1:4" x14ac:dyDescent="0.25">
      <c r="A9311" t="str">
        <f>T("   853620")</f>
        <v xml:space="preserve">   853620</v>
      </c>
      <c r="B9311" t="str">
        <f>T("   DISJONCTEURS")</f>
        <v xml:space="preserve">   DISJONCTEURS</v>
      </c>
      <c r="C9311" s="4">
        <v>30</v>
      </c>
      <c r="D9311" s="4">
        <v>85140</v>
      </c>
    </row>
    <row r="9312" spans="1:4" x14ac:dyDescent="0.25">
      <c r="A9312" t="str">
        <f>T("   853690")</f>
        <v xml:space="preserve">   853690</v>
      </c>
      <c r="B9312" t="str">
        <f>T("   AUTRES APPAREILS")</f>
        <v xml:space="preserve">   AUTRES APPAREILS</v>
      </c>
      <c r="C9312" s="4">
        <v>2.2999999999999998</v>
      </c>
      <c r="D9312" s="4">
        <v>288032</v>
      </c>
    </row>
    <row r="9313" spans="1:4" x14ac:dyDescent="0.25">
      <c r="A9313" t="str">
        <f>T("   853710")</f>
        <v xml:space="preserve">   853710</v>
      </c>
      <c r="B9313" t="str">
        <f>T("   POUR UNE TENSION N'EXCEDANT PAS 1.000 V")</f>
        <v xml:space="preserve">   POUR UNE TENSION N'EXCEDANT PAS 1.000 V</v>
      </c>
      <c r="C9313" s="4">
        <v>10</v>
      </c>
      <c r="D9313" s="4">
        <v>173167</v>
      </c>
    </row>
    <row r="9314" spans="1:4" x14ac:dyDescent="0.25">
      <c r="A9314" t="str">
        <f>T("   853890")</f>
        <v xml:space="preserve">   853890</v>
      </c>
      <c r="B9314" t="str">
        <f>T("   AUTRES")</f>
        <v xml:space="preserve">   AUTRES</v>
      </c>
      <c r="C9314" s="4">
        <v>33</v>
      </c>
      <c r="D9314" s="4">
        <v>608730</v>
      </c>
    </row>
    <row r="9315" spans="1:4" x14ac:dyDescent="0.25">
      <c r="A9315" t="str">
        <f>T("   870120")</f>
        <v xml:space="preserve">   870120</v>
      </c>
      <c r="B9315" t="str">
        <f>T("   TRACTEURS ROUTIERS POUR SEMIREMORQUES")</f>
        <v xml:space="preserve">   TRACTEURS ROUTIERS POUR SEMIREMORQUES</v>
      </c>
      <c r="C9315" s="4">
        <v>109074</v>
      </c>
      <c r="D9315" s="4">
        <v>40000000</v>
      </c>
    </row>
    <row r="9316" spans="1:4" x14ac:dyDescent="0.25">
      <c r="A9316" t="str">
        <f>T("   870210")</f>
        <v xml:space="preserve">   870210</v>
      </c>
      <c r="B9316" t="str">
        <f>T("   A MOTEUR A PISTON A ALLUMAGE PAR COMPRESSION (DIESEL OU SEMIDIESEL)")</f>
        <v xml:space="preserve">   A MOTEUR A PISTON A ALLUMAGE PAR COMPRESSION (DIESEL OU SEMIDIESEL)</v>
      </c>
      <c r="C9316" s="4">
        <v>7500</v>
      </c>
      <c r="D9316" s="4">
        <v>7665000</v>
      </c>
    </row>
    <row r="9317" spans="1:4" x14ac:dyDescent="0.25">
      <c r="A9317" t="str">
        <f>T("   870290")</f>
        <v xml:space="preserve">   870290</v>
      </c>
      <c r="B9317" t="str">
        <f>T("   AUTRES")</f>
        <v xml:space="preserve">   AUTRES</v>
      </c>
      <c r="C9317" s="4">
        <v>1800</v>
      </c>
      <c r="D9317" s="4">
        <v>1200000</v>
      </c>
    </row>
    <row r="9318" spans="1:4" x14ac:dyDescent="0.25">
      <c r="A9318" t="str">
        <f>T("   870323")</f>
        <v xml:space="preserve">   870323</v>
      </c>
      <c r="B9318" t="str">
        <f>T("   D’UNE CYLINDREE EXCEDANT 1.500 CM³ MAIS N’EXCEDANT PAS 3.000 CM³")</f>
        <v xml:space="preserve">   D’UNE CYLINDREE EXCEDANT 1.500 CM³ MAIS N’EXCEDANT PAS 3.000 CM³</v>
      </c>
      <c r="C9318" s="4">
        <v>5245</v>
      </c>
      <c r="D9318" s="4">
        <v>8094671</v>
      </c>
    </row>
    <row r="9319" spans="1:4" x14ac:dyDescent="0.25">
      <c r="A9319" t="str">
        <f>T("   870421")</f>
        <v xml:space="preserve">   870421</v>
      </c>
      <c r="B9319" t="str">
        <f>T("   D'UN POIDS EN CHARGE MAXIMAL N'EXCEDANT PAS 5 TONNES")</f>
        <v xml:space="preserve">   D'UN POIDS EN CHARGE MAXIMAL N'EXCEDANT PAS 5 TONNES</v>
      </c>
      <c r="C9319" s="4">
        <v>5530</v>
      </c>
      <c r="D9319" s="4">
        <v>7179800</v>
      </c>
    </row>
    <row r="9320" spans="1:4" x14ac:dyDescent="0.25">
      <c r="A9320" t="str">
        <f>T("   870422")</f>
        <v xml:space="preserve">   870422</v>
      </c>
      <c r="B9320" t="str">
        <f>T("   D'UN POIDS EN CHARGE MAXIMAL EXCEDANT 5 TONNES MAIS N'EXCEDANT PAS 20 TONNES")</f>
        <v xml:space="preserve">   D'UN POIDS EN CHARGE MAXIMAL EXCEDANT 5 TONNES MAIS N'EXCEDANT PAS 20 TONNES</v>
      </c>
      <c r="C9320" s="4">
        <v>23000</v>
      </c>
      <c r="D9320" s="4">
        <v>6211914</v>
      </c>
    </row>
    <row r="9321" spans="1:4" x14ac:dyDescent="0.25">
      <c r="A9321" t="str">
        <f>T("   870423")</f>
        <v xml:space="preserve">   870423</v>
      </c>
      <c r="B9321" t="str">
        <f>T("   D'UN POIDS EN CHARGE MAXIMAL EXCEDANT 20 TONNES")</f>
        <v xml:space="preserve">   D'UN POIDS EN CHARGE MAXIMAL EXCEDANT 20 TONNES</v>
      </c>
      <c r="C9321" s="4">
        <v>7000</v>
      </c>
      <c r="D9321" s="4">
        <v>5079785</v>
      </c>
    </row>
    <row r="9322" spans="1:4" x14ac:dyDescent="0.25">
      <c r="A9322" t="str">
        <f>T("   871640")</f>
        <v xml:space="preserve">   871640</v>
      </c>
      <c r="B9322" t="str">
        <f>T("   AUTRES REMORQUES ET SEMIREMORQUES")</f>
        <v xml:space="preserve">   AUTRES REMORQUES ET SEMIREMORQUES</v>
      </c>
      <c r="C9322" s="4">
        <v>38200</v>
      </c>
      <c r="D9322" s="4">
        <v>18000000</v>
      </c>
    </row>
    <row r="9323" spans="1:4" x14ac:dyDescent="0.25">
      <c r="A9323" t="str">
        <f>T("   903289")</f>
        <v xml:space="preserve">   903289</v>
      </c>
      <c r="B9323" t="str">
        <f>T("   AUTRES")</f>
        <v xml:space="preserve">   AUTRES</v>
      </c>
      <c r="C9323" s="4">
        <v>34</v>
      </c>
      <c r="D9323" s="4">
        <v>5054021</v>
      </c>
    </row>
    <row r="9324" spans="1:4" x14ac:dyDescent="0.25">
      <c r="A9324" t="str">
        <f>T("   940390")</f>
        <v xml:space="preserve">   940390</v>
      </c>
      <c r="B9324" t="str">
        <f>T("   PARTIES")</f>
        <v xml:space="preserve">   PARTIES</v>
      </c>
      <c r="C9324" s="4">
        <v>31496</v>
      </c>
      <c r="D9324" s="4">
        <v>42722566</v>
      </c>
    </row>
    <row r="9325" spans="1:4" s="5" customFormat="1" x14ac:dyDescent="0.25">
      <c r="A9325" s="5" t="str">
        <f>T("   ZZ_Total_Produit_SH6")</f>
        <v xml:space="preserve">   ZZ_Total_Produit_SH6</v>
      </c>
      <c r="B9325" s="5" t="str">
        <f>T("   ZZ_Total_Produit_SH6")</f>
        <v xml:space="preserve">   ZZ_Total_Produit_SH6</v>
      </c>
      <c r="C9325" s="1">
        <v>25685701.5</v>
      </c>
      <c r="D9325" s="1">
        <v>14650025184</v>
      </c>
    </row>
    <row r="9326" spans="1:4" s="5" customFormat="1" x14ac:dyDescent="0.25">
      <c r="B9326" s="5" t="str">
        <f>T("Porto Rico")</f>
        <v>Porto Rico</v>
      </c>
      <c r="C9326" s="1"/>
      <c r="D9326" s="1"/>
    </row>
    <row r="9327" spans="1:4" x14ac:dyDescent="0.25">
      <c r="A9327" t="str">
        <f>T("   170191")</f>
        <v xml:space="preserve">   170191</v>
      </c>
      <c r="B9327" t="str">
        <f>T("   ADDITIONNES D'AROMATISANTS OU DE COLORANTS")</f>
        <v xml:space="preserve">   ADDITIONNES D'AROMATISANTS OU DE COLORANTS</v>
      </c>
      <c r="C9327" s="4">
        <v>810000</v>
      </c>
      <c r="D9327" s="4">
        <v>81000000</v>
      </c>
    </row>
    <row r="9328" spans="1:4" x14ac:dyDescent="0.25">
      <c r="A9328" t="str">
        <f>T("   271019")</f>
        <v xml:space="preserve">   271019</v>
      </c>
      <c r="B9328" t="str">
        <f>T("   AUTRES")</f>
        <v xml:space="preserve">   AUTRES</v>
      </c>
      <c r="C9328" s="4">
        <v>9185</v>
      </c>
      <c r="D9328" s="4">
        <v>3005610</v>
      </c>
    </row>
    <row r="9329" spans="1:4" x14ac:dyDescent="0.25">
      <c r="A9329" t="str">
        <f>T("   392690")</f>
        <v xml:space="preserve">   392690</v>
      </c>
      <c r="B9329" t="str">
        <f>T("   AUTRES")</f>
        <v xml:space="preserve">   AUTRES</v>
      </c>
      <c r="C9329" s="4">
        <v>307</v>
      </c>
      <c r="D9329" s="4">
        <v>372093</v>
      </c>
    </row>
    <row r="9330" spans="1:4" x14ac:dyDescent="0.25">
      <c r="A9330" t="str">
        <f>T("   621040")</f>
        <v xml:space="preserve">   621040</v>
      </c>
      <c r="B9330" t="str">
        <f>T("   AUTRES VETEMENTS POUR HOMMES OU GARCONNETS")</f>
        <v xml:space="preserve">   AUTRES VETEMENTS POUR HOMMES OU GARCONNETS</v>
      </c>
      <c r="C9330" s="4">
        <v>1132</v>
      </c>
      <c r="D9330" s="4">
        <v>558838</v>
      </c>
    </row>
    <row r="9331" spans="1:4" x14ac:dyDescent="0.25">
      <c r="A9331" t="str">
        <f>T("   940350")</f>
        <v xml:space="preserve">   940350</v>
      </c>
      <c r="B9331" t="str">
        <f>T("   MEUBLES EN BOIS DES TYPES UTILISES DANS LES CHAMBRES A COUCHER")</f>
        <v xml:space="preserve">   MEUBLES EN BOIS DES TYPES UTILISES DANS LES CHAMBRES A COUCHER</v>
      </c>
      <c r="C9331" s="4">
        <v>6388</v>
      </c>
      <c r="D9331" s="4">
        <v>5026255</v>
      </c>
    </row>
    <row r="9332" spans="1:4" x14ac:dyDescent="0.25">
      <c r="A9332" t="str">
        <f>T("   950410")</f>
        <v xml:space="preserve">   950410</v>
      </c>
      <c r="B9332" t="str">
        <f>T("   JEUX VIDEO DES TYPES UTILISABLES AVEC UN RECEPTEUR DE TELEVISION")</f>
        <v xml:space="preserve">   JEUX VIDEO DES TYPES UTILISABLES AVEC UN RECEPTEUR DE TELEVISION</v>
      </c>
      <c r="C9332" s="4">
        <v>6</v>
      </c>
      <c r="D9332" s="4">
        <v>258338</v>
      </c>
    </row>
    <row r="9333" spans="1:4" x14ac:dyDescent="0.25">
      <c r="A9333" t="str">
        <f>T("   960899")</f>
        <v xml:space="preserve">   960899</v>
      </c>
      <c r="B9333" t="str">
        <f>T("   AUTRES")</f>
        <v xml:space="preserve">   AUTRES</v>
      </c>
      <c r="C9333" s="4">
        <v>441</v>
      </c>
      <c r="D9333" s="4">
        <v>450447</v>
      </c>
    </row>
    <row r="9334" spans="1:4" s="5" customFormat="1" x14ac:dyDescent="0.25">
      <c r="A9334" s="5" t="str">
        <f>T("   ZZ_Total_Produit_SH6")</f>
        <v xml:space="preserve">   ZZ_Total_Produit_SH6</v>
      </c>
      <c r="B9334" s="5" t="str">
        <f>T("   ZZ_Total_Produit_SH6")</f>
        <v xml:space="preserve">   ZZ_Total_Produit_SH6</v>
      </c>
      <c r="C9334" s="1">
        <v>827459</v>
      </c>
      <c r="D9334" s="1">
        <v>90671581</v>
      </c>
    </row>
    <row r="9335" spans="1:4" s="5" customFormat="1" x14ac:dyDescent="0.25">
      <c r="B9335" s="5" t="str">
        <f>T("Portugal")</f>
        <v>Portugal</v>
      </c>
      <c r="C9335" s="1"/>
      <c r="D9335" s="1"/>
    </row>
    <row r="9336" spans="1:4" x14ac:dyDescent="0.25">
      <c r="A9336" t="str">
        <f>T("   020649")</f>
        <v xml:space="preserve">   020649</v>
      </c>
      <c r="B9336" t="str">
        <f>T("   AUTRES")</f>
        <v xml:space="preserve">   AUTRES</v>
      </c>
      <c r="C9336" s="4">
        <v>8030</v>
      </c>
      <c r="D9336" s="4">
        <v>5553500</v>
      </c>
    </row>
    <row r="9337" spans="1:4" x14ac:dyDescent="0.25">
      <c r="A9337" t="str">
        <f>T("   020714")</f>
        <v xml:space="preserve">   020714</v>
      </c>
      <c r="B9337" t="str">
        <f>T("   MORCEAUX ET ABATS, CONGELES")</f>
        <v xml:space="preserve">   MORCEAUX ET ABATS, CONGELES</v>
      </c>
      <c r="C9337" s="4">
        <v>62150</v>
      </c>
      <c r="D9337" s="4">
        <v>38675450</v>
      </c>
    </row>
    <row r="9338" spans="1:4" x14ac:dyDescent="0.25">
      <c r="A9338" t="str">
        <f>T("   020727")</f>
        <v xml:space="preserve">   020727</v>
      </c>
      <c r="B9338" t="str">
        <f>T("   MORCEAUX ET ABATS, CONGELES")</f>
        <v xml:space="preserve">   MORCEAUX ET ABATS, CONGELES</v>
      </c>
      <c r="C9338" s="4">
        <v>74500</v>
      </c>
      <c r="D9338" s="4">
        <v>46650376</v>
      </c>
    </row>
    <row r="9339" spans="1:4" x14ac:dyDescent="0.25">
      <c r="A9339" t="str">
        <f>T("   021020")</f>
        <v xml:space="preserve">   021020</v>
      </c>
      <c r="B9339" t="str">
        <f>T("   VIANDES DE L'ESPECE BOVINE")</f>
        <v xml:space="preserve">   VIANDES DE L'ESPECE BOVINE</v>
      </c>
      <c r="C9339" s="4">
        <v>24992</v>
      </c>
      <c r="D9339" s="4">
        <v>15550188</v>
      </c>
    </row>
    <row r="9340" spans="1:4" x14ac:dyDescent="0.25">
      <c r="A9340" t="str">
        <f>T("   030199")</f>
        <v xml:space="preserve">   030199</v>
      </c>
      <c r="B9340" t="str">
        <f>T("   AUTRES")</f>
        <v xml:space="preserve">   AUTRES</v>
      </c>
      <c r="C9340" s="4">
        <v>54820</v>
      </c>
      <c r="D9340" s="4">
        <v>21928000</v>
      </c>
    </row>
    <row r="9341" spans="1:4" x14ac:dyDescent="0.25">
      <c r="A9341" t="str">
        <f>T("   040310")</f>
        <v xml:space="preserve">   040310</v>
      </c>
      <c r="B9341" t="str">
        <f>T("   YOGHOURT")</f>
        <v xml:space="preserve">   YOGHOURT</v>
      </c>
      <c r="C9341" s="4">
        <v>8346</v>
      </c>
      <c r="D9341" s="4">
        <v>6336723</v>
      </c>
    </row>
    <row r="9342" spans="1:4" x14ac:dyDescent="0.25">
      <c r="A9342" t="str">
        <f>T("   080810")</f>
        <v xml:space="preserve">   080810</v>
      </c>
      <c r="B9342" t="str">
        <f>T("   POMMES")</f>
        <v xml:space="preserve">   POMMES</v>
      </c>
      <c r="C9342" s="4">
        <v>23067</v>
      </c>
      <c r="D9342" s="4">
        <v>3241753</v>
      </c>
    </row>
    <row r="9343" spans="1:4" x14ac:dyDescent="0.25">
      <c r="A9343" t="str">
        <f>T("   190590")</f>
        <v xml:space="preserve">   190590</v>
      </c>
      <c r="B9343" t="str">
        <f>T("   AUTRES")</f>
        <v xml:space="preserve">   AUTRES</v>
      </c>
      <c r="C9343" s="4">
        <v>3881</v>
      </c>
      <c r="D9343" s="4">
        <v>5631203</v>
      </c>
    </row>
    <row r="9344" spans="1:4" x14ac:dyDescent="0.25">
      <c r="A9344" t="str">
        <f>T("   200980")</f>
        <v xml:space="preserve">   200980</v>
      </c>
      <c r="B9344" t="str">
        <f>T("   AUTRES JUS DE FRUITS OU DE LEGUMES,SANS ALCOOL,SUCRES OU NON")</f>
        <v xml:space="preserve">   AUTRES JUS DE FRUITS OU DE LEGUMES,SANS ALCOOL,SUCRES OU NON</v>
      </c>
      <c r="C9344" s="4">
        <v>471</v>
      </c>
      <c r="D9344" s="4">
        <v>69705</v>
      </c>
    </row>
    <row r="9345" spans="1:4" x14ac:dyDescent="0.25">
      <c r="A9345" t="str">
        <f>T("   220290")</f>
        <v xml:space="preserve">   220290</v>
      </c>
      <c r="B9345" t="str">
        <f>T("   AUTRES")</f>
        <v xml:space="preserve">   AUTRES</v>
      </c>
      <c r="C9345" s="4">
        <v>42878</v>
      </c>
      <c r="D9345" s="4">
        <v>11945016</v>
      </c>
    </row>
    <row r="9346" spans="1:4" x14ac:dyDescent="0.25">
      <c r="A9346" t="str">
        <f>T("   220421")</f>
        <v xml:space="preserve">   220421</v>
      </c>
      <c r="B9346" t="str">
        <f>T("   EN RECIPIENTS D'UNE CONTENANCE N'EXCEDANT PAS 2 L")</f>
        <v xml:space="preserve">   EN RECIPIENTS D'UNE CONTENANCE N'EXCEDANT PAS 2 L</v>
      </c>
      <c r="C9346" s="4">
        <v>243</v>
      </c>
      <c r="D9346" s="4">
        <v>719085</v>
      </c>
    </row>
    <row r="9347" spans="1:4" x14ac:dyDescent="0.25">
      <c r="A9347" t="str">
        <f>T("   220429")</f>
        <v xml:space="preserve">   220429</v>
      </c>
      <c r="B9347" t="str">
        <f>T("   AUTRES")</f>
        <v xml:space="preserve">   AUTRES</v>
      </c>
      <c r="C9347" s="4">
        <v>3649</v>
      </c>
      <c r="D9347" s="4">
        <v>1909929</v>
      </c>
    </row>
    <row r="9348" spans="1:4" x14ac:dyDescent="0.25">
      <c r="A9348" t="str">
        <f>T("   220600")</f>
        <v xml:space="preserve">   220600</v>
      </c>
      <c r="B9348" t="str">
        <f>T("   AUTRES BOISSONS FERMENTEES (CIDRE, POIRE, HYDROMEL, PAR EXEMPLE); MELANGES DE BOISSONS")</f>
        <v xml:space="preserve">   AUTRES BOISSONS FERMENTEES (CIDRE, POIRE, HYDROMEL, PAR EXEMPLE); MELANGES DE BOISSONS</v>
      </c>
      <c r="C9348" s="4">
        <v>63423</v>
      </c>
      <c r="D9348" s="4">
        <v>13183153</v>
      </c>
    </row>
    <row r="9349" spans="1:4" x14ac:dyDescent="0.25">
      <c r="A9349" t="str">
        <f>T("   230990")</f>
        <v xml:space="preserve">   230990</v>
      </c>
      <c r="B9349" t="str">
        <f>T("   AUTRES")</f>
        <v xml:space="preserve">   AUTRES</v>
      </c>
      <c r="C9349" s="4">
        <v>3986</v>
      </c>
      <c r="D9349" s="4">
        <v>1036450</v>
      </c>
    </row>
    <row r="9350" spans="1:4" x14ac:dyDescent="0.25">
      <c r="A9350" t="str">
        <f>T("   252310")</f>
        <v xml:space="preserve">   252310</v>
      </c>
      <c r="B9350" t="str">
        <f>T("   CIMENTS NON PULVERISES DITS «CLINKERS»")</f>
        <v xml:space="preserve">   CIMENTS NON PULVERISES DITS «CLINKERS»</v>
      </c>
      <c r="C9350" s="4">
        <v>20000000</v>
      </c>
      <c r="D9350" s="4">
        <v>700000000</v>
      </c>
    </row>
    <row r="9351" spans="1:4" x14ac:dyDescent="0.25">
      <c r="A9351" t="str">
        <f>T("   300320")</f>
        <v xml:space="preserve">   300320</v>
      </c>
      <c r="B9351" t="str">
        <f>T("   CONTENANT D'AUTRES ANTIBIOTIQUES")</f>
        <v xml:space="preserve">   CONTENANT D'AUTRES ANTIBIOTIQUES</v>
      </c>
      <c r="C9351" s="4">
        <v>59</v>
      </c>
      <c r="D9351" s="4">
        <v>55625</v>
      </c>
    </row>
    <row r="9352" spans="1:4" x14ac:dyDescent="0.25">
      <c r="A9352" t="str">
        <f>T("   391739")</f>
        <v xml:space="preserve">   391739</v>
      </c>
      <c r="B9352" t="str">
        <f>T("   AUTRES")</f>
        <v xml:space="preserve">   AUTRES</v>
      </c>
      <c r="C9352" s="4">
        <v>1200</v>
      </c>
      <c r="D9352" s="4">
        <v>1092501</v>
      </c>
    </row>
    <row r="9353" spans="1:4" x14ac:dyDescent="0.25">
      <c r="A9353" t="str">
        <f>T("   392210")</f>
        <v xml:space="preserve">   392210</v>
      </c>
      <c r="B9353" t="str">
        <f>T("   BAIGNOIRES, DOUCHES, EVIERS ET LAVABOS")</f>
        <v xml:space="preserve">   BAIGNOIRES, DOUCHES, EVIERS ET LAVABOS</v>
      </c>
      <c r="C9353" s="4">
        <v>12448</v>
      </c>
      <c r="D9353" s="4">
        <v>7552000</v>
      </c>
    </row>
    <row r="9354" spans="1:4" x14ac:dyDescent="0.25">
      <c r="A9354" t="str">
        <f>T("   401220")</f>
        <v xml:space="preserve">   401220</v>
      </c>
      <c r="B9354" t="str">
        <f>T("   PNEUMATIQUES USAGES")</f>
        <v xml:space="preserve">   PNEUMATIQUES USAGES</v>
      </c>
      <c r="C9354" s="4">
        <v>1000</v>
      </c>
      <c r="D9354" s="4">
        <v>2100000</v>
      </c>
    </row>
    <row r="9355" spans="1:4" x14ac:dyDescent="0.25">
      <c r="A9355" t="str">
        <f>T("   440399")</f>
        <v xml:space="preserve">   440399</v>
      </c>
      <c r="B9355" t="str">
        <f>T("   AUTRES")</f>
        <v xml:space="preserve">   AUTRES</v>
      </c>
      <c r="C9355" s="4">
        <v>62635</v>
      </c>
      <c r="D9355" s="4">
        <v>11265720</v>
      </c>
    </row>
    <row r="9356" spans="1:4" x14ac:dyDescent="0.25">
      <c r="A9356" t="str">
        <f>T("   480256")</f>
        <v xml:space="preserve">   480256</v>
      </c>
      <c r="B9356" t="str">
        <f>T("   D'UN POIDS AU M² DE 40 G OU PLUS MAIS N'EXCEDANT PAS 150 G, EN FEUILLES DONT UN COTE")</f>
        <v xml:space="preserve">   D'UN POIDS AU M² DE 40 G OU PLUS MAIS N'EXCEDANT PAS 150 G, EN FEUILLES DONT UN COTE</v>
      </c>
      <c r="C9356" s="4">
        <v>60588</v>
      </c>
      <c r="D9356" s="4">
        <v>16755632</v>
      </c>
    </row>
    <row r="9357" spans="1:4" x14ac:dyDescent="0.25">
      <c r="A9357" t="str">
        <f>T("   481840")</f>
        <v xml:space="preserve">   481840</v>
      </c>
      <c r="B9357" t="str">
        <f>T("   SERVIETTES,TAMPONS HYGIENIQUES,COUCHES POUR BEBES ET SIMILAIRES EN PAPIER")</f>
        <v xml:space="preserve">   SERVIETTES,TAMPONS HYGIENIQUES,COUCHES POUR BEBES ET SIMILAIRES EN PAPIER</v>
      </c>
      <c r="C9357" s="4">
        <v>5865</v>
      </c>
      <c r="D9357" s="4">
        <v>7646095</v>
      </c>
    </row>
    <row r="9358" spans="1:4" x14ac:dyDescent="0.25">
      <c r="A9358" t="str">
        <f>T("   482190")</f>
        <v xml:space="preserve">   482190</v>
      </c>
      <c r="B9358" t="str">
        <f>T("   AUTRES")</f>
        <v xml:space="preserve">   AUTRES</v>
      </c>
      <c r="C9358" s="4">
        <v>9072</v>
      </c>
      <c r="D9358" s="4">
        <v>9813889</v>
      </c>
    </row>
    <row r="9359" spans="1:4" x14ac:dyDescent="0.25">
      <c r="A9359" t="str">
        <f>T("   491199")</f>
        <v xml:space="preserve">   491199</v>
      </c>
      <c r="B9359" t="str">
        <f>T("   AUTRES")</f>
        <v xml:space="preserve">   AUTRES</v>
      </c>
      <c r="C9359" s="4">
        <v>68</v>
      </c>
      <c r="D9359" s="4">
        <v>547052</v>
      </c>
    </row>
    <row r="9360" spans="1:4" x14ac:dyDescent="0.25">
      <c r="A9360" t="str">
        <f>T("   611693")</f>
        <v xml:space="preserve">   611693</v>
      </c>
      <c r="B9360" t="str">
        <f>T("   DE FIBRES SYNTHETIQUES")</f>
        <v xml:space="preserve">   DE FIBRES SYNTHETIQUES</v>
      </c>
      <c r="C9360" s="4">
        <v>3</v>
      </c>
      <c r="D9360" s="4">
        <v>24028</v>
      </c>
    </row>
    <row r="9361" spans="1:4" x14ac:dyDescent="0.25">
      <c r="A9361" t="str">
        <f>T("   690510")</f>
        <v xml:space="preserve">   690510</v>
      </c>
      <c r="B9361" t="str">
        <f>T("   TUILES")</f>
        <v xml:space="preserve">   TUILES</v>
      </c>
      <c r="C9361" s="4">
        <v>395745</v>
      </c>
      <c r="D9361" s="4">
        <v>38675530</v>
      </c>
    </row>
    <row r="9362" spans="1:4" x14ac:dyDescent="0.25">
      <c r="A9362" t="str">
        <f>T("   690790")</f>
        <v xml:space="preserve">   690790</v>
      </c>
      <c r="B9362" t="str">
        <f>T("   AUTRES")</f>
        <v xml:space="preserve">   AUTRES</v>
      </c>
      <c r="C9362" s="4">
        <v>12000</v>
      </c>
      <c r="D9362" s="4">
        <v>3277176</v>
      </c>
    </row>
    <row r="9363" spans="1:4" x14ac:dyDescent="0.25">
      <c r="A9363" t="str">
        <f>T("   690890")</f>
        <v xml:space="preserve">   690890</v>
      </c>
      <c r="B9363" t="str">
        <f>T("   AUTRES")</f>
        <v xml:space="preserve">   AUTRES</v>
      </c>
      <c r="C9363" s="4">
        <v>733915</v>
      </c>
      <c r="D9363" s="4">
        <v>84559372</v>
      </c>
    </row>
    <row r="9364" spans="1:4" x14ac:dyDescent="0.25">
      <c r="A9364" t="str">
        <f>T("   691090")</f>
        <v xml:space="preserve">   691090</v>
      </c>
      <c r="B9364" t="str">
        <f>T("   AUTRES")</f>
        <v xml:space="preserve">   AUTRES</v>
      </c>
      <c r="C9364" s="4">
        <v>563</v>
      </c>
      <c r="D9364" s="4">
        <v>1865845</v>
      </c>
    </row>
    <row r="9365" spans="1:4" x14ac:dyDescent="0.25">
      <c r="A9365" t="str">
        <f>T("   701090")</f>
        <v xml:space="preserve">   701090</v>
      </c>
      <c r="B9365" t="str">
        <f>T("   AUTRES")</f>
        <v xml:space="preserve">   AUTRES</v>
      </c>
      <c r="C9365" s="4">
        <v>155628</v>
      </c>
      <c r="D9365" s="4">
        <v>73279608</v>
      </c>
    </row>
    <row r="9366" spans="1:4" x14ac:dyDescent="0.25">
      <c r="A9366" t="str">
        <f>T("   730210")</f>
        <v xml:space="preserve">   730210</v>
      </c>
      <c r="B9366" t="str">
        <f>T("   RAILS")</f>
        <v xml:space="preserve">   RAILS</v>
      </c>
      <c r="C9366" s="4">
        <v>461</v>
      </c>
      <c r="D9366" s="4">
        <v>1117100</v>
      </c>
    </row>
    <row r="9367" spans="1:4" x14ac:dyDescent="0.25">
      <c r="A9367" t="str">
        <f>T("   730900")</f>
        <v xml:space="preserve">   730900</v>
      </c>
      <c r="B9367" t="str">
        <f>T("   RESERVOIRS, FOUDRES, CUVES ET RECIPIENTS SIMILAIRES POUR TOUTES MATIERES (A L'EXCEPTION")</f>
        <v xml:space="preserve">   RESERVOIRS, FOUDRES, CUVES ET RECIPIENTS SIMILAIRES POUR TOUTES MATIERES (A L'EXCEPTION</v>
      </c>
      <c r="C9367" s="4">
        <v>5350</v>
      </c>
      <c r="D9367" s="4">
        <v>24523720</v>
      </c>
    </row>
    <row r="9368" spans="1:4" x14ac:dyDescent="0.25">
      <c r="A9368" t="str">
        <f>T("   741539")</f>
        <v xml:space="preserve">   741539</v>
      </c>
      <c r="B9368" t="str">
        <f>T("   AUTRES")</f>
        <v xml:space="preserve">   AUTRES</v>
      </c>
      <c r="C9368" s="4">
        <v>4140</v>
      </c>
      <c r="D9368" s="4">
        <v>1966568</v>
      </c>
    </row>
    <row r="9369" spans="1:4" x14ac:dyDescent="0.25">
      <c r="A9369" t="str">
        <f>T("   847180")</f>
        <v xml:space="preserve">   847180</v>
      </c>
      <c r="B9369" t="str">
        <f>T("   AUTRES UNITES DE MACHINES AUTOMATIQUES DE TRAITEMENT DE L'INFORMATION")</f>
        <v xml:space="preserve">   AUTRES UNITES DE MACHINES AUTOMATIQUES DE TRAITEMENT DE L'INFORMATION</v>
      </c>
      <c r="C9369" s="4">
        <v>3928</v>
      </c>
      <c r="D9369" s="4">
        <v>15001805</v>
      </c>
    </row>
    <row r="9370" spans="1:4" x14ac:dyDescent="0.25">
      <c r="A9370" t="str">
        <f>T("   852910")</f>
        <v xml:space="preserve">   852910</v>
      </c>
      <c r="B9370" t="str">
        <f>T("   ANTENNES ET REFLECTEURS D’ANTENNES DE TOUS TYPES; PARTIES RECONNAISSABLES COMME ETANT")</f>
        <v xml:space="preserve">   ANTENNES ET REFLECTEURS D’ANTENNES DE TOUS TYPES; PARTIES RECONNAISSABLES COMME ETANT</v>
      </c>
      <c r="C9370" s="4">
        <v>67932</v>
      </c>
      <c r="D9370" s="4">
        <v>99447472</v>
      </c>
    </row>
    <row r="9371" spans="1:4" x14ac:dyDescent="0.25">
      <c r="A9371" t="str">
        <f>T("   853529")</f>
        <v xml:space="preserve">   853529</v>
      </c>
      <c r="B9371" t="str">
        <f>T("   AUTRES")</f>
        <v xml:space="preserve">   AUTRES</v>
      </c>
      <c r="C9371" s="4">
        <v>83422</v>
      </c>
      <c r="D9371" s="4">
        <v>26257450</v>
      </c>
    </row>
    <row r="9372" spans="1:4" x14ac:dyDescent="0.25">
      <c r="A9372" t="str">
        <f>T("   853669")</f>
        <v xml:space="preserve">   853669</v>
      </c>
      <c r="B9372" t="str">
        <f>T("   AUTRES")</f>
        <v xml:space="preserve">   AUTRES</v>
      </c>
      <c r="C9372" s="4">
        <v>1689</v>
      </c>
      <c r="D9372" s="4">
        <v>4370000</v>
      </c>
    </row>
    <row r="9373" spans="1:4" x14ac:dyDescent="0.25">
      <c r="A9373" t="str">
        <f>T("   854420")</f>
        <v xml:space="preserve">   854420</v>
      </c>
      <c r="B9373" t="str">
        <f>T("   Cables coaxiaux et autres conducteurs electriques coaxiaux")</f>
        <v xml:space="preserve">   Cables coaxiaux et autres conducteurs electriques coaxiaux</v>
      </c>
      <c r="C9373" s="4">
        <v>92148</v>
      </c>
      <c r="D9373" s="4">
        <v>525203911</v>
      </c>
    </row>
    <row r="9374" spans="1:4" x14ac:dyDescent="0.25">
      <c r="A9374" t="str">
        <f>T("   870120")</f>
        <v xml:space="preserve">   870120</v>
      </c>
      <c r="B9374" t="str">
        <f>T("   TRACTEURS ROUTIERS POUR SEMIREMORQUES")</f>
        <v xml:space="preserve">   TRACTEURS ROUTIERS POUR SEMIREMORQUES</v>
      </c>
      <c r="C9374" s="4">
        <v>30510</v>
      </c>
      <c r="D9374" s="4">
        <v>16000000</v>
      </c>
    </row>
    <row r="9375" spans="1:4" x14ac:dyDescent="0.25">
      <c r="A9375" t="str">
        <f>T("   870323")</f>
        <v xml:space="preserve">   870323</v>
      </c>
      <c r="B9375" t="str">
        <f>T("   D’UNE CYLINDREE EXCEDANT 1.500 CM³ MAIS N’EXCEDANT PAS 3.000 CM³")</f>
        <v xml:space="preserve">   D’UNE CYLINDREE EXCEDANT 1.500 CM³ MAIS N’EXCEDANT PAS 3.000 CM³</v>
      </c>
      <c r="C9375" s="4">
        <v>1130</v>
      </c>
      <c r="D9375" s="4">
        <v>1310174</v>
      </c>
    </row>
    <row r="9376" spans="1:4" x14ac:dyDescent="0.25">
      <c r="A9376" t="str">
        <f>T("   870421")</f>
        <v xml:space="preserve">   870421</v>
      </c>
      <c r="B9376" t="str">
        <f>T("   D'UN POIDS EN CHARGE MAXIMAL N'EXCEDANT PAS 5 TONNES")</f>
        <v xml:space="preserve">   D'UN POIDS EN CHARGE MAXIMAL N'EXCEDANT PAS 5 TONNES</v>
      </c>
      <c r="C9376" s="4">
        <v>9240</v>
      </c>
      <c r="D9376" s="4">
        <v>8409156</v>
      </c>
    </row>
    <row r="9377" spans="1:4" x14ac:dyDescent="0.25">
      <c r="A9377" t="str">
        <f>T("   871639")</f>
        <v xml:space="preserve">   871639</v>
      </c>
      <c r="B9377" t="str">
        <f>T("   AUTRES")</f>
        <v xml:space="preserve">   AUTRES</v>
      </c>
      <c r="C9377" s="4">
        <v>17000</v>
      </c>
      <c r="D9377" s="4">
        <v>4432315</v>
      </c>
    </row>
    <row r="9378" spans="1:4" x14ac:dyDescent="0.25">
      <c r="A9378" t="str">
        <f>T("   871640")</f>
        <v xml:space="preserve">   871640</v>
      </c>
      <c r="B9378" t="str">
        <f>T("   AUTRES REMORQUES ET SEMIREMORQUES")</f>
        <v xml:space="preserve">   AUTRES REMORQUES ET SEMIREMORQUES</v>
      </c>
      <c r="C9378" s="4">
        <v>6500</v>
      </c>
      <c r="D9378" s="4">
        <v>4000000</v>
      </c>
    </row>
    <row r="9379" spans="1:4" x14ac:dyDescent="0.25">
      <c r="A9379" t="str">
        <f>T("   900410")</f>
        <v xml:space="preserve">   900410</v>
      </c>
      <c r="B9379" t="str">
        <f>T("   Lunettes solaires")</f>
        <v xml:space="preserve">   Lunettes solaires</v>
      </c>
      <c r="C9379" s="4">
        <v>18</v>
      </c>
      <c r="D9379" s="4">
        <v>154118</v>
      </c>
    </row>
    <row r="9380" spans="1:4" x14ac:dyDescent="0.25">
      <c r="A9380" t="str">
        <f>T("   960839")</f>
        <v xml:space="preserve">   960839</v>
      </c>
      <c r="B9380" t="str">
        <f>T("   AUTRES STYLOS A PLUME ET AUTRES STYLOS")</f>
        <v xml:space="preserve">   AUTRES STYLOS A PLUME ET AUTRES STYLOS</v>
      </c>
      <c r="C9380" s="4">
        <v>34</v>
      </c>
      <c r="D9380" s="4">
        <v>299747</v>
      </c>
    </row>
    <row r="9381" spans="1:4" s="5" customFormat="1" x14ac:dyDescent="0.25">
      <c r="A9381" s="5" t="str">
        <f>T("   ZZ_Total_Produit_SH6")</f>
        <v xml:space="preserve">   ZZ_Total_Produit_SH6</v>
      </c>
      <c r="B9381" s="5" t="str">
        <f>T("   ZZ_Total_Produit_SH6")</f>
        <v xml:space="preserve">   ZZ_Total_Produit_SH6</v>
      </c>
      <c r="C9381" s="1">
        <v>22148727</v>
      </c>
      <c r="D9381" s="1">
        <v>1863434140</v>
      </c>
    </row>
    <row r="9382" spans="1:4" s="5" customFormat="1" x14ac:dyDescent="0.25">
      <c r="B9382" s="5" t="str">
        <f>T("Qatar")</f>
        <v>Qatar</v>
      </c>
      <c r="C9382" s="1"/>
      <c r="D9382" s="1"/>
    </row>
    <row r="9383" spans="1:4" x14ac:dyDescent="0.25">
      <c r="A9383" t="str">
        <f>T("   390120")</f>
        <v xml:space="preserve">   390120</v>
      </c>
      <c r="B9383" t="str">
        <f>T("   POLYETHYLENE D'UNE DENSITE EGALE OU SUPERIEURE A 0,94")</f>
        <v xml:space="preserve">   POLYETHYLENE D'UNE DENSITE EGALE OU SUPERIEURE A 0,94</v>
      </c>
      <c r="C9383" s="4">
        <v>16590</v>
      </c>
      <c r="D9383" s="4">
        <v>14275329</v>
      </c>
    </row>
    <row r="9384" spans="1:4" s="5" customFormat="1" x14ac:dyDescent="0.25">
      <c r="A9384" s="5" t="str">
        <f>T("   ZZ_Total_Produit_SH6")</f>
        <v xml:space="preserve">   ZZ_Total_Produit_SH6</v>
      </c>
      <c r="B9384" s="5" t="str">
        <f>T("   ZZ_Total_Produit_SH6")</f>
        <v xml:space="preserve">   ZZ_Total_Produit_SH6</v>
      </c>
      <c r="C9384" s="1">
        <v>16590</v>
      </c>
      <c r="D9384" s="1">
        <v>14275329</v>
      </c>
    </row>
    <row r="9385" spans="1:4" s="5" customFormat="1" x14ac:dyDescent="0.25">
      <c r="B9385" s="5" t="str">
        <f>T("Réunion")</f>
        <v>Réunion</v>
      </c>
      <c r="C9385" s="1"/>
      <c r="D9385" s="1"/>
    </row>
    <row r="9386" spans="1:4" x14ac:dyDescent="0.25">
      <c r="A9386" t="str">
        <f>T("   330499")</f>
        <v xml:space="preserve">   330499</v>
      </c>
      <c r="B9386" t="str">
        <f>T("   AUTRES")</f>
        <v xml:space="preserve">   AUTRES</v>
      </c>
      <c r="C9386" s="4">
        <v>1146</v>
      </c>
      <c r="D9386" s="4">
        <v>655000</v>
      </c>
    </row>
    <row r="9387" spans="1:4" s="5" customFormat="1" x14ac:dyDescent="0.25">
      <c r="A9387" s="5" t="str">
        <f>T("   ZZ_Total_Produit_SH6")</f>
        <v xml:space="preserve">   ZZ_Total_Produit_SH6</v>
      </c>
      <c r="B9387" s="5" t="str">
        <f>T("   ZZ_Total_Produit_SH6")</f>
        <v xml:space="preserve">   ZZ_Total_Produit_SH6</v>
      </c>
      <c r="C9387" s="1">
        <v>1146</v>
      </c>
      <c r="D9387" s="1">
        <v>655000</v>
      </c>
    </row>
    <row r="9388" spans="1:4" s="5" customFormat="1" x14ac:dyDescent="0.25">
      <c r="B9388" s="5" t="str">
        <f>T("Roumanie")</f>
        <v>Roumanie</v>
      </c>
      <c r="C9388" s="1"/>
      <c r="D9388" s="1"/>
    </row>
    <row r="9389" spans="1:4" x14ac:dyDescent="0.25">
      <c r="A9389" t="str">
        <f>T("   220290")</f>
        <v xml:space="preserve">   220290</v>
      </c>
      <c r="B9389" t="str">
        <f>T("   AUTRES")</f>
        <v xml:space="preserve">   AUTRES</v>
      </c>
      <c r="C9389" s="4">
        <v>158897</v>
      </c>
      <c r="D9389" s="4">
        <v>27446022</v>
      </c>
    </row>
    <row r="9390" spans="1:4" x14ac:dyDescent="0.25">
      <c r="A9390" t="str">
        <f>T("   401110")</f>
        <v xml:space="preserve">   401110</v>
      </c>
      <c r="B9390" t="str">
        <f>T("   DES TYPES UTILISES POUR LES VOITURES DE TOURISME (Y COMPRIS LES VOITURES DU TYPE «BRE")</f>
        <v xml:space="preserve">   DES TYPES UTILISES POUR LES VOITURES DE TOURISME (Y COMPRIS LES VOITURES DU TYPE «BRE</v>
      </c>
      <c r="C9390" s="4">
        <v>7558</v>
      </c>
      <c r="D9390" s="4">
        <v>28645117</v>
      </c>
    </row>
    <row r="9391" spans="1:4" x14ac:dyDescent="0.25">
      <c r="A9391" t="str">
        <f>T("   401220")</f>
        <v xml:space="preserve">   401220</v>
      </c>
      <c r="B9391" t="str">
        <f>T("   PNEUMATIQUES USAGES")</f>
        <v xml:space="preserve">   PNEUMATIQUES USAGES</v>
      </c>
      <c r="C9391" s="4">
        <v>1000</v>
      </c>
      <c r="D9391" s="4">
        <v>482000</v>
      </c>
    </row>
    <row r="9392" spans="1:4" x14ac:dyDescent="0.25">
      <c r="A9392" t="str">
        <f>T("   630900")</f>
        <v xml:space="preserve">   630900</v>
      </c>
      <c r="B9392" t="str">
        <f>T("   ARTICLES DE FRIPERIE.")</f>
        <v xml:space="preserve">   ARTICLES DE FRIPERIE.</v>
      </c>
      <c r="C9392" s="4">
        <v>22000</v>
      </c>
      <c r="D9392" s="4">
        <v>9830694</v>
      </c>
    </row>
    <row r="9393" spans="1:4" x14ac:dyDescent="0.25">
      <c r="A9393" t="str">
        <f>T("   841830")</f>
        <v xml:space="preserve">   841830</v>
      </c>
      <c r="B9393" t="str">
        <f>T("   MEUBLES CONGELATEURSCONSERVATEURS DU TYPE COFFRE, D'UNE CAPACITE N'EXCEDANT PAS 800 ")</f>
        <v xml:space="preserve">   MEUBLES CONGELATEURSCONSERVATEURS DU TYPE COFFRE, D'UNE CAPACITE N'EXCEDANT PAS 800 </v>
      </c>
      <c r="C9393" s="4">
        <v>11533</v>
      </c>
      <c r="D9393" s="4">
        <v>22938567</v>
      </c>
    </row>
    <row r="9394" spans="1:4" x14ac:dyDescent="0.25">
      <c r="A9394" t="str">
        <f>T("   851769")</f>
        <v xml:space="preserve">   851769</v>
      </c>
      <c r="B9394" t="str">
        <f>T("   AUTRES")</f>
        <v xml:space="preserve">   AUTRES</v>
      </c>
      <c r="C9394" s="4">
        <v>4</v>
      </c>
      <c r="D9394" s="4">
        <v>720900</v>
      </c>
    </row>
    <row r="9395" spans="1:4" x14ac:dyDescent="0.25">
      <c r="A9395" t="str">
        <f>T("   870422")</f>
        <v xml:space="preserve">   870422</v>
      </c>
      <c r="B9395" t="str">
        <f>T("   D'UN POIDS EN CHARGE MAXIMAL EXCEDANT 5 TONNES MAIS N'EXCEDANT PAS 20 TONNES")</f>
        <v xml:space="preserve">   D'UN POIDS EN CHARGE MAXIMAL EXCEDANT 5 TONNES MAIS N'EXCEDANT PAS 20 TONNES</v>
      </c>
      <c r="C9395" s="4">
        <v>8000</v>
      </c>
      <c r="D9395" s="4">
        <v>2211914</v>
      </c>
    </row>
    <row r="9396" spans="1:4" s="5" customFormat="1" x14ac:dyDescent="0.25">
      <c r="A9396" s="5" t="str">
        <f>T("   ZZ_Total_Produit_SH6")</f>
        <v xml:space="preserve">   ZZ_Total_Produit_SH6</v>
      </c>
      <c r="B9396" s="5" t="str">
        <f>T("   ZZ_Total_Produit_SH6")</f>
        <v xml:space="preserve">   ZZ_Total_Produit_SH6</v>
      </c>
      <c r="C9396" s="1">
        <v>208992</v>
      </c>
      <c r="D9396" s="1">
        <v>92275214</v>
      </c>
    </row>
    <row r="9397" spans="1:4" s="5" customFormat="1" x14ac:dyDescent="0.25">
      <c r="B9397" s="5" t="str">
        <f>T("Russie, Fédération de")</f>
        <v>Russie, Fédération de</v>
      </c>
      <c r="C9397" s="1"/>
      <c r="D9397" s="1"/>
    </row>
    <row r="9398" spans="1:4" x14ac:dyDescent="0.25">
      <c r="A9398" t="str">
        <f>T("   020714")</f>
        <v xml:space="preserve">   020714</v>
      </c>
      <c r="B9398" t="str">
        <f>T("   MORCEAUX ET ABATS, CONGELES")</f>
        <v xml:space="preserve">   MORCEAUX ET ABATS, CONGELES</v>
      </c>
      <c r="C9398" s="4">
        <v>25000</v>
      </c>
      <c r="D9398" s="4">
        <v>15550000</v>
      </c>
    </row>
    <row r="9399" spans="1:4" x14ac:dyDescent="0.25">
      <c r="A9399" t="str">
        <f>T("   271011")</f>
        <v xml:space="preserve">   271011</v>
      </c>
      <c r="B9399" t="str">
        <f>T("   HUILLES DE PETROLE OU D'ESSENCE")</f>
        <v xml:space="preserve">   HUILLES DE PETROLE OU D'ESSENCE</v>
      </c>
      <c r="C9399" s="4">
        <v>50000</v>
      </c>
      <c r="D9399" s="4">
        <v>16935280</v>
      </c>
    </row>
    <row r="9400" spans="1:4" x14ac:dyDescent="0.25">
      <c r="A9400" t="str">
        <f>T("   271019")</f>
        <v xml:space="preserve">   271019</v>
      </c>
      <c r="B9400" t="str">
        <f>T("   AUTRES")</f>
        <v xml:space="preserve">   AUTRES</v>
      </c>
      <c r="C9400" s="4">
        <v>673212</v>
      </c>
      <c r="D9400" s="4">
        <v>228374510</v>
      </c>
    </row>
    <row r="9401" spans="1:4" x14ac:dyDescent="0.25">
      <c r="A9401" t="str">
        <f>T("   480256")</f>
        <v xml:space="preserve">   480256</v>
      </c>
      <c r="B9401" t="str">
        <f>T("   D'UN POIDS AU M² DE 40 G OU PLUS MAIS N'EXCEDANT PAS 150 G, EN FEUILLES DONT UN COTE")</f>
        <v xml:space="preserve">   D'UN POIDS AU M² DE 40 G OU PLUS MAIS N'EXCEDANT PAS 150 G, EN FEUILLES DONT UN COTE</v>
      </c>
      <c r="C9401" s="4">
        <v>24698</v>
      </c>
      <c r="D9401" s="4">
        <v>10898776</v>
      </c>
    </row>
    <row r="9402" spans="1:4" x14ac:dyDescent="0.25">
      <c r="A9402" t="str">
        <f>T("   480257")</f>
        <v xml:space="preserve">   480257</v>
      </c>
      <c r="B9402" t="str">
        <f>T("   AUTRES, D'UN POIDS AU M² DE 40 G OU PLUS MAIS N'EXCEDANT PAS 150 G")</f>
        <v xml:space="preserve">   AUTRES, D'UN POIDS AU M² DE 40 G OU PLUS MAIS N'EXCEDANT PAS 150 G</v>
      </c>
      <c r="C9402" s="4">
        <v>96000</v>
      </c>
      <c r="D9402" s="4">
        <v>25371221</v>
      </c>
    </row>
    <row r="9403" spans="1:4" x14ac:dyDescent="0.25">
      <c r="A9403" t="str">
        <f>T("   620590")</f>
        <v xml:space="preserve">   620590</v>
      </c>
      <c r="B9403" t="str">
        <f>T("   D'AUTRES MATIERES TEXTILES")</f>
        <v xml:space="preserve">   D'AUTRES MATIERES TEXTILES</v>
      </c>
      <c r="C9403" s="4">
        <v>1000</v>
      </c>
      <c r="D9403" s="4">
        <v>1000000</v>
      </c>
    </row>
    <row r="9404" spans="1:4" x14ac:dyDescent="0.25">
      <c r="A9404" t="str">
        <f>T("   720838")</f>
        <v xml:space="preserve">   720838</v>
      </c>
      <c r="B9404" t="str">
        <f>T("   D'UNE EPAISSEUR DE 3 MM OU PLUS MAIS INFERIEURE A 4,75 MM")</f>
        <v xml:space="preserve">   D'UNE EPAISSEUR DE 3 MM OU PLUS MAIS INFERIEURE A 4,75 MM</v>
      </c>
      <c r="C9404" s="4">
        <v>1910620</v>
      </c>
      <c r="D9404" s="4">
        <v>578383520</v>
      </c>
    </row>
    <row r="9405" spans="1:4" x14ac:dyDescent="0.25">
      <c r="A9405" t="str">
        <f>T("   720916")</f>
        <v xml:space="preserve">   720916</v>
      </c>
      <c r="B9405" t="str">
        <f>T("   D'UNE EPAISSEUR EXCEDANT 1 MM MAIS INFERIEURE A 3 MM")</f>
        <v xml:space="preserve">   D'UNE EPAISSEUR EXCEDANT 1 MM MAIS INFERIEURE A 3 MM</v>
      </c>
      <c r="C9405" s="4">
        <v>550260</v>
      </c>
      <c r="D9405" s="4">
        <v>170217212</v>
      </c>
    </row>
    <row r="9406" spans="1:4" x14ac:dyDescent="0.25">
      <c r="A9406" t="str">
        <f>T("   732394")</f>
        <v xml:space="preserve">   732394</v>
      </c>
      <c r="B9406" t="str">
        <f>T("   EN FER OU EN ACIER, EMAILLES")</f>
        <v xml:space="preserve">   EN FER OU EN ACIER, EMAILLES</v>
      </c>
      <c r="C9406" s="4">
        <v>500</v>
      </c>
      <c r="D9406" s="4">
        <v>500000</v>
      </c>
    </row>
    <row r="9407" spans="1:4" x14ac:dyDescent="0.25">
      <c r="A9407" t="str">
        <f>T("   842920")</f>
        <v xml:space="preserve">   842920</v>
      </c>
      <c r="B9407" t="str">
        <f>T("   NIVELEUSES")</f>
        <v xml:space="preserve">   NIVELEUSES</v>
      </c>
      <c r="C9407" s="4">
        <v>17292</v>
      </c>
      <c r="D9407" s="4">
        <v>15000178</v>
      </c>
    </row>
    <row r="9408" spans="1:4" x14ac:dyDescent="0.25">
      <c r="A9408" t="str">
        <f>T("   847130")</f>
        <v xml:space="preserve">   847130</v>
      </c>
      <c r="B9408" t="str">
        <f>T("   MACHINES AUTOMATIQUES DE TRAITEMENT DE L'INFORMATION PORTATIVES, D'UN POIDS N'EXCEDAN")</f>
        <v xml:space="preserve">   MACHINES AUTOMATIQUES DE TRAITEMENT DE L'INFORMATION PORTATIVES, D'UN POIDS N'EXCEDAN</v>
      </c>
      <c r="C9408" s="4">
        <v>2.5</v>
      </c>
      <c r="D9408" s="4">
        <v>60000</v>
      </c>
    </row>
    <row r="9409" spans="1:4" x14ac:dyDescent="0.25">
      <c r="A9409" t="str">
        <f>T("   847180")</f>
        <v xml:space="preserve">   847180</v>
      </c>
      <c r="B9409" t="str">
        <f>T("   AUTRES UNITES DE MACHINES AUTOMATIQUES DE TRAITEMENT DE L'INFORMATION")</f>
        <v xml:space="preserve">   AUTRES UNITES DE MACHINES AUTOMATIQUES DE TRAITEMENT DE L'INFORMATION</v>
      </c>
      <c r="C9409" s="4">
        <v>193</v>
      </c>
      <c r="D9409" s="4">
        <v>2010000</v>
      </c>
    </row>
    <row r="9410" spans="1:4" x14ac:dyDescent="0.25">
      <c r="A9410" t="str">
        <f>T("   851769")</f>
        <v xml:space="preserve">   851769</v>
      </c>
      <c r="B9410" t="str">
        <f>T("   AUTRES")</f>
        <v xml:space="preserve">   AUTRES</v>
      </c>
      <c r="C9410" s="4">
        <v>97</v>
      </c>
      <c r="D9410" s="4">
        <v>3829911</v>
      </c>
    </row>
    <row r="9411" spans="1:4" x14ac:dyDescent="0.25">
      <c r="A9411" t="str">
        <f>T("   852799")</f>
        <v xml:space="preserve">   852799</v>
      </c>
      <c r="B9411" t="str">
        <f>T("   AUTRES")</f>
        <v xml:space="preserve">   AUTRES</v>
      </c>
      <c r="C9411" s="4">
        <v>7</v>
      </c>
      <c r="D9411" s="4">
        <v>2540155</v>
      </c>
    </row>
    <row r="9412" spans="1:4" x14ac:dyDescent="0.25">
      <c r="A9412" t="str">
        <f>T("   870323")</f>
        <v xml:space="preserve">   870323</v>
      </c>
      <c r="B9412" t="str">
        <f>T("   D’UNE CYLINDREE EXCEDANT 1.500 CM³ MAIS N’EXCEDANT PAS 3.000 CM³")</f>
        <v xml:space="preserve">   D’UNE CYLINDREE EXCEDANT 1.500 CM³ MAIS N’EXCEDANT PAS 3.000 CM³</v>
      </c>
      <c r="C9412" s="4">
        <v>2402</v>
      </c>
      <c r="D9412" s="4">
        <v>4186800</v>
      </c>
    </row>
    <row r="9413" spans="1:4" x14ac:dyDescent="0.25">
      <c r="A9413" t="str">
        <f>T("   870899")</f>
        <v xml:space="preserve">   870899</v>
      </c>
      <c r="B9413" t="str">
        <f>T("   AUTRES")</f>
        <v xml:space="preserve">   AUTRES</v>
      </c>
      <c r="C9413" s="4">
        <v>3078.8</v>
      </c>
      <c r="D9413" s="4">
        <v>9438294</v>
      </c>
    </row>
    <row r="9414" spans="1:4" x14ac:dyDescent="0.25">
      <c r="A9414" t="str">
        <f>T("   901890")</f>
        <v xml:space="preserve">   901890</v>
      </c>
      <c r="B9414" t="str">
        <f>T("   AUTRES INSTRUMENTS ET APPAREILS")</f>
        <v xml:space="preserve">   AUTRES INSTRUMENTS ET APPAREILS</v>
      </c>
      <c r="C9414" s="4">
        <v>10.5</v>
      </c>
      <c r="D9414" s="4">
        <v>170000</v>
      </c>
    </row>
    <row r="9415" spans="1:4" x14ac:dyDescent="0.25">
      <c r="A9415" t="str">
        <f>T("   940350")</f>
        <v xml:space="preserve">   940350</v>
      </c>
      <c r="B9415" t="str">
        <f>T("   MEUBLES EN BOIS DES TYPES UTILISES DANS LES CHAMBRES A COUCHER")</f>
        <v xml:space="preserve">   MEUBLES EN BOIS DES TYPES UTILISES DANS LES CHAMBRES A COUCHER</v>
      </c>
      <c r="C9415" s="4">
        <v>2500</v>
      </c>
      <c r="D9415" s="4">
        <v>1500000</v>
      </c>
    </row>
    <row r="9416" spans="1:4" s="5" customFormat="1" x14ac:dyDescent="0.25">
      <c r="A9416" s="5" t="str">
        <f>T("   ZZ_Total_Produit_SH6")</f>
        <v xml:space="preserve">   ZZ_Total_Produit_SH6</v>
      </c>
      <c r="B9416" s="5" t="str">
        <f>T("   ZZ_Total_Produit_SH6")</f>
        <v xml:space="preserve">   ZZ_Total_Produit_SH6</v>
      </c>
      <c r="C9416" s="1">
        <v>3356872.8</v>
      </c>
      <c r="D9416" s="1">
        <v>1085965857</v>
      </c>
    </row>
    <row r="9417" spans="1:4" s="5" customFormat="1" x14ac:dyDescent="0.25">
      <c r="B9417" s="5" t="str">
        <f>T("Rwanda")</f>
        <v>Rwanda</v>
      </c>
      <c r="C9417" s="1"/>
      <c r="D9417" s="1"/>
    </row>
    <row r="9418" spans="1:4" x14ac:dyDescent="0.25">
      <c r="A9418" t="str">
        <f>T("   847190")</f>
        <v xml:space="preserve">   847190</v>
      </c>
      <c r="B9418" t="str">
        <f>T("   AUTRES")</f>
        <v xml:space="preserve">   AUTRES</v>
      </c>
      <c r="C9418" s="4">
        <v>2</v>
      </c>
      <c r="D9418" s="4">
        <v>1618162</v>
      </c>
    </row>
    <row r="9419" spans="1:4" x14ac:dyDescent="0.25">
      <c r="A9419" t="str">
        <f>T("   850780")</f>
        <v xml:space="preserve">   850780</v>
      </c>
      <c r="B9419" t="str">
        <f>T("   AUTRES ACCUMULATEURS")</f>
        <v xml:space="preserve">   AUTRES ACCUMULATEURS</v>
      </c>
      <c r="C9419" s="4">
        <v>2</v>
      </c>
      <c r="D9419" s="4">
        <v>494311</v>
      </c>
    </row>
    <row r="9420" spans="1:4" x14ac:dyDescent="0.25">
      <c r="A9420" t="str">
        <f>T("   852859")</f>
        <v xml:space="preserve">   852859</v>
      </c>
      <c r="B9420" t="str">
        <f>T("   AUTRES")</f>
        <v xml:space="preserve">   AUTRES</v>
      </c>
      <c r="C9420" s="4">
        <v>377</v>
      </c>
      <c r="D9420" s="4">
        <v>85000</v>
      </c>
    </row>
    <row r="9421" spans="1:4" s="5" customFormat="1" x14ac:dyDescent="0.25">
      <c r="A9421" s="5" t="str">
        <f>T("   ZZ_Total_Produit_SH6")</f>
        <v xml:space="preserve">   ZZ_Total_Produit_SH6</v>
      </c>
      <c r="B9421" s="5" t="str">
        <f>T("   ZZ_Total_Produit_SH6")</f>
        <v xml:space="preserve">   ZZ_Total_Produit_SH6</v>
      </c>
      <c r="C9421" s="1">
        <v>381</v>
      </c>
      <c r="D9421" s="1">
        <v>2197473</v>
      </c>
    </row>
    <row r="9422" spans="1:4" s="5" customFormat="1" x14ac:dyDescent="0.25">
      <c r="B9422" s="5" t="str">
        <f>T("Arabie Saoudite")</f>
        <v>Arabie Saoudite</v>
      </c>
      <c r="C9422" s="1"/>
      <c r="D9422" s="1"/>
    </row>
    <row r="9423" spans="1:4" x14ac:dyDescent="0.25">
      <c r="A9423" t="str">
        <f>T("   020727")</f>
        <v xml:space="preserve">   020727</v>
      </c>
      <c r="B9423" t="str">
        <f>T("   MORCEAUX ET ABATS, CONGELES")</f>
        <v xml:space="preserve">   MORCEAUX ET ABATS, CONGELES</v>
      </c>
      <c r="C9423" s="4">
        <v>50000</v>
      </c>
      <c r="D9423" s="4">
        <v>31100021</v>
      </c>
    </row>
    <row r="9424" spans="1:4" x14ac:dyDescent="0.25">
      <c r="A9424" t="str">
        <f>T("   200899")</f>
        <v xml:space="preserve">   200899</v>
      </c>
      <c r="B9424" t="str">
        <f>T("   AUTRES")</f>
        <v xml:space="preserve">   AUTRES</v>
      </c>
      <c r="C9424" s="4">
        <v>20875</v>
      </c>
      <c r="D9424" s="4">
        <v>4322000</v>
      </c>
    </row>
    <row r="9425" spans="1:4" x14ac:dyDescent="0.25">
      <c r="A9425" t="str">
        <f>T("   200980")</f>
        <v xml:space="preserve">   200980</v>
      </c>
      <c r="B9425" t="str">
        <f>T("   AUTRES JUS DE FRUITS OU DE LEGUMES,SANS ALCOOL,SUCRES OU NON")</f>
        <v xml:space="preserve">   AUTRES JUS DE FRUITS OU DE LEGUMES,SANS ALCOOL,SUCRES OU NON</v>
      </c>
      <c r="C9425" s="4">
        <v>68596</v>
      </c>
      <c r="D9425" s="4">
        <v>13512235</v>
      </c>
    </row>
    <row r="9426" spans="1:4" x14ac:dyDescent="0.25">
      <c r="A9426" t="str">
        <f>T("   220210")</f>
        <v xml:space="preserve">   220210</v>
      </c>
      <c r="B9426" t="str">
        <f>T("   EAUX, Y COMPRIS LES EAUX MINERALES ET LES EAUX GAZEIFIEES, ADDITIONNEES DE SUCRE OU D")</f>
        <v xml:space="preserve">   EAUX, Y COMPRIS LES EAUX MINERALES ET LES EAUX GAZEIFIEES, ADDITIONNEES DE SUCRE OU D</v>
      </c>
      <c r="C9426" s="4">
        <v>60000</v>
      </c>
      <c r="D9426" s="4">
        <v>6201818</v>
      </c>
    </row>
    <row r="9427" spans="1:4" x14ac:dyDescent="0.25">
      <c r="A9427" t="str">
        <f>T("   220290")</f>
        <v xml:space="preserve">   220290</v>
      </c>
      <c r="B9427" t="str">
        <f>T("   AUTRES")</f>
        <v xml:space="preserve">   AUTRES</v>
      </c>
      <c r="C9427" s="4">
        <v>40000</v>
      </c>
      <c r="D9427" s="4">
        <v>3550909</v>
      </c>
    </row>
    <row r="9428" spans="1:4" x14ac:dyDescent="0.25">
      <c r="A9428" t="str">
        <f>T("   271019")</f>
        <v xml:space="preserve">   271019</v>
      </c>
      <c r="B9428" t="str">
        <f>T("   AUTRES")</f>
        <v xml:space="preserve">   AUTRES</v>
      </c>
      <c r="C9428" s="4">
        <v>57594</v>
      </c>
      <c r="D9428" s="4">
        <v>26181825</v>
      </c>
    </row>
    <row r="9429" spans="1:4" x14ac:dyDescent="0.25">
      <c r="A9429" t="str">
        <f>T("   282300")</f>
        <v xml:space="preserve">   282300</v>
      </c>
      <c r="B9429" t="str">
        <f>T("   OXYDES DE TITANE.")</f>
        <v xml:space="preserve">   OXYDES DE TITANE.</v>
      </c>
      <c r="C9429" s="4">
        <v>41280</v>
      </c>
      <c r="D9429" s="4">
        <v>68322284</v>
      </c>
    </row>
    <row r="9430" spans="1:4" x14ac:dyDescent="0.25">
      <c r="A9430" t="str">
        <f>T("   320611")</f>
        <v xml:space="preserve">   320611</v>
      </c>
      <c r="B9430" t="str">
        <f>T("   CONTENANT EN POIDS 80 % OU PLUS DE DIOXYDE DE TITANE, CALCULE SUR MATIERE SECHE")</f>
        <v xml:space="preserve">   CONTENANT EN POIDS 80 % OU PLUS DE DIOXYDE DE TITANE, CALCULE SUR MATIERE SECHE</v>
      </c>
      <c r="C9430" s="4">
        <v>61280</v>
      </c>
      <c r="D9430" s="4">
        <v>95415201</v>
      </c>
    </row>
    <row r="9431" spans="1:4" x14ac:dyDescent="0.25">
      <c r="A9431" t="str">
        <f>T("   330510")</f>
        <v xml:space="preserve">   330510</v>
      </c>
      <c r="B9431" t="str">
        <f>T("   Shampooings")</f>
        <v xml:space="preserve">   Shampooings</v>
      </c>
      <c r="C9431" s="4">
        <v>100</v>
      </c>
      <c r="D9431" s="4">
        <v>50000</v>
      </c>
    </row>
    <row r="9432" spans="1:4" x14ac:dyDescent="0.25">
      <c r="A9432" t="str">
        <f>T("   340120")</f>
        <v xml:space="preserve">   340120</v>
      </c>
      <c r="B9432" t="str">
        <f>T("   SAVONS SOUS AUTRES FORMES")</f>
        <v xml:space="preserve">   SAVONS SOUS AUTRES FORMES</v>
      </c>
      <c r="C9432" s="4">
        <v>42000</v>
      </c>
      <c r="D9432" s="4">
        <v>6553805</v>
      </c>
    </row>
    <row r="9433" spans="1:4" x14ac:dyDescent="0.25">
      <c r="A9433" t="str">
        <f>T("   380850")</f>
        <v xml:space="preserve">   380850</v>
      </c>
      <c r="B9433" t="str">
        <f>T("   MARCHANDISES MENTIONNEES DANS LA NOTE 1 DE SOUSPOSITIONS DU PRESENT CHAPITRE")</f>
        <v xml:space="preserve">   MARCHANDISES MENTIONNEES DANS LA NOTE 1 DE SOUSPOSITIONS DU PRESENT CHAPITRE</v>
      </c>
      <c r="C9433" s="4">
        <v>6703</v>
      </c>
      <c r="D9433" s="4">
        <v>14930961</v>
      </c>
    </row>
    <row r="9434" spans="1:4" x14ac:dyDescent="0.25">
      <c r="A9434" t="str">
        <f>T("   390110")</f>
        <v xml:space="preserve">   390110</v>
      </c>
      <c r="B9434" t="str">
        <f>T("   POLYETHYLENE D'UNE DENSITE INFERIEURE A 0,94")</f>
        <v xml:space="preserve">   POLYETHYLENE D'UNE DENSITE INFERIEURE A 0,94</v>
      </c>
      <c r="C9434" s="4">
        <v>16632</v>
      </c>
      <c r="D9434" s="4">
        <v>14221212</v>
      </c>
    </row>
    <row r="9435" spans="1:4" x14ac:dyDescent="0.25">
      <c r="A9435" t="str">
        <f>T("   390120")</f>
        <v xml:space="preserve">   390120</v>
      </c>
      <c r="B9435" t="str">
        <f>T("   POLYETHYLENE D'UNE DENSITE EGALE OU SUPERIEURE A 0,94")</f>
        <v xml:space="preserve">   POLYETHYLENE D'UNE DENSITE EGALE OU SUPERIEURE A 0,94</v>
      </c>
      <c r="C9435" s="4">
        <v>34204</v>
      </c>
      <c r="D9435" s="4">
        <v>27512274</v>
      </c>
    </row>
    <row r="9436" spans="1:4" x14ac:dyDescent="0.25">
      <c r="A9436" t="str">
        <f>T("   390190")</f>
        <v xml:space="preserve">   390190</v>
      </c>
      <c r="B9436" t="str">
        <f>T("   AUTRES")</f>
        <v xml:space="preserve">   AUTRES</v>
      </c>
      <c r="C9436" s="4">
        <v>74250</v>
      </c>
      <c r="D9436" s="4">
        <v>67112580</v>
      </c>
    </row>
    <row r="9437" spans="1:4" x14ac:dyDescent="0.25">
      <c r="A9437" t="str">
        <f>T("   390210")</f>
        <v xml:space="preserve">   390210</v>
      </c>
      <c r="B9437" t="str">
        <f>T("   POLYPROPYLENE")</f>
        <v xml:space="preserve">   POLYPROPYLENE</v>
      </c>
      <c r="C9437" s="4">
        <v>25290</v>
      </c>
      <c r="D9437" s="4">
        <v>21477842</v>
      </c>
    </row>
    <row r="9438" spans="1:4" x14ac:dyDescent="0.25">
      <c r="A9438" t="str">
        <f>T("   392329")</f>
        <v xml:space="preserve">   392329</v>
      </c>
      <c r="B9438" t="str">
        <f>T("   EN AUTRES MATIERES PLASTIQUES")</f>
        <v xml:space="preserve">   EN AUTRES MATIERES PLASTIQUES</v>
      </c>
      <c r="C9438" s="4">
        <v>80</v>
      </c>
      <c r="D9438" s="4">
        <v>100000</v>
      </c>
    </row>
    <row r="9439" spans="1:4" x14ac:dyDescent="0.25">
      <c r="A9439" t="str">
        <f>T("   490110")</f>
        <v xml:space="preserve">   490110</v>
      </c>
      <c r="B9439" t="str">
        <f>T("   EN FEUILLETS ISOLES, MEME PLIES")</f>
        <v xml:space="preserve">   EN FEUILLETS ISOLES, MEME PLIES</v>
      </c>
      <c r="C9439" s="4">
        <v>23</v>
      </c>
      <c r="D9439" s="4">
        <v>70000</v>
      </c>
    </row>
    <row r="9440" spans="1:4" x14ac:dyDescent="0.25">
      <c r="A9440" t="str">
        <f>T("   570390")</f>
        <v xml:space="preserve">   570390</v>
      </c>
      <c r="B9440" t="str">
        <f>T("   D'AUTRES MATIERES TEXTILES")</f>
        <v xml:space="preserve">   D'AUTRES MATIERES TEXTILES</v>
      </c>
      <c r="C9440" s="4">
        <v>12348</v>
      </c>
      <c r="D9440" s="4">
        <v>6553800</v>
      </c>
    </row>
    <row r="9441" spans="1:4" x14ac:dyDescent="0.25">
      <c r="A9441" t="str">
        <f>T("   620419")</f>
        <v xml:space="preserve">   620419</v>
      </c>
      <c r="B9441" t="str">
        <f>T("   D'AUTRES MATIERES TEXTILES")</f>
        <v xml:space="preserve">   D'AUTRES MATIERES TEXTILES</v>
      </c>
      <c r="C9441" s="4">
        <v>33</v>
      </c>
      <c r="D9441" s="4">
        <v>100000</v>
      </c>
    </row>
    <row r="9442" spans="1:4" x14ac:dyDescent="0.25">
      <c r="A9442" t="str">
        <f>T("   620590")</f>
        <v xml:space="preserve">   620590</v>
      </c>
      <c r="B9442" t="str">
        <f>T("   D'AUTRES MATIERES TEXTILES")</f>
        <v xml:space="preserve">   D'AUTRES MATIERES TEXTILES</v>
      </c>
      <c r="C9442" s="4">
        <v>20000</v>
      </c>
      <c r="D9442" s="4">
        <v>1492153</v>
      </c>
    </row>
    <row r="9443" spans="1:4" x14ac:dyDescent="0.25">
      <c r="A9443" t="str">
        <f>T("   621040")</f>
        <v xml:space="preserve">   621040</v>
      </c>
      <c r="B9443" t="str">
        <f>T("   AUTRES VETEMENTS POUR HOMMES OU GARCONNETS")</f>
        <v xml:space="preserve">   AUTRES VETEMENTS POUR HOMMES OU GARCONNETS</v>
      </c>
      <c r="C9443" s="4">
        <v>46</v>
      </c>
      <c r="D9443" s="4">
        <v>8957</v>
      </c>
    </row>
    <row r="9444" spans="1:4" x14ac:dyDescent="0.25">
      <c r="A9444" t="str">
        <f>T("   621050")</f>
        <v xml:space="preserve">   621050</v>
      </c>
      <c r="B9444" t="str">
        <f>T("   AUTRES VETEMENTS POUR FEMMES OU FILLETTES")</f>
        <v xml:space="preserve">   AUTRES VETEMENTS POUR FEMMES OU FILLETTES</v>
      </c>
      <c r="C9444" s="4">
        <v>165</v>
      </c>
      <c r="D9444" s="4">
        <v>92000</v>
      </c>
    </row>
    <row r="9445" spans="1:4" x14ac:dyDescent="0.25">
      <c r="A9445" t="str">
        <f>T("   640319")</f>
        <v xml:space="preserve">   640319</v>
      </c>
      <c r="B9445" t="str">
        <f>T("   AUTRES")</f>
        <v xml:space="preserve">   AUTRES</v>
      </c>
      <c r="C9445" s="4">
        <v>136</v>
      </c>
      <c r="D9445" s="4">
        <v>97000</v>
      </c>
    </row>
    <row r="9446" spans="1:4" x14ac:dyDescent="0.25">
      <c r="A9446" t="str">
        <f>T("   640340")</f>
        <v xml:space="preserve">   640340</v>
      </c>
      <c r="B9446" t="str">
        <f>T("   AUTRES CHAUSSURES, COMPORTANT, A L'AVANT, UNE COQUILLE DE PROTECTION EN METAL")</f>
        <v xml:space="preserve">   AUTRES CHAUSSURES, COMPORTANT, A L'AVANT, UNE COQUILLE DE PROTECTION EN METAL</v>
      </c>
      <c r="C9446" s="4">
        <v>168</v>
      </c>
      <c r="D9446" s="4">
        <v>162000</v>
      </c>
    </row>
    <row r="9447" spans="1:4" x14ac:dyDescent="0.25">
      <c r="A9447" t="str">
        <f>T("   732399")</f>
        <v xml:space="preserve">   732399</v>
      </c>
      <c r="B9447" t="str">
        <f>T("   AUTRES")</f>
        <v xml:space="preserve">   AUTRES</v>
      </c>
      <c r="C9447" s="4">
        <v>21600</v>
      </c>
      <c r="D9447" s="4">
        <v>4867158</v>
      </c>
    </row>
    <row r="9448" spans="1:4" x14ac:dyDescent="0.25">
      <c r="A9448" t="str">
        <f>T("   841829")</f>
        <v xml:space="preserve">   841829</v>
      </c>
      <c r="B9448" t="str">
        <f>T("   AUTRES")</f>
        <v xml:space="preserve">   AUTRES</v>
      </c>
      <c r="C9448" s="4">
        <v>1469</v>
      </c>
      <c r="D9448" s="4">
        <v>5317031</v>
      </c>
    </row>
    <row r="9449" spans="1:4" x14ac:dyDescent="0.25">
      <c r="A9449" t="str">
        <f>T("   847130")</f>
        <v xml:space="preserve">   847130</v>
      </c>
      <c r="B9449" t="str">
        <f>T("   MACHINES AUTOMATIQUES DE TRAITEMENT DE L'INFORMATION PORTATIVES, D'UN POIDS N'EXCEDAN")</f>
        <v xml:space="preserve">   MACHINES AUTOMATIQUES DE TRAITEMENT DE L'INFORMATION PORTATIVES, D'UN POIDS N'EXCEDAN</v>
      </c>
      <c r="C9449" s="4">
        <v>42</v>
      </c>
      <c r="D9449" s="4">
        <v>499000</v>
      </c>
    </row>
    <row r="9450" spans="1:4" x14ac:dyDescent="0.25">
      <c r="A9450" t="str">
        <f>T("   847180")</f>
        <v xml:space="preserve">   847180</v>
      </c>
      <c r="B9450" t="str">
        <f>T("   AUTRES UNITES DE MACHINES AUTOMATIQUES DE TRAITEMENT DE L'INFORMATION")</f>
        <v xml:space="preserve">   AUTRES UNITES DE MACHINES AUTOMATIQUES DE TRAITEMENT DE L'INFORMATION</v>
      </c>
      <c r="C9450" s="4">
        <v>43</v>
      </c>
      <c r="D9450" s="4">
        <v>300000</v>
      </c>
    </row>
    <row r="9451" spans="1:4" x14ac:dyDescent="0.25">
      <c r="A9451" t="str">
        <f>T("   847190")</f>
        <v xml:space="preserve">   847190</v>
      </c>
      <c r="B9451" t="str">
        <f>T("   AUTRES")</f>
        <v xml:space="preserve">   AUTRES</v>
      </c>
      <c r="C9451" s="4">
        <v>58</v>
      </c>
      <c r="D9451" s="4">
        <v>350000</v>
      </c>
    </row>
    <row r="9452" spans="1:4" x14ac:dyDescent="0.25">
      <c r="A9452" t="str">
        <f>T("   850240")</f>
        <v xml:space="preserve">   850240</v>
      </c>
      <c r="B9452" t="str">
        <f>T("   CONVERTISSEURS ROTATIFS ELECTRIQUES")</f>
        <v xml:space="preserve">   CONVERTISSEURS ROTATIFS ELECTRIQUES</v>
      </c>
      <c r="C9452" s="4">
        <v>70</v>
      </c>
      <c r="D9452" s="4">
        <v>505720</v>
      </c>
    </row>
    <row r="9453" spans="1:4" x14ac:dyDescent="0.25">
      <c r="A9453" t="str">
        <f>T("   851712")</f>
        <v xml:space="preserve">   851712</v>
      </c>
      <c r="B9453" t="str">
        <f>T("   TELEPHONES POUR RESEAUX CELLULAIRES ET POUR AUTRES RESEAUX SANS FIL")</f>
        <v xml:space="preserve">   TELEPHONES POUR RESEAUX CELLULAIRES ET POUR AUTRES RESEAUX SANS FIL</v>
      </c>
      <c r="C9453" s="4">
        <v>5</v>
      </c>
      <c r="D9453" s="4">
        <v>278000</v>
      </c>
    </row>
    <row r="9454" spans="1:4" x14ac:dyDescent="0.25">
      <c r="A9454" t="str">
        <f>T("   851781")</f>
        <v xml:space="preserve">   851781</v>
      </c>
      <c r="B9454" t="str">
        <f>T("   AUTRES APPAREILS POUR LA TELEPHONIE")</f>
        <v xml:space="preserve">   AUTRES APPAREILS POUR LA TELEPHONIE</v>
      </c>
      <c r="C9454" s="4">
        <v>10</v>
      </c>
      <c r="D9454" s="4">
        <v>150000</v>
      </c>
    </row>
    <row r="9455" spans="1:4" x14ac:dyDescent="0.25">
      <c r="A9455" t="str">
        <f>T("   852849")</f>
        <v xml:space="preserve">   852849</v>
      </c>
      <c r="B9455" t="str">
        <f>T("   AUTRES")</f>
        <v xml:space="preserve">   AUTRES</v>
      </c>
      <c r="C9455" s="4">
        <v>47.4</v>
      </c>
      <c r="D9455" s="4">
        <v>70000</v>
      </c>
    </row>
    <row r="9456" spans="1:4" x14ac:dyDescent="0.25">
      <c r="A9456" t="str">
        <f>T("   870324")</f>
        <v xml:space="preserve">   870324</v>
      </c>
      <c r="B9456" t="str">
        <f>T("   D’UNE CYLINDREE EXCEDANT 3.000 CM³")</f>
        <v xml:space="preserve">   D’UNE CYLINDREE EXCEDANT 3.000 CM³</v>
      </c>
      <c r="C9456" s="4">
        <v>1500</v>
      </c>
      <c r="D9456" s="4">
        <v>4035945</v>
      </c>
    </row>
    <row r="9457" spans="1:4" x14ac:dyDescent="0.25">
      <c r="A9457" t="str">
        <f>T("   870899")</f>
        <v xml:space="preserve">   870899</v>
      </c>
      <c r="B9457" t="str">
        <f>T("   AUTRES")</f>
        <v xml:space="preserve">   AUTRES</v>
      </c>
      <c r="C9457" s="4">
        <v>410.7</v>
      </c>
      <c r="D9457" s="4">
        <v>15351603</v>
      </c>
    </row>
    <row r="9458" spans="1:4" x14ac:dyDescent="0.25">
      <c r="A9458" t="str">
        <f>T("   901819")</f>
        <v xml:space="preserve">   901819</v>
      </c>
      <c r="B9458" t="str">
        <f>T("   AUTRES")</f>
        <v xml:space="preserve">   AUTRES</v>
      </c>
      <c r="C9458" s="4">
        <v>67</v>
      </c>
      <c r="D9458" s="4">
        <v>400000</v>
      </c>
    </row>
    <row r="9459" spans="1:4" x14ac:dyDescent="0.25">
      <c r="A9459" t="str">
        <f>T("   940360")</f>
        <v xml:space="preserve">   940360</v>
      </c>
      <c r="B9459" t="str">
        <f>T("   Autres meubles en bois")</f>
        <v xml:space="preserve">   Autres meubles en bois</v>
      </c>
      <c r="C9459" s="4">
        <v>2500</v>
      </c>
      <c r="D9459" s="4">
        <v>2500000</v>
      </c>
    </row>
    <row r="9460" spans="1:4" x14ac:dyDescent="0.25">
      <c r="A9460" t="str">
        <f>T("   940389")</f>
        <v xml:space="preserve">   940389</v>
      </c>
      <c r="B9460" t="str">
        <f>T("   AUTRES")</f>
        <v xml:space="preserve">   AUTRES</v>
      </c>
      <c r="C9460" s="4">
        <v>10000</v>
      </c>
      <c r="D9460" s="4">
        <v>2184599</v>
      </c>
    </row>
    <row r="9461" spans="1:4" s="5" customFormat="1" x14ac:dyDescent="0.25">
      <c r="A9461" s="5" t="str">
        <f>T("   ZZ_Total_Produit_SH6")</f>
        <v xml:space="preserve">   ZZ_Total_Produit_SH6</v>
      </c>
      <c r="B9461" s="5" t="str">
        <f>T("   ZZ_Total_Produit_SH6")</f>
        <v xml:space="preserve">   ZZ_Total_Produit_SH6</v>
      </c>
      <c r="C9461" s="1">
        <v>669625.1</v>
      </c>
      <c r="D9461" s="1">
        <v>445949933</v>
      </c>
    </row>
    <row r="9462" spans="1:4" s="5" customFormat="1" x14ac:dyDescent="0.25">
      <c r="B9462" s="5" t="str">
        <f>T("Seychelles")</f>
        <v>Seychelles</v>
      </c>
      <c r="C9462" s="1"/>
      <c r="D9462" s="1"/>
    </row>
    <row r="9463" spans="1:4" x14ac:dyDescent="0.25">
      <c r="A9463" t="str">
        <f>T("   220429")</f>
        <v xml:space="preserve">   220429</v>
      </c>
      <c r="B9463" t="str">
        <f>T("   AUTRES")</f>
        <v xml:space="preserve">   AUTRES</v>
      </c>
      <c r="C9463" s="4">
        <v>20000</v>
      </c>
      <c r="D9463" s="4">
        <v>9308774</v>
      </c>
    </row>
    <row r="9464" spans="1:4" x14ac:dyDescent="0.25">
      <c r="A9464" t="str">
        <f>T("   441510")</f>
        <v xml:space="preserve">   441510</v>
      </c>
      <c r="B9464" t="str">
        <f>T("   CAISSES, CAISSETTES, CAGEOTS, CYLINDRES ET EMBALLAGES SIMILAIRES; TAMBOURS (TOURETS)")</f>
        <v xml:space="preserve">   CAISSES, CAISSETTES, CAGEOTS, CYLINDRES ET EMBALLAGES SIMILAIRES; TAMBOURS (TOURETS)</v>
      </c>
      <c r="C9464" s="4">
        <v>2660</v>
      </c>
      <c r="D9464" s="4">
        <v>8397921</v>
      </c>
    </row>
    <row r="9465" spans="1:4" s="5" customFormat="1" x14ac:dyDescent="0.25">
      <c r="A9465" s="5" t="str">
        <f>T("   ZZ_Total_Produit_SH6")</f>
        <v xml:space="preserve">   ZZ_Total_Produit_SH6</v>
      </c>
      <c r="B9465" s="5" t="str">
        <f>T("   ZZ_Total_Produit_SH6")</f>
        <v xml:space="preserve">   ZZ_Total_Produit_SH6</v>
      </c>
      <c r="C9465" s="1">
        <v>22660</v>
      </c>
      <c r="D9465" s="1">
        <v>17706695</v>
      </c>
    </row>
    <row r="9466" spans="1:4" s="5" customFormat="1" x14ac:dyDescent="0.25">
      <c r="B9466" s="5" t="str">
        <f>T("Soudan")</f>
        <v>Soudan</v>
      </c>
      <c r="C9466" s="1"/>
      <c r="D9466" s="1"/>
    </row>
    <row r="9467" spans="1:4" x14ac:dyDescent="0.25">
      <c r="A9467" t="str">
        <f>T("   620590")</f>
        <v xml:space="preserve">   620590</v>
      </c>
      <c r="B9467" t="str">
        <f>T("   D'AUTRES MATIERES TEXTILES")</f>
        <v xml:space="preserve">   D'AUTRES MATIERES TEXTILES</v>
      </c>
      <c r="C9467" s="4">
        <v>225</v>
      </c>
      <c r="D9467" s="4">
        <v>40000</v>
      </c>
    </row>
    <row r="9468" spans="1:4" s="5" customFormat="1" x14ac:dyDescent="0.25">
      <c r="A9468" s="5" t="str">
        <f>T("   ZZ_Total_Produit_SH6")</f>
        <v xml:space="preserve">   ZZ_Total_Produit_SH6</v>
      </c>
      <c r="B9468" s="5" t="str">
        <f>T("   ZZ_Total_Produit_SH6")</f>
        <v xml:space="preserve">   ZZ_Total_Produit_SH6</v>
      </c>
      <c r="C9468" s="1">
        <v>225</v>
      </c>
      <c r="D9468" s="1">
        <v>40000</v>
      </c>
    </row>
    <row r="9469" spans="1:4" s="5" customFormat="1" x14ac:dyDescent="0.25">
      <c r="B9469" s="5" t="str">
        <f>T("Suède")</f>
        <v>Suède</v>
      </c>
      <c r="C9469" s="1"/>
      <c r="D9469" s="1"/>
    </row>
    <row r="9470" spans="1:4" x14ac:dyDescent="0.25">
      <c r="A9470" t="str">
        <f>T("   020712")</f>
        <v xml:space="preserve">   020712</v>
      </c>
      <c r="B9470" t="str">
        <f>T("   NON DECOUPES EN MORCEAUX, CONGELES")</f>
        <v xml:space="preserve">   NON DECOUPES EN MORCEAUX, CONGELES</v>
      </c>
      <c r="C9470" s="4">
        <v>50000</v>
      </c>
      <c r="D9470" s="4">
        <v>31100376</v>
      </c>
    </row>
    <row r="9471" spans="1:4" x14ac:dyDescent="0.25">
      <c r="A9471" t="str">
        <f>T("   020714")</f>
        <v xml:space="preserve">   020714</v>
      </c>
      <c r="B9471" t="str">
        <f>T("   MORCEAUX ET ABATS, CONGELES")</f>
        <v xml:space="preserve">   MORCEAUX ET ABATS, CONGELES</v>
      </c>
      <c r="C9471" s="4">
        <v>25000</v>
      </c>
      <c r="D9471" s="4">
        <v>12440000</v>
      </c>
    </row>
    <row r="9472" spans="1:4" x14ac:dyDescent="0.25">
      <c r="A9472" t="str">
        <f>T("   271011")</f>
        <v xml:space="preserve">   271011</v>
      </c>
      <c r="B9472" t="str">
        <f>T("   HUILLES DE PETROLE OU D'ESSENCE")</f>
        <v xml:space="preserve">   HUILLES DE PETROLE OU D'ESSENCE</v>
      </c>
      <c r="C9472" s="4">
        <v>829299</v>
      </c>
      <c r="D9472" s="4">
        <v>382515625</v>
      </c>
    </row>
    <row r="9473" spans="1:4" x14ac:dyDescent="0.25">
      <c r="A9473" t="str">
        <f>T("   271500")</f>
        <v xml:space="preserve">   271500</v>
      </c>
      <c r="B9473" t="str">
        <f>T("   MELANGES BITUMINEUX A BASE D'ASPHALTE OU DE BITUME NATURELS, DE BITUME DE PETROLE, DE G")</f>
        <v xml:space="preserve">   MELANGES BITUMINEUX A BASE D'ASPHALTE OU DE BITUME NATURELS, DE BITUME DE PETROLE, DE G</v>
      </c>
      <c r="C9473" s="4">
        <v>2</v>
      </c>
      <c r="D9473" s="4">
        <v>218468</v>
      </c>
    </row>
    <row r="9474" spans="1:4" x14ac:dyDescent="0.25">
      <c r="A9474" t="str">
        <f>T("   382200")</f>
        <v xml:space="preserve">   382200</v>
      </c>
      <c r="B9474" t="str">
        <f>T("   REACTIFS DE DIAGNOSTIC OU DE LABORATOIRE SUR TOUT SUPPORT ET REACTIFS DE DIAGNOSTIC OU")</f>
        <v xml:space="preserve">   REACTIFS DE DIAGNOSTIC OU DE LABORATOIRE SUR TOUT SUPPORT ET REACTIFS DE DIAGNOSTIC OU</v>
      </c>
      <c r="C9474" s="4">
        <v>37</v>
      </c>
      <c r="D9474" s="4">
        <v>879294</v>
      </c>
    </row>
    <row r="9475" spans="1:4" x14ac:dyDescent="0.25">
      <c r="A9475" t="str">
        <f>T("   391910")</f>
        <v xml:space="preserve">   391910</v>
      </c>
      <c r="B9475" t="str">
        <f>T("   EN ROULEAUX D'UNE LARGEUR N'EXCEDANT PAS 20 CM")</f>
        <v xml:space="preserve">   EN ROULEAUX D'UNE LARGEUR N'EXCEDANT PAS 20 CM</v>
      </c>
      <c r="C9475" s="4">
        <v>11</v>
      </c>
      <c r="D9475" s="4">
        <v>330492</v>
      </c>
    </row>
    <row r="9476" spans="1:4" x14ac:dyDescent="0.25">
      <c r="A9476" t="str">
        <f>T("   392690")</f>
        <v xml:space="preserve">   392690</v>
      </c>
      <c r="B9476" t="str">
        <f>T("   AUTRES")</f>
        <v xml:space="preserve">   AUTRES</v>
      </c>
      <c r="C9476" s="4">
        <v>1346</v>
      </c>
      <c r="D9476" s="4">
        <v>591166</v>
      </c>
    </row>
    <row r="9477" spans="1:4" x14ac:dyDescent="0.25">
      <c r="A9477" t="str">
        <f>T("   441112")</f>
        <v xml:space="preserve">   441112</v>
      </c>
      <c r="B9477" t="str">
        <f>T("   D'UNE EPAISSEUR N'EXCEDANT PAS 5 MM")</f>
        <v xml:space="preserve">   D'UNE EPAISSEUR N'EXCEDANT PAS 5 MM</v>
      </c>
      <c r="C9477" s="4">
        <v>280224</v>
      </c>
      <c r="D9477" s="4">
        <v>37055412</v>
      </c>
    </row>
    <row r="9478" spans="1:4" x14ac:dyDescent="0.25">
      <c r="A9478" t="str">
        <f>T("   441820")</f>
        <v xml:space="preserve">   441820</v>
      </c>
      <c r="B9478" t="str">
        <f>T("   PORTES ET LEURS CADRES, CHAMBRANLES ET SEUILS")</f>
        <v xml:space="preserve">   PORTES ET LEURS CADRES, CHAMBRANLES ET SEUILS</v>
      </c>
      <c r="C9478" s="4">
        <v>60242</v>
      </c>
      <c r="D9478" s="4">
        <v>22501913</v>
      </c>
    </row>
    <row r="9479" spans="1:4" x14ac:dyDescent="0.25">
      <c r="A9479" t="str">
        <f>T("   480256")</f>
        <v xml:space="preserve">   480256</v>
      </c>
      <c r="B9479" t="str">
        <f>T("   D'UN POIDS AU M² DE 40 G OU PLUS MAIS N'EXCEDANT PAS 150 G, EN FEUILLES DONT UN COTE")</f>
        <v xml:space="preserve">   D'UN POIDS AU M² DE 40 G OU PLUS MAIS N'EXCEDANT PAS 150 G, EN FEUILLES DONT UN COTE</v>
      </c>
      <c r="C9479" s="4">
        <v>20196</v>
      </c>
      <c r="D9479" s="4">
        <v>10556902</v>
      </c>
    </row>
    <row r="9480" spans="1:4" x14ac:dyDescent="0.25">
      <c r="A9480" t="str">
        <f>T("   480257")</f>
        <v xml:space="preserve">   480257</v>
      </c>
      <c r="B9480" t="str">
        <f>T("   AUTRES, D'UN POIDS AU M² DE 40 G OU PLUS MAIS N'EXCEDANT PAS 150 G")</f>
        <v xml:space="preserve">   AUTRES, D'UN POIDS AU M² DE 40 G OU PLUS MAIS N'EXCEDANT PAS 150 G</v>
      </c>
      <c r="C9480" s="4">
        <v>2003900</v>
      </c>
      <c r="D9480" s="4">
        <v>532852766</v>
      </c>
    </row>
    <row r="9481" spans="1:4" x14ac:dyDescent="0.25">
      <c r="A9481" t="str">
        <f>T("   480269")</f>
        <v xml:space="preserve">   480269</v>
      </c>
      <c r="B9481" t="str">
        <f>T("   AUTRES")</f>
        <v xml:space="preserve">   AUTRES</v>
      </c>
      <c r="C9481" s="4">
        <v>40392</v>
      </c>
      <c r="D9481" s="4">
        <v>21109868</v>
      </c>
    </row>
    <row r="9482" spans="1:4" x14ac:dyDescent="0.25">
      <c r="A9482" t="str">
        <f>T("   481029")</f>
        <v xml:space="preserve">   481029</v>
      </c>
      <c r="B9482" t="str">
        <f>T("   AUTRES")</f>
        <v xml:space="preserve">   AUTRES</v>
      </c>
      <c r="C9482" s="4">
        <v>40617</v>
      </c>
      <c r="D9482" s="4">
        <v>19099796</v>
      </c>
    </row>
    <row r="9483" spans="1:4" x14ac:dyDescent="0.25">
      <c r="A9483" t="str">
        <f>T("   491000")</f>
        <v xml:space="preserve">   491000</v>
      </c>
      <c r="B9483" t="str">
        <f>T("   CALENDRIERS DE TOUS GENRES, IMPRIMES, Y COMPRIS LES BLOCS DE CALENDRIERS A EFFEUILLER.")</f>
        <v xml:space="preserve">   CALENDRIERS DE TOUS GENRES, IMPRIMES, Y COMPRIS LES BLOCS DE CALENDRIERS A EFFEUILLER.</v>
      </c>
      <c r="C9483" s="4">
        <v>145</v>
      </c>
      <c r="D9483" s="4">
        <v>156900</v>
      </c>
    </row>
    <row r="9484" spans="1:4" x14ac:dyDescent="0.25">
      <c r="A9484" t="str">
        <f>T("   621040")</f>
        <v xml:space="preserve">   621040</v>
      </c>
      <c r="B9484" t="str">
        <f>T("   AUTRES VETEMENTS POUR HOMMES OU GARCONNETS")</f>
        <v xml:space="preserve">   AUTRES VETEMENTS POUR HOMMES OU GARCONNETS</v>
      </c>
      <c r="C9484" s="4">
        <v>5346</v>
      </c>
      <c r="D9484" s="4">
        <v>875369</v>
      </c>
    </row>
    <row r="9485" spans="1:4" x14ac:dyDescent="0.25">
      <c r="A9485" t="str">
        <f>T("   630900")</f>
        <v xml:space="preserve">   630900</v>
      </c>
      <c r="B9485" t="str">
        <f>T("   ARTICLES DE FRIPERIE.")</f>
        <v xml:space="preserve">   ARTICLES DE FRIPERIE.</v>
      </c>
      <c r="C9485" s="4">
        <v>4500</v>
      </c>
      <c r="D9485" s="4">
        <v>524768</v>
      </c>
    </row>
    <row r="9486" spans="1:4" x14ac:dyDescent="0.25">
      <c r="A9486" t="str">
        <f>T("   690890")</f>
        <v xml:space="preserve">   690890</v>
      </c>
      <c r="B9486" t="str">
        <f>T("   AUTRES")</f>
        <v xml:space="preserve">   AUTRES</v>
      </c>
      <c r="C9486" s="4">
        <v>244287</v>
      </c>
      <c r="D9486" s="4">
        <v>29492371</v>
      </c>
    </row>
    <row r="9487" spans="1:4" x14ac:dyDescent="0.25">
      <c r="A9487" t="str">
        <f>T("   730630")</f>
        <v xml:space="preserve">   730630</v>
      </c>
      <c r="B9487" t="str">
        <f>T("   AUTRES, SOUDES, DE SECTION CIRCULAIRE, EN FER OU EN ACIERS NON ALLIES")</f>
        <v xml:space="preserve">   AUTRES, SOUDES, DE SECTION CIRCULAIRE, EN FER OU EN ACIERS NON ALLIES</v>
      </c>
      <c r="C9487" s="4">
        <v>105700</v>
      </c>
      <c r="D9487" s="4">
        <v>25861216</v>
      </c>
    </row>
    <row r="9488" spans="1:4" x14ac:dyDescent="0.25">
      <c r="A9488" t="str">
        <f>T("   730890")</f>
        <v xml:space="preserve">   730890</v>
      </c>
      <c r="B9488" t="str">
        <f>T("   AUTRES")</f>
        <v xml:space="preserve">   AUTRES</v>
      </c>
      <c r="C9488" s="4">
        <v>17927</v>
      </c>
      <c r="D9488" s="4">
        <v>57522720</v>
      </c>
    </row>
    <row r="9489" spans="1:4" x14ac:dyDescent="0.25">
      <c r="A9489" t="str">
        <f>T("   731819")</f>
        <v xml:space="preserve">   731819</v>
      </c>
      <c r="B9489" t="str">
        <f>T("   AUTRES")</f>
        <v xml:space="preserve">   AUTRES</v>
      </c>
      <c r="C9489" s="4">
        <v>513</v>
      </c>
      <c r="D9489" s="4">
        <v>19688032</v>
      </c>
    </row>
    <row r="9490" spans="1:4" x14ac:dyDescent="0.25">
      <c r="A9490" t="str">
        <f>T("   741999")</f>
        <v xml:space="preserve">   741999</v>
      </c>
      <c r="B9490" t="str">
        <f>T("   AUTRES")</f>
        <v xml:space="preserve">   AUTRES</v>
      </c>
      <c r="C9490" s="4">
        <v>515</v>
      </c>
      <c r="D9490" s="4">
        <v>19720174</v>
      </c>
    </row>
    <row r="9491" spans="1:4" x14ac:dyDescent="0.25">
      <c r="A9491" t="str">
        <f>T("   761699")</f>
        <v xml:space="preserve">   761699</v>
      </c>
      <c r="B9491" t="str">
        <f>T("   AUTRES")</f>
        <v xml:space="preserve">   AUTRES</v>
      </c>
      <c r="C9491" s="4">
        <v>180</v>
      </c>
      <c r="D9491" s="4">
        <v>82449585</v>
      </c>
    </row>
    <row r="9492" spans="1:4" x14ac:dyDescent="0.25">
      <c r="A9492" t="str">
        <f>T("   820130")</f>
        <v xml:space="preserve">   820130</v>
      </c>
      <c r="B9492" t="str">
        <f>T("   Pioches, pics, houes, binettes, rateaux et racloirs")</f>
        <v xml:space="preserve">   Pioches, pics, houes, binettes, rateaux et racloirs</v>
      </c>
      <c r="C9492" s="4">
        <v>26500</v>
      </c>
      <c r="D9492" s="4">
        <v>8277023</v>
      </c>
    </row>
    <row r="9493" spans="1:4" x14ac:dyDescent="0.25">
      <c r="A9493" t="str">
        <f>T("   820713")</f>
        <v xml:space="preserve">   820713</v>
      </c>
      <c r="B9493" t="str">
        <f>T("   AVEC PARTIE TRAVAILLANTE EN CERMETS")</f>
        <v xml:space="preserve">   AVEC PARTIE TRAVAILLANTE EN CERMETS</v>
      </c>
      <c r="C9493" s="4">
        <v>33</v>
      </c>
      <c r="D9493" s="4">
        <v>856434</v>
      </c>
    </row>
    <row r="9494" spans="1:4" x14ac:dyDescent="0.25">
      <c r="A9494" t="str">
        <f>T("   830140")</f>
        <v xml:space="preserve">   830140</v>
      </c>
      <c r="B9494" t="str">
        <f>T("   AUTRES SERRURES; VERROUS")</f>
        <v xml:space="preserve">   AUTRES SERRURES; VERROUS</v>
      </c>
      <c r="C9494" s="4">
        <v>8129</v>
      </c>
      <c r="D9494" s="4">
        <v>2752625</v>
      </c>
    </row>
    <row r="9495" spans="1:4" x14ac:dyDescent="0.25">
      <c r="A9495" t="str">
        <f>T("   840991")</f>
        <v xml:space="preserve">   840991</v>
      </c>
      <c r="B9495" t="str">
        <f>T("   RECONNAISSABLES COMME ETANT EXCLUSIVEMENT OU PRINCIPALEMENT DESTINEES AUX MOTEURS A")</f>
        <v xml:space="preserve">   RECONNAISSABLES COMME ETANT EXCLUSIVEMENT OU PRINCIPALEMENT DESTINEES AUX MOTEURS A</v>
      </c>
      <c r="C9495" s="4">
        <v>50</v>
      </c>
      <c r="D9495" s="4">
        <v>1108113</v>
      </c>
    </row>
    <row r="9496" spans="1:4" x14ac:dyDescent="0.25">
      <c r="A9496" t="str">
        <f>T("   841459")</f>
        <v xml:space="preserve">   841459</v>
      </c>
      <c r="B9496" t="str">
        <f>T("   AUTRES")</f>
        <v xml:space="preserve">   AUTRES</v>
      </c>
      <c r="C9496" s="4">
        <v>8220</v>
      </c>
      <c r="D9496" s="4">
        <v>1155494</v>
      </c>
    </row>
    <row r="9497" spans="1:4" x14ac:dyDescent="0.25">
      <c r="A9497" t="str">
        <f>T("   841950")</f>
        <v xml:space="preserve">   841950</v>
      </c>
      <c r="B9497" t="str">
        <f>T("   Echangeurs de chaleur")</f>
        <v xml:space="preserve">   Echangeurs de chaleur</v>
      </c>
      <c r="C9497" s="4">
        <v>4039</v>
      </c>
      <c r="D9497" s="4">
        <v>2042568</v>
      </c>
    </row>
    <row r="9498" spans="1:4" x14ac:dyDescent="0.25">
      <c r="A9498" t="str">
        <f>T("   841960")</f>
        <v xml:space="preserve">   841960</v>
      </c>
      <c r="B9498" t="str">
        <f>T("   APPAREILS ET DISPOSITIFS POUR LA LIQUEFACTION DE L'AIR OU D'AUTRES GAZ")</f>
        <v xml:space="preserve">   APPAREILS ET DISPOSITIFS POUR LA LIQUEFACTION DE L'AIR OU D'AUTRES GAZ</v>
      </c>
      <c r="C9498" s="4">
        <v>7077</v>
      </c>
      <c r="D9498" s="4">
        <v>2995680</v>
      </c>
    </row>
    <row r="9499" spans="1:4" x14ac:dyDescent="0.25">
      <c r="A9499" t="str">
        <f>T("   842199")</f>
        <v xml:space="preserve">   842199</v>
      </c>
      <c r="B9499" t="str">
        <f>T("   AUTRES")</f>
        <v xml:space="preserve">   AUTRES</v>
      </c>
      <c r="C9499" s="4">
        <v>0.1</v>
      </c>
      <c r="D9499" s="4">
        <v>116269</v>
      </c>
    </row>
    <row r="9500" spans="1:4" x14ac:dyDescent="0.25">
      <c r="A9500" t="str">
        <f>T("   842790")</f>
        <v xml:space="preserve">   842790</v>
      </c>
      <c r="B9500" t="str">
        <f>T("   AUTRES CHARIOTS")</f>
        <v xml:space="preserve">   AUTRES CHARIOTS</v>
      </c>
      <c r="C9500" s="4">
        <v>145200</v>
      </c>
      <c r="D9500" s="4">
        <v>458416334</v>
      </c>
    </row>
    <row r="9501" spans="1:4" x14ac:dyDescent="0.25">
      <c r="A9501" t="str">
        <f>T("   843120")</f>
        <v xml:space="preserve">   843120</v>
      </c>
      <c r="B9501" t="str">
        <f>T("   DE MACHINES OU APPAREILS DU N° 84.27")</f>
        <v xml:space="preserve">   DE MACHINES OU APPAREILS DU N° 84.27</v>
      </c>
      <c r="C9501" s="4">
        <v>183.3</v>
      </c>
      <c r="D9501" s="4">
        <v>15504606</v>
      </c>
    </row>
    <row r="9502" spans="1:4" x14ac:dyDescent="0.25">
      <c r="A9502" t="str">
        <f>T("   843139")</f>
        <v xml:space="preserve">   843139</v>
      </c>
      <c r="B9502" t="str">
        <f>T("   AUTRES")</f>
        <v xml:space="preserve">   AUTRES</v>
      </c>
      <c r="C9502" s="4">
        <v>4347.7</v>
      </c>
      <c r="D9502" s="4">
        <v>142857291</v>
      </c>
    </row>
    <row r="9503" spans="1:4" x14ac:dyDescent="0.25">
      <c r="A9503" t="str">
        <f>T("   843143")</f>
        <v xml:space="preserve">   843143</v>
      </c>
      <c r="B9503" t="str">
        <f>T("   PARTIES DE MACHINES DE SONDAGE OU DE FORAGE DES N°S 8430.41 OU 8430.49")</f>
        <v xml:space="preserve">   PARTIES DE MACHINES DE SONDAGE OU DE FORAGE DES N°S 8430.41 OU 8430.49</v>
      </c>
      <c r="C9503" s="4">
        <v>24</v>
      </c>
      <c r="D9503" s="4">
        <v>949338</v>
      </c>
    </row>
    <row r="9504" spans="1:4" x14ac:dyDescent="0.25">
      <c r="A9504" t="str">
        <f>T("   843149")</f>
        <v xml:space="preserve">   843149</v>
      </c>
      <c r="B9504" t="str">
        <f>T("   AUTRES")</f>
        <v xml:space="preserve">   AUTRES</v>
      </c>
      <c r="C9504" s="4">
        <v>79</v>
      </c>
      <c r="D9504" s="4">
        <v>8681162</v>
      </c>
    </row>
    <row r="9505" spans="1:4" x14ac:dyDescent="0.25">
      <c r="A9505" t="str">
        <f>T("   847190")</f>
        <v xml:space="preserve">   847190</v>
      </c>
      <c r="B9505" t="str">
        <f>T("   AUTRES")</f>
        <v xml:space="preserve">   AUTRES</v>
      </c>
      <c r="C9505" s="4">
        <v>600</v>
      </c>
      <c r="D9505" s="4">
        <v>66384972</v>
      </c>
    </row>
    <row r="9506" spans="1:4" x14ac:dyDescent="0.25">
      <c r="A9506" t="str">
        <f>T("   847290")</f>
        <v xml:space="preserve">   847290</v>
      </c>
      <c r="B9506" t="str">
        <f>T("   AUTRES")</f>
        <v xml:space="preserve">   AUTRES</v>
      </c>
      <c r="C9506" s="4">
        <v>45</v>
      </c>
      <c r="D9506" s="4">
        <v>150000</v>
      </c>
    </row>
    <row r="9507" spans="1:4" x14ac:dyDescent="0.25">
      <c r="A9507" t="str">
        <f>T("   847490")</f>
        <v xml:space="preserve">   847490</v>
      </c>
      <c r="B9507" t="str">
        <f>T("   PARTIES")</f>
        <v xml:space="preserve">   PARTIES</v>
      </c>
      <c r="C9507" s="4">
        <v>390</v>
      </c>
      <c r="D9507" s="4">
        <v>532121</v>
      </c>
    </row>
    <row r="9508" spans="1:4" x14ac:dyDescent="0.25">
      <c r="A9508" t="str">
        <f>T("   850440")</f>
        <v xml:space="preserve">   850440</v>
      </c>
      <c r="B9508" t="str">
        <f>T("   CONVERTISSEURS STATIQUES")</f>
        <v xml:space="preserve">   CONVERTISSEURS STATIQUES</v>
      </c>
      <c r="C9508" s="4">
        <v>26</v>
      </c>
      <c r="D9508" s="4">
        <v>662347</v>
      </c>
    </row>
    <row r="9509" spans="1:4" x14ac:dyDescent="0.25">
      <c r="A9509" t="str">
        <f>T("   850490")</f>
        <v xml:space="preserve">   850490</v>
      </c>
      <c r="B9509" t="str">
        <f>T("   PARTIES")</f>
        <v xml:space="preserve">   PARTIES</v>
      </c>
      <c r="C9509" s="4">
        <v>6573</v>
      </c>
      <c r="D9509" s="4">
        <v>25340574</v>
      </c>
    </row>
    <row r="9510" spans="1:4" x14ac:dyDescent="0.25">
      <c r="A9510" t="str">
        <f>T("   850720")</f>
        <v xml:space="preserve">   850720</v>
      </c>
      <c r="B9510" t="str">
        <f>T("   AUTRES ACCUMULATEURS AU PLOMB")</f>
        <v xml:space="preserve">   AUTRES ACCUMULATEURS AU PLOMB</v>
      </c>
      <c r="C9510" s="4">
        <v>44579</v>
      </c>
      <c r="D9510" s="4">
        <v>223258794</v>
      </c>
    </row>
    <row r="9511" spans="1:4" x14ac:dyDescent="0.25">
      <c r="A9511" t="str">
        <f>T("   851290")</f>
        <v xml:space="preserve">   851290</v>
      </c>
      <c r="B9511" t="str">
        <f>T("   PARTIES")</f>
        <v xml:space="preserve">   PARTIES</v>
      </c>
      <c r="C9511" s="4">
        <v>8.5</v>
      </c>
      <c r="D9511" s="4">
        <v>421048</v>
      </c>
    </row>
    <row r="9512" spans="1:4" x14ac:dyDescent="0.25">
      <c r="A9512" t="str">
        <f>T("   851712")</f>
        <v xml:space="preserve">   851712</v>
      </c>
      <c r="B9512" t="str">
        <f>T("   TELEPHONES POUR RESEAUX CELLULAIRES ET POUR AUTRES RESEAUX SANS FIL")</f>
        <v xml:space="preserve">   TELEPHONES POUR RESEAUX CELLULAIRES ET POUR AUTRES RESEAUX SANS FIL</v>
      </c>
      <c r="C9512" s="4">
        <v>312</v>
      </c>
      <c r="D9512" s="4">
        <v>5025429</v>
      </c>
    </row>
    <row r="9513" spans="1:4" x14ac:dyDescent="0.25">
      <c r="A9513" t="str">
        <f>T("   851761")</f>
        <v xml:space="preserve">   851761</v>
      </c>
      <c r="B9513" t="str">
        <f>T("   STATIONS DE BASE")</f>
        <v xml:space="preserve">   STATIONS DE BASE</v>
      </c>
      <c r="C9513" s="4">
        <v>36978</v>
      </c>
      <c r="D9513" s="4">
        <v>741966026</v>
      </c>
    </row>
    <row r="9514" spans="1:4" x14ac:dyDescent="0.25">
      <c r="A9514" t="str">
        <f>T("   851762")</f>
        <v xml:space="preserve">   851762</v>
      </c>
      <c r="B9514" t="str">
        <f>T("   APPAREILS POUR LA RECEPTION, LA CONVERSION ET L'EMISSION, LA TRANSMISSION OU LA REGE")</f>
        <v xml:space="preserve">   APPAREILS POUR LA RECEPTION, LA CONVERSION ET L'EMISSION, LA TRANSMISSION OU LA REGE</v>
      </c>
      <c r="C9514" s="4">
        <v>82234.94</v>
      </c>
      <c r="D9514" s="4">
        <v>2716074788</v>
      </c>
    </row>
    <row r="9515" spans="1:4" x14ac:dyDescent="0.25">
      <c r="A9515" t="str">
        <f>T("   851769")</f>
        <v xml:space="preserve">   851769</v>
      </c>
      <c r="B9515" t="str">
        <f>T("   AUTRES")</f>
        <v xml:space="preserve">   AUTRES</v>
      </c>
      <c r="C9515" s="4">
        <v>33898</v>
      </c>
      <c r="D9515" s="4">
        <v>929562526</v>
      </c>
    </row>
    <row r="9516" spans="1:4" x14ac:dyDescent="0.25">
      <c r="A9516" t="str">
        <f>T("   851770")</f>
        <v xml:space="preserve">   851770</v>
      </c>
      <c r="B9516" t="str">
        <f>T("   PARTIES")</f>
        <v xml:space="preserve">   PARTIES</v>
      </c>
      <c r="C9516" s="4">
        <v>85621.03</v>
      </c>
      <c r="D9516" s="4">
        <v>2117722040</v>
      </c>
    </row>
    <row r="9517" spans="1:4" x14ac:dyDescent="0.25">
      <c r="A9517" t="str">
        <f>T("   853080")</f>
        <v xml:space="preserve">   853080</v>
      </c>
      <c r="B9517" t="str">
        <f>T("   AUTRES APPAREILS")</f>
        <v xml:space="preserve">   AUTRES APPAREILS</v>
      </c>
      <c r="C9517" s="4">
        <v>3</v>
      </c>
      <c r="D9517" s="4">
        <v>731212</v>
      </c>
    </row>
    <row r="9518" spans="1:4" x14ac:dyDescent="0.25">
      <c r="A9518" t="str">
        <f>T("   854140")</f>
        <v xml:space="preserve">   854140</v>
      </c>
      <c r="B9518" t="str">
        <f>T("   DISPOSITIFS PHOTOSENSIBLES A SEMICONDUCTEUR, Y COMPRIS LES CELLULES PHOTOVOLTAIQUES")</f>
        <v xml:space="preserve">   DISPOSITIFS PHOTOSENSIBLES A SEMICONDUCTEUR, Y COMPRIS LES CELLULES PHOTOVOLTAIQUES</v>
      </c>
      <c r="C9518" s="4">
        <v>2</v>
      </c>
      <c r="D9518" s="4">
        <v>543961</v>
      </c>
    </row>
    <row r="9519" spans="1:4" x14ac:dyDescent="0.25">
      <c r="A9519" t="str">
        <f>T("   854370")</f>
        <v xml:space="preserve">   854370</v>
      </c>
      <c r="B9519" t="str">
        <f>T("   AUTRES MACHINES ET APPAREILS")</f>
        <v xml:space="preserve">   AUTRES MACHINES ET APPAREILS</v>
      </c>
      <c r="C9519" s="4">
        <v>1891</v>
      </c>
      <c r="D9519" s="4">
        <v>72647466</v>
      </c>
    </row>
    <row r="9520" spans="1:4" x14ac:dyDescent="0.25">
      <c r="A9520" t="str">
        <f>T("   854420")</f>
        <v xml:space="preserve">   854420</v>
      </c>
      <c r="B9520" t="str">
        <f>T("   Cables coaxiaux et autres conducteurs electriques coaxiaux")</f>
        <v xml:space="preserve">   Cables coaxiaux et autres conducteurs electriques coaxiaux</v>
      </c>
      <c r="C9520" s="4">
        <v>8903</v>
      </c>
      <c r="D9520" s="4">
        <v>44168300</v>
      </c>
    </row>
    <row r="9521" spans="1:4" x14ac:dyDescent="0.25">
      <c r="A9521" t="str">
        <f>T("   854442")</f>
        <v xml:space="preserve">   854442</v>
      </c>
      <c r="B9521" t="str">
        <f>T("   MUNIS DE PIECES DE CONNEXION")</f>
        <v xml:space="preserve">   MUNIS DE PIECES DE CONNEXION</v>
      </c>
      <c r="C9521" s="4">
        <v>2947</v>
      </c>
      <c r="D9521" s="4">
        <v>95630563</v>
      </c>
    </row>
    <row r="9522" spans="1:4" x14ac:dyDescent="0.25">
      <c r="A9522" t="str">
        <f>T("   854449")</f>
        <v xml:space="preserve">   854449</v>
      </c>
      <c r="B9522" t="str">
        <f>T("   AUTRES")</f>
        <v xml:space="preserve">   AUTRES</v>
      </c>
      <c r="C9522" s="4">
        <v>28104.18</v>
      </c>
      <c r="D9522" s="4">
        <v>142839215</v>
      </c>
    </row>
    <row r="9523" spans="1:4" x14ac:dyDescent="0.25">
      <c r="A9523" t="str">
        <f>T("   854460")</f>
        <v xml:space="preserve">   854460</v>
      </c>
      <c r="B9523" t="str">
        <f>T("   AUTRES CONDUCTEURS ELECTRIQUES, POUR TENSIONS EXCEDANT 1.000 V")</f>
        <v xml:space="preserve">   AUTRES CONDUCTEURS ELECTRIQUES, POUR TENSIONS EXCEDANT 1.000 V</v>
      </c>
      <c r="C9523" s="4">
        <v>108</v>
      </c>
      <c r="D9523" s="4">
        <v>1987792</v>
      </c>
    </row>
    <row r="9524" spans="1:4" x14ac:dyDescent="0.25">
      <c r="A9524" t="str">
        <f>T("   854470")</f>
        <v xml:space="preserve">   854470</v>
      </c>
      <c r="B9524" t="str">
        <f>T("   Cables de fibres optiques")</f>
        <v xml:space="preserve">   Cables de fibres optiques</v>
      </c>
      <c r="C9524" s="4">
        <v>75</v>
      </c>
      <c r="D9524" s="4">
        <v>3814639</v>
      </c>
    </row>
    <row r="9525" spans="1:4" x14ac:dyDescent="0.25">
      <c r="A9525" t="str">
        <f>T("   870322")</f>
        <v xml:space="preserve">   870322</v>
      </c>
      <c r="B9525" t="str">
        <f>T("   D’UNE CYLINDREE EXCEDANT 1.000 CM³ MAIS N’EXCEDANT PAS 1.500 CM³")</f>
        <v xml:space="preserve">   D’UNE CYLINDREE EXCEDANT 1.000 CM³ MAIS N’EXCEDANT PAS 1.500 CM³</v>
      </c>
      <c r="C9525" s="4">
        <v>1000</v>
      </c>
      <c r="D9525" s="4">
        <v>1200000</v>
      </c>
    </row>
    <row r="9526" spans="1:4" x14ac:dyDescent="0.25">
      <c r="A9526" t="str">
        <f>T("   870323")</f>
        <v xml:space="preserve">   870323</v>
      </c>
      <c r="B9526" t="str">
        <f>T("   D’UNE CYLINDREE EXCEDANT 1.500 CM³ MAIS N’EXCEDANT PAS 3.000 CM³")</f>
        <v xml:space="preserve">   D’UNE CYLINDREE EXCEDANT 1.500 CM³ MAIS N’EXCEDANT PAS 3.000 CM³</v>
      </c>
      <c r="C9526" s="4">
        <v>2000</v>
      </c>
      <c r="D9526" s="4">
        <v>2400000</v>
      </c>
    </row>
    <row r="9527" spans="1:4" x14ac:dyDescent="0.25">
      <c r="A9527" t="str">
        <f>T("   901839")</f>
        <v xml:space="preserve">   901839</v>
      </c>
      <c r="B9527" t="str">
        <f>T("   AUTRES")</f>
        <v xml:space="preserve">   AUTRES</v>
      </c>
      <c r="C9527" s="4">
        <v>1212.5</v>
      </c>
      <c r="D9527" s="4">
        <v>510186</v>
      </c>
    </row>
    <row r="9528" spans="1:4" x14ac:dyDescent="0.25">
      <c r="A9528" t="str">
        <f>T("   901890")</f>
        <v xml:space="preserve">   901890</v>
      </c>
      <c r="B9528" t="str">
        <f>T("   AUTRES INSTRUMENTS ET APPAREILS")</f>
        <v xml:space="preserve">   AUTRES INSTRUMENTS ET APPAREILS</v>
      </c>
      <c r="C9528" s="4">
        <v>17066</v>
      </c>
      <c r="D9528" s="4">
        <v>9694724</v>
      </c>
    </row>
    <row r="9529" spans="1:4" x14ac:dyDescent="0.25">
      <c r="A9529" t="str">
        <f>T("   902190")</f>
        <v xml:space="preserve">   902190</v>
      </c>
      <c r="B9529" t="str">
        <f>T("   AUTRES")</f>
        <v xml:space="preserve">   AUTRES</v>
      </c>
      <c r="C9529" s="4">
        <v>1620</v>
      </c>
      <c r="D9529" s="4">
        <v>278783</v>
      </c>
    </row>
    <row r="9530" spans="1:4" x14ac:dyDescent="0.25">
      <c r="A9530" t="str">
        <f>T("   902780")</f>
        <v xml:space="preserve">   902780</v>
      </c>
      <c r="B9530" t="str">
        <f>T("   AUTRES INSTRUMENTS ET APPAREILS")</f>
        <v xml:space="preserve">   AUTRES INSTRUMENTS ET APPAREILS</v>
      </c>
      <c r="C9530" s="4">
        <v>28</v>
      </c>
      <c r="D9530" s="4">
        <v>3042342</v>
      </c>
    </row>
    <row r="9531" spans="1:4" x14ac:dyDescent="0.25">
      <c r="A9531" t="str">
        <f>T("   903289")</f>
        <v xml:space="preserve">   903289</v>
      </c>
      <c r="B9531" t="str">
        <f>T("   AUTRES")</f>
        <v xml:space="preserve">   AUTRES</v>
      </c>
      <c r="C9531" s="4">
        <v>24132</v>
      </c>
      <c r="D9531" s="4">
        <v>5914267</v>
      </c>
    </row>
    <row r="9532" spans="1:4" x14ac:dyDescent="0.25">
      <c r="A9532" t="str">
        <f>T("   940290")</f>
        <v xml:space="preserve">   940290</v>
      </c>
      <c r="B9532" t="str">
        <f>T("   AUTRES")</f>
        <v xml:space="preserve">   AUTRES</v>
      </c>
      <c r="C9532" s="4">
        <v>2680</v>
      </c>
      <c r="D9532" s="4">
        <v>655960</v>
      </c>
    </row>
    <row r="9533" spans="1:4" x14ac:dyDescent="0.25">
      <c r="A9533" t="str">
        <f>T("   940560")</f>
        <v xml:space="preserve">   940560</v>
      </c>
      <c r="B9533" t="str">
        <f>T("   LAMPESRECLAMES, ENSEIGNES LUMINEUSES, PLAQUES INDICATRICES LUMINEUSES ET ARTICLES SI")</f>
        <v xml:space="preserve">   LAMPESRECLAMES, ENSEIGNES LUMINEUSES, PLAQUES INDICATRICES LUMINEUSES ET ARTICLES SI</v>
      </c>
      <c r="C9533" s="4">
        <v>180</v>
      </c>
      <c r="D9533" s="4">
        <v>550000</v>
      </c>
    </row>
    <row r="9534" spans="1:4" s="5" customFormat="1" x14ac:dyDescent="0.25">
      <c r="A9534" s="5" t="str">
        <f>T("   ZZ_Total_Produit_SH6")</f>
        <v xml:space="preserve">   ZZ_Total_Produit_SH6</v>
      </c>
      <c r="B9534" s="5" t="str">
        <f>T("   ZZ_Total_Produit_SH6")</f>
        <v xml:space="preserve">   ZZ_Total_Produit_SH6</v>
      </c>
      <c r="C9534" s="1">
        <v>4317478.25</v>
      </c>
      <c r="D9534" s="1">
        <v>9166966225</v>
      </c>
    </row>
    <row r="9535" spans="1:4" s="5" customFormat="1" x14ac:dyDescent="0.25">
      <c r="B9535" s="5" t="str">
        <f>T("Singapour")</f>
        <v>Singapour</v>
      </c>
      <c r="C9535" s="1"/>
      <c r="D9535" s="1"/>
    </row>
    <row r="9536" spans="1:4" x14ac:dyDescent="0.25">
      <c r="A9536" t="str">
        <f>T("   020727")</f>
        <v xml:space="preserve">   020727</v>
      </c>
      <c r="B9536" t="str">
        <f>T("   MORCEAUX ET ABATS, CONGELES")</f>
        <v xml:space="preserve">   MORCEAUX ET ABATS, CONGELES</v>
      </c>
      <c r="C9536" s="4">
        <v>18160</v>
      </c>
      <c r="D9536" s="4">
        <v>19175000</v>
      </c>
    </row>
    <row r="9537" spans="1:4" x14ac:dyDescent="0.25">
      <c r="A9537" t="str">
        <f>T("   030379")</f>
        <v xml:space="preserve">   030379</v>
      </c>
      <c r="B9537" t="str">
        <f>T("   AUTRES POISSONS ENTIERS CONGELES.(FOIES,OEUFS,LAITANCES EXCLUS)")</f>
        <v xml:space="preserve">   AUTRES POISSONS ENTIERS CONGELES.(FOIES,OEUFS,LAITANCES EXCLUS)</v>
      </c>
      <c r="C9537" s="4">
        <v>25840</v>
      </c>
      <c r="D9537" s="4">
        <v>5814000</v>
      </c>
    </row>
    <row r="9538" spans="1:4" x14ac:dyDescent="0.25">
      <c r="A9538" t="str">
        <f>T("   040210")</f>
        <v xml:space="preserve">   040210</v>
      </c>
      <c r="B9538" t="str">
        <f>T("   EN POUDRE, EN GRANULES OU SOUS D’AUTRES FORMES SOLIDES, D’UNE TENEUR EN POIDS DE MATI")</f>
        <v xml:space="preserve">   EN POUDRE, EN GRANULES OU SOUS D’AUTRES FORMES SOLIDES, D’UNE TENEUR EN POIDS DE MATI</v>
      </c>
      <c r="C9538" s="4">
        <v>240300</v>
      </c>
      <c r="D9538" s="4">
        <v>373165306</v>
      </c>
    </row>
    <row r="9539" spans="1:4" x14ac:dyDescent="0.25">
      <c r="A9539" t="str">
        <f>T("   040221")</f>
        <v xml:space="preserve">   040221</v>
      </c>
      <c r="B9539" t="str">
        <f>T("   SANS ADDITION DE SUCRE OU D'AUTRES EDULCORANTS")</f>
        <v xml:space="preserve">   SANS ADDITION DE SUCRE OU D'AUTRES EDULCORANTS</v>
      </c>
      <c r="C9539" s="4">
        <v>330900</v>
      </c>
      <c r="D9539" s="4">
        <v>307619266</v>
      </c>
    </row>
    <row r="9540" spans="1:4" x14ac:dyDescent="0.25">
      <c r="A9540" t="str">
        <f>T("   040299")</f>
        <v xml:space="preserve">   040299</v>
      </c>
      <c r="B9540" t="str">
        <f>T("   AUTRES")</f>
        <v xml:space="preserve">   AUTRES</v>
      </c>
      <c r="C9540" s="4">
        <v>53600</v>
      </c>
      <c r="D9540" s="4">
        <v>22800000</v>
      </c>
    </row>
    <row r="9541" spans="1:4" x14ac:dyDescent="0.25">
      <c r="A9541" t="str">
        <f>T("   100620")</f>
        <v xml:space="preserve">   100620</v>
      </c>
      <c r="B9541" t="str">
        <f>T("   RIZ DECORTIQUE (RIZ CARGO OU RIZ BRUN)")</f>
        <v xml:space="preserve">   RIZ DECORTIQUE (RIZ CARGO OU RIZ BRUN)</v>
      </c>
      <c r="C9541" s="4">
        <v>2020700</v>
      </c>
      <c r="D9541" s="4">
        <v>772449530.62899995</v>
      </c>
    </row>
    <row r="9542" spans="1:4" x14ac:dyDescent="0.25">
      <c r="A9542" t="str">
        <f>T("   100630")</f>
        <v xml:space="preserve">   100630</v>
      </c>
      <c r="B9542" t="str">
        <f>T("   RIZ SEMIBLANCHI OU BLANCHI, MEME POLI OU GLACE")</f>
        <v xml:space="preserve">   RIZ SEMIBLANCHI OU BLANCHI, MEME POLI OU GLACE</v>
      </c>
      <c r="C9542" s="4">
        <v>167545</v>
      </c>
      <c r="D9542" s="4">
        <v>38469125</v>
      </c>
    </row>
    <row r="9543" spans="1:4" x14ac:dyDescent="0.25">
      <c r="A9543" t="str">
        <f>T("   100640")</f>
        <v xml:space="preserve">   100640</v>
      </c>
      <c r="B9543" t="str">
        <f>T("   RIZ EN BRISURES")</f>
        <v xml:space="preserve">   RIZ EN BRISURES</v>
      </c>
      <c r="C9543" s="4">
        <v>33453209</v>
      </c>
      <c r="D9543" s="4">
        <v>12448256790.591999</v>
      </c>
    </row>
    <row r="9544" spans="1:4" x14ac:dyDescent="0.25">
      <c r="A9544" t="str">
        <f>T("   150890")</f>
        <v xml:space="preserve">   150890</v>
      </c>
      <c r="B9544" t="str">
        <f>T("   AUTRES")</f>
        <v xml:space="preserve">   AUTRES</v>
      </c>
      <c r="C9544" s="4">
        <v>563780</v>
      </c>
      <c r="D9544" s="4">
        <v>140945000</v>
      </c>
    </row>
    <row r="9545" spans="1:4" x14ac:dyDescent="0.25">
      <c r="A9545" t="str">
        <f>T("   151110")</f>
        <v xml:space="preserve">   151110</v>
      </c>
      <c r="B9545" t="str">
        <f>T("   HUILE BRUTE")</f>
        <v xml:space="preserve">   HUILE BRUTE</v>
      </c>
      <c r="C9545" s="4">
        <v>648448</v>
      </c>
      <c r="D9545" s="4">
        <v>162112000</v>
      </c>
    </row>
    <row r="9546" spans="1:4" x14ac:dyDescent="0.25">
      <c r="A9546" t="str">
        <f>T("   151190")</f>
        <v xml:space="preserve">   151190</v>
      </c>
      <c r="B9546" t="str">
        <f>T("   AUTRES")</f>
        <v xml:space="preserve">   AUTRES</v>
      </c>
      <c r="C9546" s="4">
        <v>19826307</v>
      </c>
      <c r="D9546" s="4">
        <v>7495804822.7539997</v>
      </c>
    </row>
    <row r="9547" spans="1:4" x14ac:dyDescent="0.25">
      <c r="A9547" t="str">
        <f>T("   151620")</f>
        <v xml:space="preserve">   151620</v>
      </c>
      <c r="B9547" t="str">
        <f>T("   GRAISSES ET HUILES VEGETALES ET LEURS FRACTIONS")</f>
        <v xml:space="preserve">   GRAISSES ET HUILES VEGETALES ET LEURS FRACTIONS</v>
      </c>
      <c r="C9547" s="4">
        <v>13084424</v>
      </c>
      <c r="D9547" s="4">
        <v>3267028162</v>
      </c>
    </row>
    <row r="9548" spans="1:4" x14ac:dyDescent="0.25">
      <c r="A9548" t="str">
        <f>T("   151710")</f>
        <v xml:space="preserve">   151710</v>
      </c>
      <c r="B9548" t="str">
        <f>T("   Margarine, a l'exclusion de la margarine liquide")</f>
        <v xml:space="preserve">   Margarine, a l'exclusion de la margarine liquide</v>
      </c>
      <c r="C9548" s="4">
        <v>19500</v>
      </c>
      <c r="D9548" s="4">
        <v>5227000</v>
      </c>
    </row>
    <row r="9549" spans="1:4" x14ac:dyDescent="0.25">
      <c r="A9549" t="str">
        <f>T("   151790")</f>
        <v xml:space="preserve">   151790</v>
      </c>
      <c r="B9549" t="str">
        <f>T("   AUTRES")</f>
        <v xml:space="preserve">   AUTRES</v>
      </c>
      <c r="C9549" s="4">
        <v>28439</v>
      </c>
      <c r="D9549" s="4">
        <v>12571474</v>
      </c>
    </row>
    <row r="9550" spans="1:4" x14ac:dyDescent="0.25">
      <c r="A9550" t="str">
        <f>T("   160239")</f>
        <v xml:space="preserve">   160239</v>
      </c>
      <c r="B9550" t="str">
        <f>T("   AUTRES")</f>
        <v xml:space="preserve">   AUTRES</v>
      </c>
      <c r="C9550" s="4">
        <v>20424</v>
      </c>
      <c r="D9550" s="4">
        <v>6554352</v>
      </c>
    </row>
    <row r="9551" spans="1:4" x14ac:dyDescent="0.25">
      <c r="A9551" t="str">
        <f>T("   160413")</f>
        <v xml:space="preserve">   160413</v>
      </c>
      <c r="B9551" t="str">
        <f>T("   SARDINES, SARDINELLES ET SPRATS OU ESPROTS")</f>
        <v xml:space="preserve">   SARDINES, SARDINELLES ET SPRATS OU ESPROTS</v>
      </c>
      <c r="C9551" s="4">
        <v>36200</v>
      </c>
      <c r="D9551" s="4">
        <v>13472616</v>
      </c>
    </row>
    <row r="9552" spans="1:4" x14ac:dyDescent="0.25">
      <c r="A9552" t="str">
        <f>T("   170199")</f>
        <v xml:space="preserve">   170199</v>
      </c>
      <c r="B9552" t="str">
        <f>T("   AUTRES")</f>
        <v xml:space="preserve">   AUTRES</v>
      </c>
      <c r="C9552" s="4">
        <v>506000</v>
      </c>
      <c r="D9552" s="4">
        <v>109074203.37199999</v>
      </c>
    </row>
    <row r="9553" spans="1:4" x14ac:dyDescent="0.25">
      <c r="A9553" t="str">
        <f>T("   170219")</f>
        <v xml:space="preserve">   170219</v>
      </c>
      <c r="B9553" t="str">
        <f>T("   AUTRES")</f>
        <v xml:space="preserve">   AUTRES</v>
      </c>
      <c r="C9553" s="4">
        <v>270810</v>
      </c>
      <c r="D9553" s="4">
        <v>32497200</v>
      </c>
    </row>
    <row r="9554" spans="1:4" x14ac:dyDescent="0.25">
      <c r="A9554" t="str">
        <f>T("   170410")</f>
        <v xml:space="preserve">   170410</v>
      </c>
      <c r="B9554" t="str">
        <f>T("   GOMMES A MACHER (CHEWINGGUM), MEME ENROBEES DE SUCRE")</f>
        <v xml:space="preserve">   GOMMES A MACHER (CHEWINGGUM), MEME ENROBEES DE SUCRE</v>
      </c>
      <c r="C9554" s="4">
        <v>24610</v>
      </c>
      <c r="D9554" s="4">
        <v>2733386</v>
      </c>
    </row>
    <row r="9555" spans="1:4" x14ac:dyDescent="0.25">
      <c r="A9555" t="str">
        <f>T("   170490")</f>
        <v xml:space="preserve">   170490</v>
      </c>
      <c r="B9555" t="str">
        <f>T("   AUTRES")</f>
        <v xml:space="preserve">   AUTRES</v>
      </c>
      <c r="C9555" s="4">
        <v>214488</v>
      </c>
      <c r="D9555" s="4">
        <v>26004519</v>
      </c>
    </row>
    <row r="9556" spans="1:4" x14ac:dyDescent="0.25">
      <c r="A9556" t="str">
        <f>T("   190190")</f>
        <v xml:space="preserve">   190190</v>
      </c>
      <c r="B9556" t="str">
        <f>T("   AUTRES")</f>
        <v xml:space="preserve">   AUTRES</v>
      </c>
      <c r="C9556" s="4">
        <v>1322877</v>
      </c>
      <c r="D9556" s="4">
        <v>277738684</v>
      </c>
    </row>
    <row r="9557" spans="1:4" x14ac:dyDescent="0.25">
      <c r="A9557" t="str">
        <f>T("   190219")</f>
        <v xml:space="preserve">   190219</v>
      </c>
      <c r="B9557" t="str">
        <f>T("   AUTRES")</f>
        <v xml:space="preserve">   AUTRES</v>
      </c>
      <c r="C9557" s="4">
        <v>682470</v>
      </c>
      <c r="D9557" s="4">
        <v>85309693</v>
      </c>
    </row>
    <row r="9558" spans="1:4" x14ac:dyDescent="0.25">
      <c r="A9558" t="str">
        <f>T("   190220")</f>
        <v xml:space="preserve">   190220</v>
      </c>
      <c r="B9558" t="str">
        <f>T("   PATES ALIMENTAIRES FARCIES (MEME CUITES OU AUTREMENT PREPAREES)")</f>
        <v xml:space="preserve">   PATES ALIMENTAIRES FARCIES (MEME CUITES OU AUTREMENT PREPAREES)</v>
      </c>
      <c r="C9558" s="4">
        <v>249750</v>
      </c>
      <c r="D9558" s="4">
        <v>28520693</v>
      </c>
    </row>
    <row r="9559" spans="1:4" x14ac:dyDescent="0.25">
      <c r="A9559" t="str">
        <f>T("   190230")</f>
        <v xml:space="preserve">   190230</v>
      </c>
      <c r="B9559" t="str">
        <f>T("   AUTRES PATES ALIMENTAIRES")</f>
        <v xml:space="preserve">   AUTRES PATES ALIMENTAIRES</v>
      </c>
      <c r="C9559" s="4">
        <v>1134675</v>
      </c>
      <c r="D9559" s="4">
        <v>137278693</v>
      </c>
    </row>
    <row r="9560" spans="1:4" x14ac:dyDescent="0.25">
      <c r="A9560" t="str">
        <f>T("   190531")</f>
        <v xml:space="preserve">   190531</v>
      </c>
      <c r="B9560" t="str">
        <f>T("   BISCUITS ADDITIONNES D’EDULCORANTS")</f>
        <v xml:space="preserve">   BISCUITS ADDITIONNES D’EDULCORANTS</v>
      </c>
      <c r="C9560" s="4">
        <v>13118</v>
      </c>
      <c r="D9560" s="4">
        <v>3456909</v>
      </c>
    </row>
    <row r="9561" spans="1:4" x14ac:dyDescent="0.25">
      <c r="A9561" t="str">
        <f>T("   200540")</f>
        <v xml:space="preserve">   200540</v>
      </c>
      <c r="B9561" t="str">
        <f>T("   POIS (PISUM SATIVUM)")</f>
        <v xml:space="preserve">   POIS (PISUM SATIVUM)</v>
      </c>
      <c r="C9561" s="4">
        <v>19000</v>
      </c>
      <c r="D9561" s="4">
        <v>3241492</v>
      </c>
    </row>
    <row r="9562" spans="1:4" x14ac:dyDescent="0.25">
      <c r="A9562" t="str">
        <f>T("   200840")</f>
        <v xml:space="preserve">   200840</v>
      </c>
      <c r="B9562" t="str">
        <f>T("   POIRES")</f>
        <v xml:space="preserve">   POIRES</v>
      </c>
      <c r="C9562" s="4">
        <v>22392</v>
      </c>
      <c r="D9562" s="4">
        <v>3880000</v>
      </c>
    </row>
    <row r="9563" spans="1:4" x14ac:dyDescent="0.25">
      <c r="A9563" t="str">
        <f>T("   220410")</f>
        <v xml:space="preserve">   220410</v>
      </c>
      <c r="B9563" t="str">
        <f>T("   Vins mousseux")</f>
        <v xml:space="preserve">   Vins mousseux</v>
      </c>
      <c r="C9563" s="4">
        <v>18</v>
      </c>
      <c r="D9563" s="4">
        <v>40000</v>
      </c>
    </row>
    <row r="9564" spans="1:4" x14ac:dyDescent="0.25">
      <c r="A9564" t="str">
        <f>T("   220429")</f>
        <v xml:space="preserve">   220429</v>
      </c>
      <c r="B9564" t="str">
        <f>T("   AUTRES")</f>
        <v xml:space="preserve">   AUTRES</v>
      </c>
      <c r="C9564" s="4">
        <v>10440</v>
      </c>
      <c r="D9564" s="4">
        <v>11610492</v>
      </c>
    </row>
    <row r="9565" spans="1:4" x14ac:dyDescent="0.25">
      <c r="A9565" t="str">
        <f>T("   271019")</f>
        <v xml:space="preserve">   271019</v>
      </c>
      <c r="B9565" t="str">
        <f>T("   AUTRES")</f>
        <v xml:space="preserve">   AUTRES</v>
      </c>
      <c r="C9565" s="4">
        <v>47625</v>
      </c>
      <c r="D9565" s="4">
        <v>21818257</v>
      </c>
    </row>
    <row r="9566" spans="1:4" x14ac:dyDescent="0.25">
      <c r="A9566" t="str">
        <f>T("   321519")</f>
        <v xml:space="preserve">   321519</v>
      </c>
      <c r="B9566" t="str">
        <f>T("   AUTRES")</f>
        <v xml:space="preserve">   AUTRES</v>
      </c>
      <c r="C9566" s="4">
        <v>1973</v>
      </c>
      <c r="D9566" s="4">
        <v>1700945</v>
      </c>
    </row>
    <row r="9567" spans="1:4" x14ac:dyDescent="0.25">
      <c r="A9567" t="str">
        <f>T("   340111")</f>
        <v xml:space="preserve">   340111</v>
      </c>
      <c r="B9567" t="str">
        <f>T("   DE TOILETTE (Y COMPRIS CEUX A USAGES MEDICAUX)")</f>
        <v xml:space="preserve">   DE TOILETTE (Y COMPRIS CEUX A USAGES MEDICAUX)</v>
      </c>
      <c r="C9567" s="4">
        <v>476586</v>
      </c>
      <c r="D9567" s="4">
        <v>88176415</v>
      </c>
    </row>
    <row r="9568" spans="1:4" x14ac:dyDescent="0.25">
      <c r="A9568" t="str">
        <f>T("   340119")</f>
        <v xml:space="preserve">   340119</v>
      </c>
      <c r="B9568" t="str">
        <f>T("   AUTRES")</f>
        <v xml:space="preserve">   AUTRES</v>
      </c>
      <c r="C9568" s="4">
        <v>138622</v>
      </c>
      <c r="D9568" s="4">
        <v>51698709</v>
      </c>
    </row>
    <row r="9569" spans="1:4" x14ac:dyDescent="0.25">
      <c r="A9569" t="str">
        <f>T("   340219")</f>
        <v xml:space="preserve">   340219</v>
      </c>
      <c r="B9569" t="str">
        <f>T("   AUTRES")</f>
        <v xml:space="preserve">   AUTRES</v>
      </c>
      <c r="C9569" s="4">
        <v>248145</v>
      </c>
      <c r="D9569" s="4">
        <v>81968235</v>
      </c>
    </row>
    <row r="9570" spans="1:4" x14ac:dyDescent="0.25">
      <c r="A9570" t="str">
        <f>T("   340290")</f>
        <v xml:space="preserve">   340290</v>
      </c>
      <c r="B9570" t="str">
        <f>T("   AUTRES")</f>
        <v xml:space="preserve">   AUTRES</v>
      </c>
      <c r="C9570" s="4">
        <v>544733</v>
      </c>
      <c r="D9570" s="4">
        <v>233062177</v>
      </c>
    </row>
    <row r="9571" spans="1:4" x14ac:dyDescent="0.25">
      <c r="A9571" t="str">
        <f>T("   350610")</f>
        <v xml:space="preserve">   350610</v>
      </c>
      <c r="B9571" t="str">
        <f>T("   PRODUITS DE TOUTE ESPECE A USAGE DE COLLES OU D'ADHESIFS, CONDITIONNES POUR LA VENTE")</f>
        <v xml:space="preserve">   PRODUITS DE TOUTE ESPECE A USAGE DE COLLES OU D'ADHESIFS, CONDITIONNES POUR LA VENTE</v>
      </c>
      <c r="C9571" s="4">
        <v>11444</v>
      </c>
      <c r="D9571" s="4">
        <v>481943</v>
      </c>
    </row>
    <row r="9572" spans="1:4" x14ac:dyDescent="0.25">
      <c r="A9572" t="str">
        <f>T("   391910")</f>
        <v xml:space="preserve">   391910</v>
      </c>
      <c r="B9572" t="str">
        <f>T("   EN ROULEAUX D'UNE LARGEUR N'EXCEDANT PAS 20 CM")</f>
        <v xml:space="preserve">   EN ROULEAUX D'UNE LARGEUR N'EXCEDANT PAS 20 CM</v>
      </c>
      <c r="C9572" s="4">
        <v>10656</v>
      </c>
      <c r="D9572" s="4">
        <v>14082485</v>
      </c>
    </row>
    <row r="9573" spans="1:4" x14ac:dyDescent="0.25">
      <c r="A9573" t="str">
        <f>T("   392329")</f>
        <v xml:space="preserve">   392329</v>
      </c>
      <c r="B9573" t="str">
        <f>T("   EN AUTRES MATIERES PLASTIQUES")</f>
        <v xml:space="preserve">   EN AUTRES MATIERES PLASTIQUES</v>
      </c>
      <c r="C9573" s="4">
        <v>1932</v>
      </c>
      <c r="D9573" s="4">
        <v>354328</v>
      </c>
    </row>
    <row r="9574" spans="1:4" x14ac:dyDescent="0.25">
      <c r="A9574" t="str">
        <f>T("   392610")</f>
        <v xml:space="preserve">   392610</v>
      </c>
      <c r="B9574" t="str">
        <f>T("   ARTICLES DE BUREAU ET ARTICLES SCOLAIRES")</f>
        <v xml:space="preserve">   ARTICLES DE BUREAU ET ARTICLES SCOLAIRES</v>
      </c>
      <c r="C9574" s="4">
        <v>35537</v>
      </c>
      <c r="D9574" s="4">
        <v>10072656</v>
      </c>
    </row>
    <row r="9575" spans="1:4" x14ac:dyDescent="0.25">
      <c r="A9575" t="str">
        <f>T("   392690")</f>
        <v xml:space="preserve">   392690</v>
      </c>
      <c r="B9575" t="str">
        <f>T("   AUTRES")</f>
        <v xml:space="preserve">   AUTRES</v>
      </c>
      <c r="C9575" s="4">
        <v>2946</v>
      </c>
      <c r="D9575" s="4">
        <v>716582</v>
      </c>
    </row>
    <row r="9576" spans="1:4" x14ac:dyDescent="0.25">
      <c r="A9576" t="str">
        <f>T("   401120")</f>
        <v xml:space="preserve">   401120</v>
      </c>
      <c r="B9576" t="str">
        <f>T("   DES TYPES UTILISES POUR AUTOBUS OU CAMIONS")</f>
        <v xml:space="preserve">   DES TYPES UTILISES POUR AUTOBUS OU CAMIONS</v>
      </c>
      <c r="C9576" s="4">
        <v>27976</v>
      </c>
      <c r="D9576" s="4">
        <v>21000000</v>
      </c>
    </row>
    <row r="9577" spans="1:4" x14ac:dyDescent="0.25">
      <c r="A9577" t="str">
        <f>T("   401220")</f>
        <v xml:space="preserve">   401220</v>
      </c>
      <c r="B9577" t="str">
        <f>T("   PNEUMATIQUES USAGES")</f>
        <v xml:space="preserve">   PNEUMATIQUES USAGES</v>
      </c>
      <c r="C9577" s="4">
        <v>20200</v>
      </c>
      <c r="D9577" s="4">
        <v>3905586</v>
      </c>
    </row>
    <row r="9578" spans="1:4" x14ac:dyDescent="0.25">
      <c r="A9578" t="str">
        <f>T("   401310")</f>
        <v xml:space="preserve">   401310</v>
      </c>
      <c r="B9578" t="str">
        <f>T("   DES TYPES UTILISES POUR LES VOITURES DE TOURISME (Y COMPRIS LES VOITURES DU TYPE «BRE")</f>
        <v xml:space="preserve">   DES TYPES UTILISES POUR LES VOITURES DE TOURISME (Y COMPRIS LES VOITURES DU TYPE «BRE</v>
      </c>
      <c r="C9578" s="4">
        <v>2800</v>
      </c>
      <c r="D9578" s="4">
        <v>745302</v>
      </c>
    </row>
    <row r="9579" spans="1:4" x14ac:dyDescent="0.25">
      <c r="A9579" t="str">
        <f>T("   401692")</f>
        <v xml:space="preserve">   401692</v>
      </c>
      <c r="B9579" t="str">
        <f>T("   GOMMES A EFFACER")</f>
        <v xml:space="preserve">   GOMMES A EFFACER</v>
      </c>
      <c r="C9579" s="4">
        <v>10924</v>
      </c>
      <c r="D9579" s="4">
        <v>2819570</v>
      </c>
    </row>
    <row r="9580" spans="1:4" x14ac:dyDescent="0.25">
      <c r="A9580" t="str">
        <f>T("   420212")</f>
        <v xml:space="preserve">   420212</v>
      </c>
      <c r="B9580" t="str">
        <f>T("   A SURFACE EXTERIEURE EN MATIERES PLASTIQUES OU EN MATIERES TEXTILES")</f>
        <v xml:space="preserve">   A SURFACE EXTERIEURE EN MATIERES PLASTIQUES OU EN MATIERES TEXTILES</v>
      </c>
      <c r="C9580" s="4">
        <v>4385</v>
      </c>
      <c r="D9580" s="4">
        <v>1659024</v>
      </c>
    </row>
    <row r="9581" spans="1:4" x14ac:dyDescent="0.25">
      <c r="A9581" t="str">
        <f>T("   420229")</f>
        <v xml:space="preserve">   420229</v>
      </c>
      <c r="B9581" t="str">
        <f>T("   AUTRES")</f>
        <v xml:space="preserve">   AUTRES</v>
      </c>
      <c r="C9581" s="4">
        <v>4619</v>
      </c>
      <c r="D9581" s="4">
        <v>1477248</v>
      </c>
    </row>
    <row r="9582" spans="1:4" x14ac:dyDescent="0.25">
      <c r="A9582" t="str">
        <f>T("   420329")</f>
        <v xml:space="preserve">   420329</v>
      </c>
      <c r="B9582" t="str">
        <f>T("   AUTRES")</f>
        <v xml:space="preserve">   AUTRES</v>
      </c>
      <c r="C9582" s="4">
        <v>172</v>
      </c>
      <c r="D9582" s="4">
        <v>3318268</v>
      </c>
    </row>
    <row r="9583" spans="1:4" x14ac:dyDescent="0.25">
      <c r="A9583" t="str">
        <f>T("   441299")</f>
        <v xml:space="preserve">   441299</v>
      </c>
      <c r="B9583" t="str">
        <f>T("   AUTRES")</f>
        <v xml:space="preserve">   AUTRES</v>
      </c>
      <c r="C9583" s="4">
        <v>73800</v>
      </c>
      <c r="D9583" s="4">
        <v>19690791</v>
      </c>
    </row>
    <row r="9584" spans="1:4" x14ac:dyDescent="0.25">
      <c r="A9584" t="str">
        <f>T("   480100")</f>
        <v xml:space="preserve">   480100</v>
      </c>
      <c r="B9584" t="str">
        <f>T("   PAPIER JOURNAL, EN ROULEAUX OU EN FEUILLES.")</f>
        <v xml:space="preserve">   PAPIER JOURNAL, EN ROULEAUX OU EN FEUILLES.</v>
      </c>
      <c r="C9584" s="4">
        <v>18557</v>
      </c>
      <c r="D9584" s="4">
        <v>5024469</v>
      </c>
    </row>
    <row r="9585" spans="1:4" x14ac:dyDescent="0.25">
      <c r="A9585" t="str">
        <f>T("   480210")</f>
        <v xml:space="preserve">   480210</v>
      </c>
      <c r="B9585" t="str">
        <f>T("   Papiers et cartons formes feuille a feuille (papiers a la main)")</f>
        <v xml:space="preserve">   Papiers et cartons formes feuille a feuille (papiers a la main)</v>
      </c>
      <c r="C9585" s="4">
        <v>543742</v>
      </c>
      <c r="D9585" s="4">
        <v>159690474</v>
      </c>
    </row>
    <row r="9586" spans="1:4" x14ac:dyDescent="0.25">
      <c r="A9586" t="str">
        <f>T("   480257")</f>
        <v xml:space="preserve">   480257</v>
      </c>
      <c r="B9586" t="str">
        <f>T("   AUTRES, D'UN POIDS AU M² DE 40 G OU PLUS MAIS N'EXCEDANT PAS 150 G")</f>
        <v xml:space="preserve">   AUTRES, D'UN POIDS AU M² DE 40 G OU PLUS MAIS N'EXCEDANT PAS 150 G</v>
      </c>
      <c r="C9586" s="4">
        <v>460722</v>
      </c>
      <c r="D9586" s="4">
        <v>158160540</v>
      </c>
    </row>
    <row r="9587" spans="1:4" x14ac:dyDescent="0.25">
      <c r="A9587" t="str">
        <f>T("   480258")</f>
        <v xml:space="preserve">   480258</v>
      </c>
      <c r="B9587" t="str">
        <f>T("   D'UN POIDS AU M² EXCEDANT 150 G")</f>
        <v xml:space="preserve">   D'UN POIDS AU M² EXCEDANT 150 G</v>
      </c>
      <c r="C9587" s="4">
        <v>1917612</v>
      </c>
      <c r="D9587" s="4">
        <v>641228935</v>
      </c>
    </row>
    <row r="9588" spans="1:4" x14ac:dyDescent="0.25">
      <c r="A9588" t="str">
        <f>T("   480429")</f>
        <v xml:space="preserve">   480429</v>
      </c>
      <c r="B9588" t="str">
        <f>T("   AUTRES")</f>
        <v xml:space="preserve">   AUTRES</v>
      </c>
      <c r="C9588" s="4">
        <v>19249</v>
      </c>
      <c r="D9588" s="4">
        <v>6530155</v>
      </c>
    </row>
    <row r="9589" spans="1:4" x14ac:dyDescent="0.25">
      <c r="A9589" t="str">
        <f>T("   480592")</f>
        <v xml:space="preserve">   480592</v>
      </c>
      <c r="B9589" t="str">
        <f>T("   D'UN POIDS AU M² EXCEDANT 150 G, MAIS INFERIEUR A 225 G")</f>
        <v xml:space="preserve">   D'UN POIDS AU M² EXCEDANT 150 G, MAIS INFERIEUR A 225 G</v>
      </c>
      <c r="C9589" s="4">
        <v>272830</v>
      </c>
      <c r="D9589" s="4">
        <v>114830672</v>
      </c>
    </row>
    <row r="9590" spans="1:4" x14ac:dyDescent="0.25">
      <c r="A9590" t="str">
        <f>T("   481019")</f>
        <v xml:space="preserve">   481019</v>
      </c>
      <c r="B9590" t="str">
        <f>T("   AUTRES")</f>
        <v xml:space="preserve">   AUTRES</v>
      </c>
      <c r="C9590" s="4">
        <v>40750</v>
      </c>
      <c r="D9590" s="4">
        <v>9457469</v>
      </c>
    </row>
    <row r="9591" spans="1:4" x14ac:dyDescent="0.25">
      <c r="A9591" t="str">
        <f>T("   481099")</f>
        <v xml:space="preserve">   481099</v>
      </c>
      <c r="B9591" t="str">
        <f>T("   AUTRES")</f>
        <v xml:space="preserve">   AUTRES</v>
      </c>
      <c r="C9591" s="4">
        <v>145816</v>
      </c>
      <c r="D9591" s="4">
        <v>57430221</v>
      </c>
    </row>
    <row r="9592" spans="1:4" x14ac:dyDescent="0.25">
      <c r="A9592" t="str">
        <f>T("   481151")</f>
        <v xml:space="preserve">   481151</v>
      </c>
      <c r="B9592" t="str">
        <f>T("   BLANCHIS, D'UN POIDS AU M² EXCEDANT 150 G")</f>
        <v xml:space="preserve">   BLANCHIS, D'UN POIDS AU M² EXCEDANT 150 G</v>
      </c>
      <c r="C9592" s="4">
        <v>6960</v>
      </c>
      <c r="D9592" s="4">
        <v>5476540</v>
      </c>
    </row>
    <row r="9593" spans="1:4" x14ac:dyDescent="0.25">
      <c r="A9593" t="str">
        <f>T("   481710")</f>
        <v xml:space="preserve">   481710</v>
      </c>
      <c r="B9593" t="str">
        <f>T("   Enveloppes")</f>
        <v xml:space="preserve">   Enveloppes</v>
      </c>
      <c r="C9593" s="4">
        <v>7604</v>
      </c>
      <c r="D9593" s="4">
        <v>3602526</v>
      </c>
    </row>
    <row r="9594" spans="1:4" x14ac:dyDescent="0.25">
      <c r="A9594" t="str">
        <f>T("   481910")</f>
        <v xml:space="preserve">   481910</v>
      </c>
      <c r="B9594" t="str">
        <f>T("   BOITES ET CAISSES EN PAPIER OU CARTON ONDULE")</f>
        <v xml:space="preserve">   BOITES ET CAISSES EN PAPIER OU CARTON ONDULE</v>
      </c>
      <c r="C9594" s="4">
        <v>17074</v>
      </c>
      <c r="D9594" s="4">
        <v>6990747</v>
      </c>
    </row>
    <row r="9595" spans="1:4" x14ac:dyDescent="0.25">
      <c r="A9595" t="str">
        <f>T("   482010")</f>
        <v xml:space="preserve">   482010</v>
      </c>
      <c r="B9595" t="str">
        <f>T("   REGISTRES, LIVRES COMPTABLES, CARNETS (DE NOTES, DE COMMANDES, DE QUITTANCES), BLOCS")</f>
        <v xml:space="preserve">   REGISTRES, LIVRES COMPTABLES, CARNETS (DE NOTES, DE COMMANDES, DE QUITTANCES), BLOCS</v>
      </c>
      <c r="C9595" s="4">
        <v>88004.9</v>
      </c>
      <c r="D9595" s="4">
        <v>34606730</v>
      </c>
    </row>
    <row r="9596" spans="1:4" x14ac:dyDescent="0.25">
      <c r="A9596" t="str">
        <f>T("   482020")</f>
        <v xml:space="preserve">   482020</v>
      </c>
      <c r="B9596" t="str">
        <f>T("   Cahiers")</f>
        <v xml:space="preserve">   Cahiers</v>
      </c>
      <c r="C9596" s="4">
        <v>1271289</v>
      </c>
      <c r="D9596" s="4">
        <v>357036026</v>
      </c>
    </row>
    <row r="9597" spans="1:4" x14ac:dyDescent="0.25">
      <c r="A9597" t="str">
        <f>T("   482030")</f>
        <v xml:space="preserve">   482030</v>
      </c>
      <c r="B9597" t="str">
        <f>T("   CLASSEURS, RELIURES (AUTRES QUE LES COUVERTURES POUR LIVRES), CHEMISES ET COUVERTURES")</f>
        <v xml:space="preserve">   CLASSEURS, RELIURES (AUTRES QUE LES COUVERTURES POUR LIVRES), CHEMISES ET COUVERTURES</v>
      </c>
      <c r="C9597" s="4">
        <v>244693.4</v>
      </c>
      <c r="D9597" s="4">
        <v>106807310</v>
      </c>
    </row>
    <row r="9598" spans="1:4" x14ac:dyDescent="0.25">
      <c r="A9598" t="str">
        <f>T("   482040")</f>
        <v xml:space="preserve">   482040</v>
      </c>
      <c r="B9598" t="str">
        <f>T("   LIASSES ET CARNETS MANIFOLD, MEME COMPORTANT DES FEUILLES DE PAPIER CARBONE")</f>
        <v xml:space="preserve">   LIASSES ET CARNETS MANIFOLD, MEME COMPORTANT DES FEUILLES DE PAPIER CARBONE</v>
      </c>
      <c r="C9598" s="4">
        <v>2214</v>
      </c>
      <c r="D9598" s="4">
        <v>1488602</v>
      </c>
    </row>
    <row r="9599" spans="1:4" x14ac:dyDescent="0.25">
      <c r="A9599" t="str">
        <f>T("   482090")</f>
        <v xml:space="preserve">   482090</v>
      </c>
      <c r="B9599" t="str">
        <f>T("   AUTRES")</f>
        <v xml:space="preserve">   AUTRES</v>
      </c>
      <c r="C9599" s="4">
        <v>63737</v>
      </c>
      <c r="D9599" s="4">
        <v>21302325</v>
      </c>
    </row>
    <row r="9600" spans="1:4" x14ac:dyDescent="0.25">
      <c r="A9600" t="str">
        <f>T("   482369")</f>
        <v xml:space="preserve">   482369</v>
      </c>
      <c r="B9600" t="str">
        <f>T("   AUTRES")</f>
        <v xml:space="preserve">   AUTRES</v>
      </c>
      <c r="C9600" s="4">
        <v>41820</v>
      </c>
      <c r="D9600" s="4">
        <v>4369198</v>
      </c>
    </row>
    <row r="9601" spans="1:4" x14ac:dyDescent="0.25">
      <c r="A9601" t="str">
        <f>T("   610469")</f>
        <v xml:space="preserve">   610469</v>
      </c>
      <c r="B9601" t="str">
        <f>T("   D'AUTRES MATIERES TEXTILES")</f>
        <v xml:space="preserve">   D'AUTRES MATIERES TEXTILES</v>
      </c>
      <c r="C9601" s="4">
        <v>1980</v>
      </c>
      <c r="D9601" s="4">
        <v>764610</v>
      </c>
    </row>
    <row r="9602" spans="1:4" x14ac:dyDescent="0.25">
      <c r="A9602" t="str">
        <f>T("   610690")</f>
        <v xml:space="preserve">   610690</v>
      </c>
      <c r="B9602" t="str">
        <f>T("   D'AUTRES MATIERES TEXTILES")</f>
        <v xml:space="preserve">   D'AUTRES MATIERES TEXTILES</v>
      </c>
      <c r="C9602" s="4">
        <v>3118</v>
      </c>
      <c r="D9602" s="4">
        <v>973838</v>
      </c>
    </row>
    <row r="9603" spans="1:4" x14ac:dyDescent="0.25">
      <c r="A9603" t="str">
        <f>T("   610990")</f>
        <v xml:space="preserve">   610990</v>
      </c>
      <c r="B9603" t="str">
        <f>T("   D'AUTRES MATIERES TEXTILES")</f>
        <v xml:space="preserve">   D'AUTRES MATIERES TEXTILES</v>
      </c>
      <c r="C9603" s="4">
        <v>2006</v>
      </c>
      <c r="D9603" s="4">
        <v>608881</v>
      </c>
    </row>
    <row r="9604" spans="1:4" x14ac:dyDescent="0.25">
      <c r="A9604" t="str">
        <f>T("   611610")</f>
        <v xml:space="preserve">   611610</v>
      </c>
      <c r="B9604" t="str">
        <f>T("   IMPREGNES, ENDUITS OU RECOUVERTS DE MATIERES PLASTIQUES OU DE CAOUTCHOUC")</f>
        <v xml:space="preserve">   IMPREGNES, ENDUITS OU RECOUVERTS DE MATIERES PLASTIQUES OU DE CAOUTCHOUC</v>
      </c>
      <c r="C9604" s="4">
        <v>210</v>
      </c>
      <c r="D9604" s="4">
        <v>4063190</v>
      </c>
    </row>
    <row r="9605" spans="1:4" x14ac:dyDescent="0.25">
      <c r="A9605" t="str">
        <f>T("   620590")</f>
        <v xml:space="preserve">   620590</v>
      </c>
      <c r="B9605" t="str">
        <f>T("   D'AUTRES MATIERES TEXTILES")</f>
        <v xml:space="preserve">   D'AUTRES MATIERES TEXTILES</v>
      </c>
      <c r="C9605" s="4">
        <v>3900</v>
      </c>
      <c r="D9605" s="4">
        <v>1092305</v>
      </c>
    </row>
    <row r="9606" spans="1:4" x14ac:dyDescent="0.25">
      <c r="A9606" t="str">
        <f>T("   630539")</f>
        <v xml:space="preserve">   630539</v>
      </c>
      <c r="B9606" t="str">
        <f>T("   AUTRES")</f>
        <v xml:space="preserve">   AUTRES</v>
      </c>
      <c r="C9606" s="4">
        <v>551</v>
      </c>
      <c r="D9606" s="4">
        <v>151000</v>
      </c>
    </row>
    <row r="9607" spans="1:4" x14ac:dyDescent="0.25">
      <c r="A9607" t="str">
        <f>T("   630900")</f>
        <v xml:space="preserve">   630900</v>
      </c>
      <c r="B9607" t="str">
        <f>T("   ARTICLES DE FRIPERIE.")</f>
        <v xml:space="preserve">   ARTICLES DE FRIPERIE.</v>
      </c>
      <c r="C9607" s="4">
        <v>22000</v>
      </c>
      <c r="D9607" s="4">
        <v>12175000</v>
      </c>
    </row>
    <row r="9608" spans="1:4" x14ac:dyDescent="0.25">
      <c r="A9608" t="str">
        <f>T("   681019")</f>
        <v xml:space="preserve">   681019</v>
      </c>
      <c r="B9608" t="str">
        <f>T("   AUTRES")</f>
        <v xml:space="preserve">   AUTRES</v>
      </c>
      <c r="C9608" s="4">
        <v>799122</v>
      </c>
      <c r="D9608" s="4">
        <v>45876574</v>
      </c>
    </row>
    <row r="9609" spans="1:4" x14ac:dyDescent="0.25">
      <c r="A9609" t="str">
        <f>T("   721049")</f>
        <v xml:space="preserve">   721049</v>
      </c>
      <c r="B9609" t="str">
        <f>T("   AUTRES")</f>
        <v xml:space="preserve">   AUTRES</v>
      </c>
      <c r="C9609" s="4">
        <v>51556</v>
      </c>
      <c r="D9609" s="4">
        <v>28492398</v>
      </c>
    </row>
    <row r="9610" spans="1:4" x14ac:dyDescent="0.25">
      <c r="A9610" t="str">
        <f>T("   731450")</f>
        <v xml:space="preserve">   731450</v>
      </c>
      <c r="B9610" t="str">
        <f>T("   TOLES ET BANDES DEPLOYEES")</f>
        <v xml:space="preserve">   TOLES ET BANDES DEPLOYEES</v>
      </c>
      <c r="C9610" s="4">
        <v>397305</v>
      </c>
      <c r="D9610" s="4">
        <v>167120045</v>
      </c>
    </row>
    <row r="9611" spans="1:4" x14ac:dyDescent="0.25">
      <c r="A9611" t="str">
        <f>T("   732111")</f>
        <v xml:space="preserve">   732111</v>
      </c>
      <c r="B9611" t="str">
        <f>T("   A COMBUSTIBLES GAZEUX OU A GAZ ET AUTRES COMBUSTIBLES")</f>
        <v xml:space="preserve">   A COMBUSTIBLES GAZEUX OU A GAZ ET AUTRES COMBUSTIBLES</v>
      </c>
      <c r="C9611" s="4">
        <v>1629</v>
      </c>
      <c r="D9611" s="4">
        <v>2622254</v>
      </c>
    </row>
    <row r="9612" spans="1:4" x14ac:dyDescent="0.25">
      <c r="A9612" t="str">
        <f>T("   732219")</f>
        <v xml:space="preserve">   732219</v>
      </c>
      <c r="B9612" t="str">
        <f>T("   AUTRES")</f>
        <v xml:space="preserve">   AUTRES</v>
      </c>
      <c r="C9612" s="4">
        <v>196</v>
      </c>
      <c r="D9612" s="4">
        <v>1092300</v>
      </c>
    </row>
    <row r="9613" spans="1:4" x14ac:dyDescent="0.25">
      <c r="A9613" t="str">
        <f>T("   732394")</f>
        <v xml:space="preserve">   732394</v>
      </c>
      <c r="B9613" t="str">
        <f>T("   EN FER OU EN ACIER, EMAILLES")</f>
        <v xml:space="preserve">   EN FER OU EN ACIER, EMAILLES</v>
      </c>
      <c r="C9613" s="4">
        <v>22781</v>
      </c>
      <c r="D9613" s="4">
        <v>13745274</v>
      </c>
    </row>
    <row r="9614" spans="1:4" x14ac:dyDescent="0.25">
      <c r="A9614" t="str">
        <f>T("   732399")</f>
        <v xml:space="preserve">   732399</v>
      </c>
      <c r="B9614" t="str">
        <f>T("   AUTRES")</f>
        <v xml:space="preserve">   AUTRES</v>
      </c>
      <c r="C9614" s="4">
        <v>63884</v>
      </c>
      <c r="D9614" s="4">
        <v>24615588</v>
      </c>
    </row>
    <row r="9615" spans="1:4" x14ac:dyDescent="0.25">
      <c r="A9615" t="str">
        <f>T("   741510")</f>
        <v xml:space="preserve">   741510</v>
      </c>
      <c r="B9615" t="str">
        <f>T("   POINTES ET CLOUS, PUNAISES, CRAMPONS APPOINTES ET ARTICLES SIMILAIRES")</f>
        <v xml:space="preserve">   POINTES ET CLOUS, PUNAISES, CRAMPONS APPOINTES ET ARTICLES SIMILAIRES</v>
      </c>
      <c r="C9615" s="4">
        <v>53500</v>
      </c>
      <c r="D9615" s="4">
        <v>13108000</v>
      </c>
    </row>
    <row r="9616" spans="1:4" x14ac:dyDescent="0.25">
      <c r="A9616" t="str">
        <f>T("   760611")</f>
        <v xml:space="preserve">   760611</v>
      </c>
      <c r="B9616" t="str">
        <f>T("   EN ALUMINIUM NON ALLIE")</f>
        <v xml:space="preserve">   EN ALUMINIUM NON ALLIE</v>
      </c>
      <c r="C9616" s="4">
        <v>238010</v>
      </c>
      <c r="D9616" s="4">
        <v>102239214</v>
      </c>
    </row>
    <row r="9617" spans="1:4" x14ac:dyDescent="0.25">
      <c r="A9617" t="str">
        <f>T("   820530")</f>
        <v xml:space="preserve">   820530</v>
      </c>
      <c r="B9617" t="str">
        <f>T("   RABOTS, CISEAUX, GOUGES ET OUTILS TRANCHANTS SIMILAIRES POUR LE TRAVAIL DU BOIS")</f>
        <v xml:space="preserve">   RABOTS, CISEAUX, GOUGES ET OUTILS TRANCHANTS SIMILAIRES POUR LE TRAVAIL DU BOIS</v>
      </c>
      <c r="C9617" s="4">
        <v>2258</v>
      </c>
      <c r="D9617" s="4">
        <v>1407258</v>
      </c>
    </row>
    <row r="9618" spans="1:4" x14ac:dyDescent="0.25">
      <c r="A9618" t="str">
        <f>T("   831130")</f>
        <v xml:space="preserve">   831130</v>
      </c>
      <c r="B9618" t="str">
        <f>T("   BAGUETTES ENROBEES ET FILS FOURRES POUR LE BRASAGE OU LE SOUDAGE A LA FLAMME, EN META")</f>
        <v xml:space="preserve">   BAGUETTES ENROBEES ET FILS FOURRES POUR LE BRASAGE OU LE SOUDAGE A LA FLAMME, EN META</v>
      </c>
      <c r="C9618" s="4">
        <v>961</v>
      </c>
      <c r="D9618" s="4">
        <v>1729201</v>
      </c>
    </row>
    <row r="9619" spans="1:4" x14ac:dyDescent="0.25">
      <c r="A9619" t="str">
        <f>T("   841451")</f>
        <v xml:space="preserve">   841451</v>
      </c>
      <c r="B9619" t="str">
        <f>T("   VENTILATEURS DE TABLE, DE SOL, MURAUX, PLAFONNIERS, DE TOITURES OU DE FENETRES, A MO")</f>
        <v xml:space="preserve">   VENTILATEURS DE TABLE, DE SOL, MURAUX, PLAFONNIERS, DE TOITURES OU DE FENETRES, A MO</v>
      </c>
      <c r="C9619" s="4">
        <v>7878</v>
      </c>
      <c r="D9619" s="4">
        <v>9258533</v>
      </c>
    </row>
    <row r="9620" spans="1:4" x14ac:dyDescent="0.25">
      <c r="A9620" t="str">
        <f>T("   841459")</f>
        <v xml:space="preserve">   841459</v>
      </c>
      <c r="B9620" t="str">
        <f>T("   AUTRES")</f>
        <v xml:space="preserve">   AUTRES</v>
      </c>
      <c r="C9620" s="4">
        <v>5989</v>
      </c>
      <c r="D9620" s="4">
        <v>5723729</v>
      </c>
    </row>
    <row r="9621" spans="1:4" x14ac:dyDescent="0.25">
      <c r="A9621" t="str">
        <f>T("   841480")</f>
        <v xml:space="preserve">   841480</v>
      </c>
      <c r="B9621" t="str">
        <f>T("   AUTRES")</f>
        <v xml:space="preserve">   AUTRES</v>
      </c>
      <c r="C9621" s="4">
        <v>6695</v>
      </c>
      <c r="D9621" s="4">
        <v>4767234</v>
      </c>
    </row>
    <row r="9622" spans="1:4" x14ac:dyDescent="0.25">
      <c r="A9622" t="str">
        <f>T("   841510")</f>
        <v xml:space="preserve">   841510</v>
      </c>
      <c r="B9622" t="str">
        <f>T("   DU TYPE MURAL OU POUR FENETRES, FORMANT UN SEUL CORPS OU DU TYPE «SPLITSYSTEM» (SYST")</f>
        <v xml:space="preserve">   DU TYPE MURAL OU POUR FENETRES, FORMANT UN SEUL CORPS OU DU TYPE «SPLITSYSTEM» (SYST</v>
      </c>
      <c r="C9622" s="4">
        <v>254216.39</v>
      </c>
      <c r="D9622" s="4">
        <v>147769985</v>
      </c>
    </row>
    <row r="9623" spans="1:4" x14ac:dyDescent="0.25">
      <c r="A9623" t="str">
        <f>T("   841581")</f>
        <v xml:space="preserve">   841581</v>
      </c>
      <c r="B9623" t="str">
        <f>T("   AVEC DISPOSITIF DE REFRIGERATION ET SOUPAPE D’INVERSION DU CYCLE THERMIQUE (POMPES A")</f>
        <v xml:space="preserve">   AVEC DISPOSITIF DE REFRIGERATION ET SOUPAPE D’INVERSION DU CYCLE THERMIQUE (POMPES A</v>
      </c>
      <c r="C9623" s="4">
        <v>40</v>
      </c>
      <c r="D9623" s="4">
        <v>2666978</v>
      </c>
    </row>
    <row r="9624" spans="1:4" x14ac:dyDescent="0.25">
      <c r="A9624" t="str">
        <f>T("   841810")</f>
        <v xml:space="preserve">   841810</v>
      </c>
      <c r="B9624" t="str">
        <f>T("   COMBINAISONS DE REFRIGERATEURS ET DE CONGELATEURSCONSERVATEURS MUNIS DE PORTES EXTER")</f>
        <v xml:space="preserve">   COMBINAISONS DE REFRIGERATEURS ET DE CONGELATEURSCONSERVATEURS MUNIS DE PORTES EXTER</v>
      </c>
      <c r="C9624" s="4">
        <v>4447</v>
      </c>
      <c r="D9624" s="4">
        <v>2875806</v>
      </c>
    </row>
    <row r="9625" spans="1:4" x14ac:dyDescent="0.25">
      <c r="A9625" t="str">
        <f>T("   841829")</f>
        <v xml:space="preserve">   841829</v>
      </c>
      <c r="B9625" t="str">
        <f>T("   AUTRES")</f>
        <v xml:space="preserve">   AUTRES</v>
      </c>
      <c r="C9625" s="4">
        <v>133295</v>
      </c>
      <c r="D9625" s="4">
        <v>102284015</v>
      </c>
    </row>
    <row r="9626" spans="1:4" x14ac:dyDescent="0.25">
      <c r="A9626" t="str">
        <f>T("   841830")</f>
        <v xml:space="preserve">   841830</v>
      </c>
      <c r="B9626" t="str">
        <f>T("   MEUBLES CONGELATEURSCONSERVATEURS DU TYPE COFFRE, D'UNE CAPACITE N'EXCEDANT PAS 800 ")</f>
        <v xml:space="preserve">   MEUBLES CONGELATEURSCONSERVATEURS DU TYPE COFFRE, D'UNE CAPACITE N'EXCEDANT PAS 800 </v>
      </c>
      <c r="C9626" s="4">
        <v>4943</v>
      </c>
      <c r="D9626" s="4">
        <v>11971554</v>
      </c>
    </row>
    <row r="9627" spans="1:4" x14ac:dyDescent="0.25">
      <c r="A9627" t="str">
        <f>T("   841840")</f>
        <v xml:space="preserve">   841840</v>
      </c>
      <c r="B9627" t="str">
        <f>T("   MEUBLES CONGELATEURSCONSERVATEURS DU TYPE ARMOIRE, D'UNE CAPACITE N'EXCEDANT PAS 900")</f>
        <v xml:space="preserve">   MEUBLES CONGELATEURSCONSERVATEURS DU TYPE ARMOIRE, D'UNE CAPACITE N'EXCEDANT PAS 900</v>
      </c>
      <c r="C9627" s="4">
        <v>4176</v>
      </c>
      <c r="D9627" s="4">
        <v>5932153</v>
      </c>
    </row>
    <row r="9628" spans="1:4" x14ac:dyDescent="0.25">
      <c r="A9628" t="str">
        <f>T("   841850")</f>
        <v xml:space="preserve">   841850</v>
      </c>
      <c r="B9628" t="str">
        <f>T("   AUTRES MEUBLES (COFFRES, ARMOIRES, VITRINES, COMPTOIRS ET SIMILAIRES), POUR LA CONSER")</f>
        <v xml:space="preserve">   AUTRES MEUBLES (COFFRES, ARMOIRES, VITRINES, COMPTOIRS ET SIMILAIRES), POUR LA CONSER</v>
      </c>
      <c r="C9628" s="4">
        <v>1795</v>
      </c>
      <c r="D9628" s="4">
        <v>3705078</v>
      </c>
    </row>
    <row r="9629" spans="1:4" x14ac:dyDescent="0.25">
      <c r="A9629" t="str">
        <f>T("   841899")</f>
        <v xml:space="preserve">   841899</v>
      </c>
      <c r="B9629" t="str">
        <f>T("   AUTRES")</f>
        <v xml:space="preserve">   AUTRES</v>
      </c>
      <c r="C9629" s="4">
        <v>23</v>
      </c>
      <c r="D9629" s="4">
        <v>67216</v>
      </c>
    </row>
    <row r="9630" spans="1:4" x14ac:dyDescent="0.25">
      <c r="A9630" t="str">
        <f>T("   842211")</f>
        <v xml:space="preserve">   842211</v>
      </c>
      <c r="B9630" t="str">
        <f>T("   DE TYPE MENAGER")</f>
        <v xml:space="preserve">   DE TYPE MENAGER</v>
      </c>
      <c r="C9630" s="4">
        <v>900</v>
      </c>
      <c r="D9630" s="4">
        <v>1092300</v>
      </c>
    </row>
    <row r="9631" spans="1:4" x14ac:dyDescent="0.25">
      <c r="A9631" t="str">
        <f>T("   843149")</f>
        <v xml:space="preserve">   843149</v>
      </c>
      <c r="B9631" t="str">
        <f>T("   AUTRES")</f>
        <v xml:space="preserve">   AUTRES</v>
      </c>
      <c r="C9631" s="4">
        <v>1801</v>
      </c>
      <c r="D9631" s="4">
        <v>36626884</v>
      </c>
    </row>
    <row r="9632" spans="1:4" x14ac:dyDescent="0.25">
      <c r="A9632" t="str">
        <f>T("   843280")</f>
        <v xml:space="preserve">   843280</v>
      </c>
      <c r="B9632" t="str">
        <f>T("   AUTRES MACHINES, APPAREILS ET ENGINS")</f>
        <v xml:space="preserve">   AUTRES MACHINES, APPAREILS ET ENGINS</v>
      </c>
      <c r="C9632" s="4">
        <v>6500</v>
      </c>
      <c r="D9632" s="4">
        <v>5974752</v>
      </c>
    </row>
    <row r="9633" spans="1:4" x14ac:dyDescent="0.25">
      <c r="A9633" t="str">
        <f>T("   845019")</f>
        <v xml:space="preserve">   845019</v>
      </c>
      <c r="B9633" t="str">
        <f>T("   AUTRES")</f>
        <v xml:space="preserve">   AUTRES</v>
      </c>
      <c r="C9633" s="4">
        <v>730</v>
      </c>
      <c r="D9633" s="4">
        <v>1253179</v>
      </c>
    </row>
    <row r="9634" spans="1:4" x14ac:dyDescent="0.25">
      <c r="A9634" t="str">
        <f>T("   847050")</f>
        <v xml:space="preserve">   847050</v>
      </c>
      <c r="B9634" t="str">
        <f>T("   Caisses enregistreuses")</f>
        <v xml:space="preserve">   Caisses enregistreuses</v>
      </c>
      <c r="C9634" s="4">
        <v>170</v>
      </c>
      <c r="D9634" s="4">
        <v>322139</v>
      </c>
    </row>
    <row r="9635" spans="1:4" x14ac:dyDescent="0.25">
      <c r="A9635" t="str">
        <f>T("   847990")</f>
        <v xml:space="preserve">   847990</v>
      </c>
      <c r="B9635" t="str">
        <f>T("   PARTIES")</f>
        <v xml:space="preserve">   PARTIES</v>
      </c>
      <c r="C9635" s="4">
        <v>6</v>
      </c>
      <c r="D9635" s="4">
        <v>1462192</v>
      </c>
    </row>
    <row r="9636" spans="1:4" x14ac:dyDescent="0.25">
      <c r="A9636" t="str">
        <f>T("   850211")</f>
        <v xml:space="preserve">   850211</v>
      </c>
      <c r="B9636" t="str">
        <f>T("   D'UNE PUISSANCE N'EXCEDANT PAS 75 KVA")</f>
        <v xml:space="preserve">   D'UNE PUISSANCE N'EXCEDANT PAS 75 KVA</v>
      </c>
      <c r="C9636" s="4">
        <v>5000</v>
      </c>
      <c r="D9636" s="4">
        <v>5488810</v>
      </c>
    </row>
    <row r="9637" spans="1:4" x14ac:dyDescent="0.25">
      <c r="A9637" t="str">
        <f>T("   850940")</f>
        <v xml:space="preserve">   850940</v>
      </c>
      <c r="B9637" t="str">
        <f>T("   BROYEURS ET MELANGEURS POUR ALIMENTS; PRESSEFRUITS ET PRESSELEGUMES")</f>
        <v xml:space="preserve">   BROYEURS ET MELANGEURS POUR ALIMENTS; PRESSEFRUITS ET PRESSELEGUMES</v>
      </c>
      <c r="C9637" s="4">
        <v>2953</v>
      </c>
      <c r="D9637" s="4">
        <v>3978747</v>
      </c>
    </row>
    <row r="9638" spans="1:4" x14ac:dyDescent="0.25">
      <c r="A9638" t="str">
        <f>T("   851629")</f>
        <v xml:space="preserve">   851629</v>
      </c>
      <c r="B9638" t="str">
        <f>T("   AUTRES")</f>
        <v xml:space="preserve">   AUTRES</v>
      </c>
      <c r="C9638" s="4">
        <v>500</v>
      </c>
      <c r="D9638" s="4">
        <v>1322910</v>
      </c>
    </row>
    <row r="9639" spans="1:4" x14ac:dyDescent="0.25">
      <c r="A9639" t="str">
        <f>T("   851640")</f>
        <v xml:space="preserve">   851640</v>
      </c>
      <c r="B9639" t="str">
        <f>T("   Fers a repasser electriques")</f>
        <v xml:space="preserve">   Fers a repasser electriques</v>
      </c>
      <c r="C9639" s="4">
        <v>870</v>
      </c>
      <c r="D9639" s="4">
        <v>1322451</v>
      </c>
    </row>
    <row r="9640" spans="1:4" x14ac:dyDescent="0.25">
      <c r="A9640" t="str">
        <f>T("   851650")</f>
        <v xml:space="preserve">   851650</v>
      </c>
      <c r="B9640" t="str">
        <f>T("   FOURS A MICROONDES")</f>
        <v xml:space="preserve">   FOURS A MICROONDES</v>
      </c>
      <c r="C9640" s="4">
        <v>721</v>
      </c>
      <c r="D9640" s="4">
        <v>1125474</v>
      </c>
    </row>
    <row r="9641" spans="1:4" x14ac:dyDescent="0.25">
      <c r="A9641" t="str">
        <f>T("   851660")</f>
        <v xml:space="preserve">   851660</v>
      </c>
      <c r="B9641" t="str">
        <f>T("   AUTRES FOURS; CUISINIERES, RECHAUDS (Y COMPRIS LES TABLES DE CUISSON), GRILS ET ROTIS")</f>
        <v xml:space="preserve">   AUTRES FOURS; CUISINIERES, RECHAUDS (Y COMPRIS LES TABLES DE CUISSON), GRILS ET ROTIS</v>
      </c>
      <c r="C9641" s="4">
        <v>1300</v>
      </c>
      <c r="D9641" s="4">
        <v>1092300</v>
      </c>
    </row>
    <row r="9642" spans="1:4" x14ac:dyDescent="0.25">
      <c r="A9642" t="str">
        <f>T("   851679")</f>
        <v xml:space="preserve">   851679</v>
      </c>
      <c r="B9642" t="str">
        <f>T("   AUTRES")</f>
        <v xml:space="preserve">   AUTRES</v>
      </c>
      <c r="C9642" s="4">
        <v>275</v>
      </c>
      <c r="D9642" s="4">
        <v>377440</v>
      </c>
    </row>
    <row r="9643" spans="1:4" x14ac:dyDescent="0.25">
      <c r="A9643" t="str">
        <f>T("   851712")</f>
        <v xml:space="preserve">   851712</v>
      </c>
      <c r="B9643" t="str">
        <f>T("   TELEPHONES POUR RESEAUX CELLULAIRES ET POUR AUTRES RESEAUX SANS FIL")</f>
        <v xml:space="preserve">   TELEPHONES POUR RESEAUX CELLULAIRES ET POUR AUTRES RESEAUX SANS FIL</v>
      </c>
      <c r="C9643" s="4">
        <v>963</v>
      </c>
      <c r="D9643" s="4">
        <v>61091342</v>
      </c>
    </row>
    <row r="9644" spans="1:4" x14ac:dyDescent="0.25">
      <c r="A9644" t="str">
        <f>T("   851718")</f>
        <v xml:space="preserve">   851718</v>
      </c>
      <c r="B9644" t="str">
        <f>T("   AUTRES")</f>
        <v xml:space="preserve">   AUTRES</v>
      </c>
      <c r="C9644" s="4">
        <v>31</v>
      </c>
      <c r="D9644" s="4">
        <v>56760</v>
      </c>
    </row>
    <row r="9645" spans="1:4" x14ac:dyDescent="0.25">
      <c r="A9645" t="str">
        <f>T("   851762")</f>
        <v xml:space="preserve">   851762</v>
      </c>
      <c r="B9645" t="str">
        <f>T("   APPAREILS POUR LA RECEPTION, LA CONVERSION ET L'EMISSION, LA TRANSMISSION OU LA REGE")</f>
        <v xml:space="preserve">   APPAREILS POUR LA RECEPTION, LA CONVERSION ET L'EMISSION, LA TRANSMISSION OU LA REGE</v>
      </c>
      <c r="C9645" s="4">
        <v>235</v>
      </c>
      <c r="D9645" s="4">
        <v>3165125</v>
      </c>
    </row>
    <row r="9646" spans="1:4" x14ac:dyDescent="0.25">
      <c r="A9646" t="str">
        <f>T("   851770")</f>
        <v xml:space="preserve">   851770</v>
      </c>
      <c r="B9646" t="str">
        <f>T("   PARTIES")</f>
        <v xml:space="preserve">   PARTIES</v>
      </c>
      <c r="C9646" s="4">
        <v>1168</v>
      </c>
      <c r="D9646" s="4">
        <v>34215284</v>
      </c>
    </row>
    <row r="9647" spans="1:4" x14ac:dyDescent="0.25">
      <c r="A9647" t="str">
        <f>T("   851829")</f>
        <v xml:space="preserve">   851829</v>
      </c>
      <c r="B9647" t="str">
        <f>T("   AUTRES")</f>
        <v xml:space="preserve">   AUTRES</v>
      </c>
      <c r="C9647" s="4">
        <v>108</v>
      </c>
      <c r="D9647" s="4">
        <v>327980</v>
      </c>
    </row>
    <row r="9648" spans="1:4" x14ac:dyDescent="0.25">
      <c r="A9648" t="str">
        <f>T("   852190")</f>
        <v xml:space="preserve">   852190</v>
      </c>
      <c r="B9648" t="str">
        <f>T("   AUTRES")</f>
        <v xml:space="preserve">   AUTRES</v>
      </c>
      <c r="C9648" s="4">
        <v>1184</v>
      </c>
      <c r="D9648" s="4">
        <v>3317984</v>
      </c>
    </row>
    <row r="9649" spans="1:4" x14ac:dyDescent="0.25">
      <c r="A9649" t="str">
        <f>T("   852550")</f>
        <v xml:space="preserve">   852550</v>
      </c>
      <c r="B9649" t="str">
        <f>T("   APPAREILS D'EMISSION")</f>
        <v xml:space="preserve">   APPAREILS D'EMISSION</v>
      </c>
      <c r="C9649" s="4">
        <v>23878</v>
      </c>
      <c r="D9649" s="4">
        <v>15750912</v>
      </c>
    </row>
    <row r="9650" spans="1:4" x14ac:dyDescent="0.25">
      <c r="A9650" t="str">
        <f>T("   852713")</f>
        <v xml:space="preserve">   852713</v>
      </c>
      <c r="B9650" t="str">
        <f>T("   AUTRES APPAREILS COMBINES A UN APPAREIL D'ENREGISTREMENT OU DE REPRODUCTION DU SON")</f>
        <v xml:space="preserve">   AUTRES APPAREILS COMBINES A UN APPAREIL D'ENREGISTREMENT OU DE REPRODUCTION DU SON</v>
      </c>
      <c r="C9650" s="4">
        <v>700</v>
      </c>
      <c r="D9650" s="4">
        <v>1212152</v>
      </c>
    </row>
    <row r="9651" spans="1:4" x14ac:dyDescent="0.25">
      <c r="A9651" t="str">
        <f>T("   852719")</f>
        <v xml:space="preserve">   852719</v>
      </c>
      <c r="B9651" t="str">
        <f>T("   AUTRES")</f>
        <v xml:space="preserve">   AUTRES</v>
      </c>
      <c r="C9651" s="4">
        <v>33418</v>
      </c>
      <c r="D9651" s="4">
        <v>50909866</v>
      </c>
    </row>
    <row r="9652" spans="1:4" x14ac:dyDescent="0.25">
      <c r="A9652" t="str">
        <f>T("   852791")</f>
        <v xml:space="preserve">   852791</v>
      </c>
      <c r="B9652" t="str">
        <f>T("   COMBINES A UN APPAREIL D'ENREGISTREMENT OU DE REPRODUCTION DU SON")</f>
        <v xml:space="preserve">   COMBINES A UN APPAREIL D'ENREGISTREMENT OU DE REPRODUCTION DU SON</v>
      </c>
      <c r="C9652" s="4">
        <v>366</v>
      </c>
      <c r="D9652" s="4">
        <v>632826</v>
      </c>
    </row>
    <row r="9653" spans="1:4" x14ac:dyDescent="0.25">
      <c r="A9653" t="str">
        <f>T("   852849")</f>
        <v xml:space="preserve">   852849</v>
      </c>
      <c r="B9653" t="str">
        <f>T("   AUTRES")</f>
        <v xml:space="preserve">   AUTRES</v>
      </c>
      <c r="C9653" s="4">
        <v>32908</v>
      </c>
      <c r="D9653" s="4">
        <v>34409014</v>
      </c>
    </row>
    <row r="9654" spans="1:4" x14ac:dyDescent="0.25">
      <c r="A9654" t="str">
        <f>T("   852859")</f>
        <v xml:space="preserve">   852859</v>
      </c>
      <c r="B9654" t="str">
        <f>T("   AUTRES")</f>
        <v xml:space="preserve">   AUTRES</v>
      </c>
      <c r="C9654" s="4">
        <v>187</v>
      </c>
      <c r="D9654" s="4">
        <v>1060005</v>
      </c>
    </row>
    <row r="9655" spans="1:4" x14ac:dyDescent="0.25">
      <c r="A9655" t="str">
        <f>T("   852873")</f>
        <v xml:space="preserve">   852873</v>
      </c>
      <c r="B9655" t="str">
        <f>T("   AUTRES, EN MONOCHROMES")</f>
        <v xml:space="preserve">   AUTRES, EN MONOCHROMES</v>
      </c>
      <c r="C9655" s="4">
        <v>28363</v>
      </c>
      <c r="D9655" s="4">
        <v>20117674</v>
      </c>
    </row>
    <row r="9656" spans="1:4" x14ac:dyDescent="0.25">
      <c r="A9656" t="str">
        <f>T("   852910")</f>
        <v xml:space="preserve">   852910</v>
      </c>
      <c r="B9656" t="str">
        <f>T("   ANTENNES ET REFLECTEURS D’ANTENNES DE TOUS TYPES; PARTIES RECONNAISSABLES COMME ETANT")</f>
        <v xml:space="preserve">   ANTENNES ET REFLECTEURS D’ANTENNES DE TOUS TYPES; PARTIES RECONNAISSABLES COMME ETANT</v>
      </c>
      <c r="C9656" s="4">
        <v>82</v>
      </c>
      <c r="D9656" s="4">
        <v>6431835</v>
      </c>
    </row>
    <row r="9657" spans="1:4" x14ac:dyDescent="0.25">
      <c r="A9657" t="str">
        <f>T("   852990")</f>
        <v xml:space="preserve">   852990</v>
      </c>
      <c r="B9657" t="str">
        <f>T("   AUTRES")</f>
        <v xml:space="preserve">   AUTRES</v>
      </c>
      <c r="C9657" s="4">
        <v>914</v>
      </c>
      <c r="D9657" s="4">
        <v>61032321</v>
      </c>
    </row>
    <row r="9658" spans="1:4" x14ac:dyDescent="0.25">
      <c r="A9658" t="str">
        <f>T("   853339")</f>
        <v xml:space="preserve">   853339</v>
      </c>
      <c r="B9658" t="str">
        <f>T("   AUTRES")</f>
        <v xml:space="preserve">   AUTRES</v>
      </c>
      <c r="C9658" s="4">
        <v>12951</v>
      </c>
      <c r="D9658" s="4">
        <v>7449022</v>
      </c>
    </row>
    <row r="9659" spans="1:4" x14ac:dyDescent="0.25">
      <c r="A9659" t="str">
        <f>T("   853690")</f>
        <v xml:space="preserve">   853690</v>
      </c>
      <c r="B9659" t="str">
        <f>T("   AUTRES APPAREILS")</f>
        <v xml:space="preserve">   AUTRES APPAREILS</v>
      </c>
      <c r="C9659" s="4">
        <v>72401</v>
      </c>
      <c r="D9659" s="4">
        <v>44784092</v>
      </c>
    </row>
    <row r="9660" spans="1:4" x14ac:dyDescent="0.25">
      <c r="A9660" t="str">
        <f>T("   853720")</f>
        <v xml:space="preserve">   853720</v>
      </c>
      <c r="B9660" t="str">
        <f>T("   POUR UNE TENSION EXCEDANT 1.000 V")</f>
        <v xml:space="preserve">   POUR UNE TENSION EXCEDANT 1.000 V</v>
      </c>
      <c r="C9660" s="4">
        <v>2100</v>
      </c>
      <c r="D9660" s="4">
        <v>8029606</v>
      </c>
    </row>
    <row r="9661" spans="1:4" x14ac:dyDescent="0.25">
      <c r="A9661" t="str">
        <f>T("   854420")</f>
        <v xml:space="preserve">   854420</v>
      </c>
      <c r="B9661" t="str">
        <f>T("   Cables coaxiaux et autres conducteurs electriques coaxiaux")</f>
        <v xml:space="preserve">   Cables coaxiaux et autres conducteurs electriques coaxiaux</v>
      </c>
      <c r="C9661" s="4">
        <v>2357</v>
      </c>
      <c r="D9661" s="4">
        <v>88931391</v>
      </c>
    </row>
    <row r="9662" spans="1:4" x14ac:dyDescent="0.25">
      <c r="A9662" t="str">
        <f>T("   854449")</f>
        <v xml:space="preserve">   854449</v>
      </c>
      <c r="B9662" t="str">
        <f>T("   AUTRES")</f>
        <v xml:space="preserve">   AUTRES</v>
      </c>
      <c r="C9662" s="4">
        <v>4128</v>
      </c>
      <c r="D9662" s="4">
        <v>147529074</v>
      </c>
    </row>
    <row r="9663" spans="1:4" x14ac:dyDescent="0.25">
      <c r="A9663" t="str">
        <f>T("   854470")</f>
        <v xml:space="preserve">   854470</v>
      </c>
      <c r="B9663" t="str">
        <f>T("   Cables de fibres optiques")</f>
        <v xml:space="preserve">   Cables de fibres optiques</v>
      </c>
      <c r="C9663" s="4">
        <v>53824</v>
      </c>
      <c r="D9663" s="4">
        <v>173600646</v>
      </c>
    </row>
    <row r="9664" spans="1:4" x14ac:dyDescent="0.25">
      <c r="A9664" t="str">
        <f>T("   901720")</f>
        <v xml:space="preserve">   901720</v>
      </c>
      <c r="B9664" t="str">
        <f>T("   AUTRES INSTRUMENTS DE DESSIN, DE TRACAGE OU DE CALCUL")</f>
        <v xml:space="preserve">   AUTRES INSTRUMENTS DE DESSIN, DE TRACAGE OU DE CALCUL</v>
      </c>
      <c r="C9664" s="4">
        <v>168840</v>
      </c>
      <c r="D9664" s="4">
        <v>90513459</v>
      </c>
    </row>
    <row r="9665" spans="1:4" x14ac:dyDescent="0.25">
      <c r="A9665" t="str">
        <f>T("   901780")</f>
        <v xml:space="preserve">   901780</v>
      </c>
      <c r="B9665" t="str">
        <f>T("   AUTRES INSTRUMENTS")</f>
        <v xml:space="preserve">   AUTRES INSTRUMENTS</v>
      </c>
      <c r="C9665" s="4">
        <v>4864</v>
      </c>
      <c r="D9665" s="4">
        <v>3175316</v>
      </c>
    </row>
    <row r="9666" spans="1:4" x14ac:dyDescent="0.25">
      <c r="A9666" t="str">
        <f>T("   903289")</f>
        <v xml:space="preserve">   903289</v>
      </c>
      <c r="B9666" t="str">
        <f>T("   AUTRES")</f>
        <v xml:space="preserve">   AUTRES</v>
      </c>
      <c r="C9666" s="4">
        <v>1451</v>
      </c>
      <c r="D9666" s="4">
        <v>2152703</v>
      </c>
    </row>
    <row r="9667" spans="1:4" x14ac:dyDescent="0.25">
      <c r="A9667" t="str">
        <f>T("   940310")</f>
        <v xml:space="preserve">   940310</v>
      </c>
      <c r="B9667" t="str">
        <f>T("   MEUBLES EN METAL DES TYPES UTILISES DANS LES BUREAUX")</f>
        <v xml:space="preserve">   MEUBLES EN METAL DES TYPES UTILISES DANS LES BUREAUX</v>
      </c>
      <c r="C9667" s="4">
        <v>7</v>
      </c>
      <c r="D9667" s="4">
        <v>100900</v>
      </c>
    </row>
    <row r="9668" spans="1:4" x14ac:dyDescent="0.25">
      <c r="A9668" t="str">
        <f>T("   940389")</f>
        <v xml:space="preserve">   940389</v>
      </c>
      <c r="B9668" t="str">
        <f>T("   AUTRES")</f>
        <v xml:space="preserve">   AUTRES</v>
      </c>
      <c r="C9668" s="4">
        <v>13900</v>
      </c>
      <c r="D9668" s="4">
        <v>2200000</v>
      </c>
    </row>
    <row r="9669" spans="1:4" x14ac:dyDescent="0.25">
      <c r="A9669" t="str">
        <f>T("   960810")</f>
        <v xml:space="preserve">   960810</v>
      </c>
      <c r="B9669" t="str">
        <f>T("   STYLOS ET CRAYONS A BILLE")</f>
        <v xml:space="preserve">   STYLOS ET CRAYONS A BILLE</v>
      </c>
      <c r="C9669" s="4">
        <v>10202</v>
      </c>
      <c r="D9669" s="4">
        <v>12711061</v>
      </c>
    </row>
    <row r="9670" spans="1:4" x14ac:dyDescent="0.25">
      <c r="A9670" t="str">
        <f>T("   960820")</f>
        <v xml:space="preserve">   960820</v>
      </c>
      <c r="B9670" t="str">
        <f>T("   STYLOS ET MARQUEURS A MECHE FEUTRE OU A AUTRES POINTES POREUSES")</f>
        <v xml:space="preserve">   STYLOS ET MARQUEURS A MECHE FEUTRE OU A AUTRES POINTES POREUSES</v>
      </c>
      <c r="C9670" s="4">
        <v>9889</v>
      </c>
      <c r="D9670" s="4">
        <v>6675280</v>
      </c>
    </row>
    <row r="9671" spans="1:4" x14ac:dyDescent="0.25">
      <c r="A9671" t="str">
        <f>T("   960990")</f>
        <v xml:space="preserve">   960990</v>
      </c>
      <c r="B9671" t="str">
        <f>T("   AUTRES")</f>
        <v xml:space="preserve">   AUTRES</v>
      </c>
      <c r="C9671" s="4">
        <v>9982</v>
      </c>
      <c r="D9671" s="4">
        <v>909527</v>
      </c>
    </row>
    <row r="9672" spans="1:4" x14ac:dyDescent="0.25">
      <c r="A9672" t="str">
        <f>T("   961000")</f>
        <v xml:space="preserve">   961000</v>
      </c>
      <c r="B9672" t="str">
        <f>T("   ARDOISES ET TABLEAUX POUR L'ECRITURE OU LE DESSIN, MEME ENCADRES.")</f>
        <v xml:space="preserve">   ARDOISES ET TABLEAUX POUR L'ECRITURE OU LE DESSIN, MEME ENCADRES.</v>
      </c>
      <c r="C9672" s="4">
        <v>13110</v>
      </c>
      <c r="D9672" s="4">
        <v>5482228</v>
      </c>
    </row>
    <row r="9673" spans="1:4" s="5" customFormat="1" x14ac:dyDescent="0.25">
      <c r="A9673" s="5" t="str">
        <f>T("   ZZ_Total_Produit_SH6")</f>
        <v xml:space="preserve">   ZZ_Total_Produit_SH6</v>
      </c>
      <c r="B9673" s="5" t="str">
        <f>T("   ZZ_Total_Produit_SH6")</f>
        <v xml:space="preserve">   ZZ_Total_Produit_SH6</v>
      </c>
      <c r="C9673" s="1">
        <v>84450874.689999998</v>
      </c>
      <c r="D9673" s="1">
        <v>29733946043.347</v>
      </c>
    </row>
    <row r="9674" spans="1:4" s="5" customFormat="1" x14ac:dyDescent="0.25">
      <c r="B9674" s="5" t="str">
        <f>T("Slovénie")</f>
        <v>Slovénie</v>
      </c>
      <c r="C9674" s="1"/>
      <c r="D9674" s="1"/>
    </row>
    <row r="9675" spans="1:4" x14ac:dyDescent="0.25">
      <c r="A9675" t="str">
        <f>T("   610990")</f>
        <v xml:space="preserve">   610990</v>
      </c>
      <c r="B9675" t="str">
        <f>T("   D'AUTRES MATIERES TEXTILES")</f>
        <v xml:space="preserve">   D'AUTRES MATIERES TEXTILES</v>
      </c>
      <c r="C9675" s="4">
        <v>0.4</v>
      </c>
      <c r="D9675" s="4">
        <v>120822</v>
      </c>
    </row>
    <row r="9676" spans="1:4" s="5" customFormat="1" x14ac:dyDescent="0.25">
      <c r="A9676" s="5" t="str">
        <f>T("   ZZ_Total_Produit_SH6")</f>
        <v xml:space="preserve">   ZZ_Total_Produit_SH6</v>
      </c>
      <c r="B9676" s="5" t="str">
        <f>T("   ZZ_Total_Produit_SH6")</f>
        <v xml:space="preserve">   ZZ_Total_Produit_SH6</v>
      </c>
      <c r="C9676" s="1">
        <v>0.4</v>
      </c>
      <c r="D9676" s="1">
        <v>120822</v>
      </c>
    </row>
    <row r="9677" spans="1:4" s="5" customFormat="1" x14ac:dyDescent="0.25">
      <c r="B9677" s="5" t="str">
        <f>T("Svalbard et île Jan Mayen")</f>
        <v>Svalbard et île Jan Mayen</v>
      </c>
      <c r="C9677" s="1"/>
      <c r="D9677" s="1"/>
    </row>
    <row r="9678" spans="1:4" x14ac:dyDescent="0.25">
      <c r="A9678" t="str">
        <f>T("   853910")</f>
        <v xml:space="preserve">   853910</v>
      </c>
      <c r="B9678" t="str">
        <f>T("   ARTICLES DITS «PHARES ET PROJECTEURS SCELLES»")</f>
        <v xml:space="preserve">   ARTICLES DITS «PHARES ET PROJECTEURS SCELLES»</v>
      </c>
      <c r="C9678" s="4">
        <v>9.5</v>
      </c>
      <c r="D9678" s="4">
        <v>234011</v>
      </c>
    </row>
    <row r="9679" spans="1:4" s="5" customFormat="1" x14ac:dyDescent="0.25">
      <c r="A9679" s="5" t="str">
        <f>T("   ZZ_Total_Produit_SH6")</f>
        <v xml:space="preserve">   ZZ_Total_Produit_SH6</v>
      </c>
      <c r="B9679" s="5" t="str">
        <f>T("   ZZ_Total_Produit_SH6")</f>
        <v xml:space="preserve">   ZZ_Total_Produit_SH6</v>
      </c>
      <c r="C9679" s="1">
        <v>9.5</v>
      </c>
      <c r="D9679" s="1">
        <v>234011</v>
      </c>
    </row>
    <row r="9680" spans="1:4" s="5" customFormat="1" x14ac:dyDescent="0.25">
      <c r="B9680" s="5" t="str">
        <f>T("Slovaquie")</f>
        <v>Slovaquie</v>
      </c>
      <c r="C9680" s="1"/>
      <c r="D9680" s="1"/>
    </row>
    <row r="9681" spans="1:4" x14ac:dyDescent="0.25">
      <c r="A9681" t="str">
        <f>T("   392690")</f>
        <v xml:space="preserve">   392690</v>
      </c>
      <c r="B9681" t="str">
        <f>T("   AUTRES")</f>
        <v xml:space="preserve">   AUTRES</v>
      </c>
      <c r="C9681" s="4">
        <v>1</v>
      </c>
      <c r="D9681" s="4">
        <v>5248</v>
      </c>
    </row>
    <row r="9682" spans="1:4" x14ac:dyDescent="0.25">
      <c r="A9682" t="str">
        <f>T("   630900")</f>
        <v xml:space="preserve">   630900</v>
      </c>
      <c r="B9682" t="str">
        <f>T("   ARTICLES DE FRIPERIE.")</f>
        <v xml:space="preserve">   ARTICLES DE FRIPERIE.</v>
      </c>
      <c r="C9682" s="4">
        <v>31880</v>
      </c>
      <c r="D9682" s="4">
        <v>19634000</v>
      </c>
    </row>
    <row r="9683" spans="1:4" x14ac:dyDescent="0.25">
      <c r="A9683" t="str">
        <f>T("   850440")</f>
        <v xml:space="preserve">   850440</v>
      </c>
      <c r="B9683" t="str">
        <f>T("   CONVERTISSEURS STATIQUES")</f>
        <v xml:space="preserve">   CONVERTISSEURS STATIQUES</v>
      </c>
      <c r="C9683" s="4">
        <v>43</v>
      </c>
      <c r="D9683" s="4">
        <v>857820</v>
      </c>
    </row>
    <row r="9684" spans="1:4" x14ac:dyDescent="0.25">
      <c r="A9684" t="str">
        <f>T("   870120")</f>
        <v xml:space="preserve">   870120</v>
      </c>
      <c r="B9684" t="str">
        <f>T("   TRACTEURS ROUTIERS POUR SEMIREMORQUES")</f>
        <v xml:space="preserve">   TRACTEURS ROUTIERS POUR SEMIREMORQUES</v>
      </c>
      <c r="C9684" s="4">
        <v>7000</v>
      </c>
      <c r="D9684" s="4">
        <v>2000000</v>
      </c>
    </row>
    <row r="9685" spans="1:4" x14ac:dyDescent="0.25">
      <c r="A9685" t="str">
        <f>T("   870323")</f>
        <v xml:space="preserve">   870323</v>
      </c>
      <c r="B9685" t="str">
        <f>T("   D’UNE CYLINDREE EXCEDANT 1.500 CM³ MAIS N’EXCEDANT PAS 3.000 CM³")</f>
        <v xml:space="preserve">   D’UNE CYLINDREE EXCEDANT 1.500 CM³ MAIS N’EXCEDANT PAS 3.000 CM³</v>
      </c>
      <c r="C9685" s="4">
        <v>750</v>
      </c>
      <c r="D9685" s="4">
        <v>1386265</v>
      </c>
    </row>
    <row r="9686" spans="1:4" x14ac:dyDescent="0.25">
      <c r="A9686" t="str">
        <f>T("   870899")</f>
        <v xml:space="preserve">   870899</v>
      </c>
      <c r="B9686" t="str">
        <f>T("   AUTRES")</f>
        <v xml:space="preserve">   AUTRES</v>
      </c>
      <c r="C9686" s="4">
        <v>17.5</v>
      </c>
      <c r="D9686" s="4">
        <v>236146</v>
      </c>
    </row>
    <row r="9687" spans="1:4" s="5" customFormat="1" x14ac:dyDescent="0.25">
      <c r="A9687" s="5" t="str">
        <f>T("   ZZ_Total_Produit_SH6")</f>
        <v xml:space="preserve">   ZZ_Total_Produit_SH6</v>
      </c>
      <c r="B9687" s="5" t="str">
        <f>T("   ZZ_Total_Produit_SH6")</f>
        <v xml:space="preserve">   ZZ_Total_Produit_SH6</v>
      </c>
      <c r="C9687" s="1">
        <v>39691.5</v>
      </c>
      <c r="D9687" s="1">
        <v>24119479</v>
      </c>
    </row>
    <row r="9688" spans="1:4" s="5" customFormat="1" x14ac:dyDescent="0.25">
      <c r="B9688" s="5" t="str">
        <f>T("Sierra Leone")</f>
        <v>Sierra Leone</v>
      </c>
      <c r="C9688" s="1"/>
      <c r="D9688" s="1"/>
    </row>
    <row r="9689" spans="1:4" x14ac:dyDescent="0.25">
      <c r="A9689" t="str">
        <f>T("   030269")</f>
        <v xml:space="preserve">   030269</v>
      </c>
      <c r="B9689" t="str">
        <f>T("   Autres poissons entiers,frais ou refrigeres.(foies,oeufs laitances exclus)")</f>
        <v xml:space="preserve">   Autres poissons entiers,frais ou refrigeres.(foies,oeufs laitances exclus)</v>
      </c>
      <c r="C9689" s="4">
        <v>46000</v>
      </c>
      <c r="D9689" s="4">
        <v>18400000</v>
      </c>
    </row>
    <row r="9690" spans="1:4" x14ac:dyDescent="0.25">
      <c r="A9690" t="str">
        <f>T("   902680")</f>
        <v xml:space="preserve">   902680</v>
      </c>
      <c r="B9690" t="str">
        <f>T("   AUTRES INSTRUMENTS ET APPAREILS")</f>
        <v xml:space="preserve">   AUTRES INSTRUMENTS ET APPAREILS</v>
      </c>
      <c r="C9690" s="4">
        <v>1</v>
      </c>
      <c r="D9690" s="4">
        <v>280513</v>
      </c>
    </row>
    <row r="9691" spans="1:4" s="5" customFormat="1" x14ac:dyDescent="0.25">
      <c r="A9691" s="5" t="str">
        <f>T("   ZZ_Total_Produit_SH6")</f>
        <v xml:space="preserve">   ZZ_Total_Produit_SH6</v>
      </c>
      <c r="B9691" s="5" t="str">
        <f>T("   ZZ_Total_Produit_SH6")</f>
        <v xml:space="preserve">   ZZ_Total_Produit_SH6</v>
      </c>
      <c r="C9691" s="1">
        <v>46001</v>
      </c>
      <c r="D9691" s="1">
        <v>18680513</v>
      </c>
    </row>
    <row r="9692" spans="1:4" s="5" customFormat="1" x14ac:dyDescent="0.25">
      <c r="B9692" s="5" t="str">
        <f>T("Sénégal")</f>
        <v>Sénégal</v>
      </c>
      <c r="C9692" s="1"/>
      <c r="D9692" s="1"/>
    </row>
    <row r="9693" spans="1:4" x14ac:dyDescent="0.25">
      <c r="A9693" t="str">
        <f>T("   010511")</f>
        <v xml:space="preserve">   010511</v>
      </c>
      <c r="B9693" t="str">
        <f>T("   COQS ET POULES")</f>
        <v xml:space="preserve">   COQS ET POULES</v>
      </c>
      <c r="C9693" s="4">
        <v>500</v>
      </c>
      <c r="D9693" s="4">
        <v>499000</v>
      </c>
    </row>
    <row r="9694" spans="1:4" x14ac:dyDescent="0.25">
      <c r="A9694" t="str">
        <f>T("   010519")</f>
        <v xml:space="preserve">   010519</v>
      </c>
      <c r="B9694" t="str">
        <f>T("   AUTRES VOLAILLES VIVANTES, D'UN POIDS N'EXCEDANT PAS 185 G")</f>
        <v xml:space="preserve">   AUTRES VOLAILLES VIVANTES, D'UN POIDS N'EXCEDANT PAS 185 G</v>
      </c>
      <c r="C9694" s="4">
        <v>579</v>
      </c>
      <c r="D9694" s="4">
        <v>200000</v>
      </c>
    </row>
    <row r="9695" spans="1:4" x14ac:dyDescent="0.25">
      <c r="A9695" t="str">
        <f>T("   010599")</f>
        <v xml:space="preserve">   010599</v>
      </c>
      <c r="B9695" t="str">
        <f>T("   AUTRES")</f>
        <v xml:space="preserve">   AUTRES</v>
      </c>
      <c r="C9695" s="4">
        <v>20</v>
      </c>
      <c r="D9695" s="4">
        <v>2000</v>
      </c>
    </row>
    <row r="9696" spans="1:4" x14ac:dyDescent="0.25">
      <c r="A9696" t="str">
        <f>T("   030219")</f>
        <v xml:space="preserve">   030219</v>
      </c>
      <c r="B9696" t="str">
        <f>T("   AUTRES")</f>
        <v xml:space="preserve">   AUTRES</v>
      </c>
      <c r="C9696" s="4">
        <v>154240</v>
      </c>
      <c r="D9696" s="4">
        <v>61696000</v>
      </c>
    </row>
    <row r="9697" spans="1:4" x14ac:dyDescent="0.25">
      <c r="A9697" t="str">
        <f>T("   030269")</f>
        <v xml:space="preserve">   030269</v>
      </c>
      <c r="B9697" t="str">
        <f>T("   Autres poissons entiers,frais ou refrigeres.(foies,oeufs laitances exclus)")</f>
        <v xml:space="preserve">   Autres poissons entiers,frais ou refrigeres.(foies,oeufs laitances exclus)</v>
      </c>
      <c r="C9697" s="4">
        <v>55735</v>
      </c>
      <c r="D9697" s="4">
        <v>22294000</v>
      </c>
    </row>
    <row r="9698" spans="1:4" x14ac:dyDescent="0.25">
      <c r="A9698" t="str">
        <f>T("   030379")</f>
        <v xml:space="preserve">   030379</v>
      </c>
      <c r="B9698" t="str">
        <f>T("   AUTRES POISSONS ENTIERS CONGELES.(FOIES,OEUFS,LAITANCES EXCLUS)")</f>
        <v xml:space="preserve">   AUTRES POISSONS ENTIERS CONGELES.(FOIES,OEUFS,LAITANCES EXCLUS)</v>
      </c>
      <c r="C9698" s="4">
        <v>53110</v>
      </c>
      <c r="D9698" s="4">
        <v>16833696</v>
      </c>
    </row>
    <row r="9699" spans="1:4" x14ac:dyDescent="0.25">
      <c r="A9699" t="str">
        <f>T("   030569")</f>
        <v xml:space="preserve">   030569</v>
      </c>
      <c r="B9699" t="str">
        <f>T("   AUTRES")</f>
        <v xml:space="preserve">   AUTRES</v>
      </c>
      <c r="C9699" s="4">
        <v>5000</v>
      </c>
      <c r="D9699" s="4">
        <v>2000000</v>
      </c>
    </row>
    <row r="9700" spans="1:4" x14ac:dyDescent="0.25">
      <c r="A9700" t="str">
        <f>T("   030621")</f>
        <v xml:space="preserve">   030621</v>
      </c>
      <c r="B9700" t="str">
        <f>T("   LANGOUSTES (PALINURUS SPP., PANULIRUS SPP., JASUS SPP.)")</f>
        <v xml:space="preserve">   LANGOUSTES (PALINURUS SPP., PANULIRUS SPP., JASUS SPP.)</v>
      </c>
      <c r="C9700" s="4">
        <v>1750</v>
      </c>
      <c r="D9700" s="4">
        <v>725000</v>
      </c>
    </row>
    <row r="9701" spans="1:4" x14ac:dyDescent="0.25">
      <c r="A9701" t="str">
        <f>T("   080810")</f>
        <v xml:space="preserve">   080810</v>
      </c>
      <c r="B9701" t="str">
        <f>T("   POMMES")</f>
        <v xml:space="preserve">   POMMES</v>
      </c>
      <c r="C9701" s="4">
        <v>16</v>
      </c>
      <c r="D9701" s="4">
        <v>7000</v>
      </c>
    </row>
    <row r="9702" spans="1:4" x14ac:dyDescent="0.25">
      <c r="A9702" t="str">
        <f>T("   100640")</f>
        <v xml:space="preserve">   100640</v>
      </c>
      <c r="B9702" t="str">
        <f>T("   RIZ EN BRISURES")</f>
        <v xml:space="preserve">   RIZ EN BRISURES</v>
      </c>
      <c r="C9702" s="4">
        <v>250700</v>
      </c>
      <c r="D9702" s="4">
        <v>109626011.96799999</v>
      </c>
    </row>
    <row r="9703" spans="1:4" x14ac:dyDescent="0.25">
      <c r="A9703" t="str">
        <f>T("   160413")</f>
        <v xml:space="preserve">   160413</v>
      </c>
      <c r="B9703" t="str">
        <f>T("   SARDINES, SARDINELLES ET SPRATS OU ESPROTS")</f>
        <v xml:space="preserve">   SARDINES, SARDINELLES ET SPRATS OU ESPROTS</v>
      </c>
      <c r="C9703" s="4">
        <v>22400</v>
      </c>
      <c r="D9703" s="4">
        <v>6176550</v>
      </c>
    </row>
    <row r="9704" spans="1:4" x14ac:dyDescent="0.25">
      <c r="A9704" t="str">
        <f>T("   170199")</f>
        <v xml:space="preserve">   170199</v>
      </c>
      <c r="B9704" t="str">
        <f>T("   AUTRES")</f>
        <v xml:space="preserve">   AUTRES</v>
      </c>
      <c r="C9704" s="4">
        <v>2651</v>
      </c>
      <c r="D9704" s="4">
        <v>1243753</v>
      </c>
    </row>
    <row r="9705" spans="1:4" x14ac:dyDescent="0.25">
      <c r="A9705" t="str">
        <f>T("   170490")</f>
        <v xml:space="preserve">   170490</v>
      </c>
      <c r="B9705" t="str">
        <f>T("   AUTRES")</f>
        <v xml:space="preserve">   AUTRES</v>
      </c>
      <c r="C9705" s="4">
        <v>157</v>
      </c>
      <c r="D9705" s="4">
        <v>1121068</v>
      </c>
    </row>
    <row r="9706" spans="1:4" x14ac:dyDescent="0.25">
      <c r="A9706" t="str">
        <f>T("   190190")</f>
        <v xml:space="preserve">   190190</v>
      </c>
      <c r="B9706" t="str">
        <f>T("   AUTRES")</f>
        <v xml:space="preserve">   AUTRES</v>
      </c>
      <c r="C9706" s="4">
        <v>28000</v>
      </c>
      <c r="D9706" s="4">
        <v>9724473</v>
      </c>
    </row>
    <row r="9707" spans="1:4" x14ac:dyDescent="0.25">
      <c r="A9707" t="str">
        <f>T("   200912")</f>
        <v xml:space="preserve">   200912</v>
      </c>
      <c r="B9707" t="str">
        <f>T("   NON CONGELES, D’UNE VALEUR BRIX N’EXCEDANT PAS 20")</f>
        <v xml:space="preserve">   NON CONGELES, D’UNE VALEUR BRIX N’EXCEDANT PAS 20</v>
      </c>
      <c r="C9707" s="4">
        <v>960</v>
      </c>
      <c r="D9707" s="4">
        <v>448967</v>
      </c>
    </row>
    <row r="9708" spans="1:4" x14ac:dyDescent="0.25">
      <c r="A9708" t="str">
        <f>T("   200941")</f>
        <v xml:space="preserve">   200941</v>
      </c>
      <c r="B9708" t="str">
        <f>T("   D’UNE VALEUR BRIX N’EXCEDANT PAS 20")</f>
        <v xml:space="preserve">   D’UNE VALEUR BRIX N’EXCEDANT PAS 20</v>
      </c>
      <c r="C9708" s="4">
        <v>1560</v>
      </c>
      <c r="D9708" s="4">
        <v>729571</v>
      </c>
    </row>
    <row r="9709" spans="1:4" x14ac:dyDescent="0.25">
      <c r="A9709" t="str">
        <f>T("   200980")</f>
        <v xml:space="preserve">   200980</v>
      </c>
      <c r="B9709" t="str">
        <f>T("   AUTRES JUS DE FRUITS OU DE LEGUMES,SANS ALCOOL,SUCRES OU NON")</f>
        <v xml:space="preserve">   AUTRES JUS DE FRUITS OU DE LEGUMES,SANS ALCOOL,SUCRES OU NON</v>
      </c>
      <c r="C9709" s="4">
        <v>720</v>
      </c>
      <c r="D9709" s="4">
        <v>336726</v>
      </c>
    </row>
    <row r="9710" spans="1:4" x14ac:dyDescent="0.25">
      <c r="A9710" t="str">
        <f>T("   200990")</f>
        <v xml:space="preserve">   200990</v>
      </c>
      <c r="B9710" t="str">
        <f>T("   MELANGES DE JUS")</f>
        <v xml:space="preserve">   MELANGES DE JUS</v>
      </c>
      <c r="C9710" s="4">
        <v>1560</v>
      </c>
      <c r="D9710" s="4">
        <v>729571</v>
      </c>
    </row>
    <row r="9711" spans="1:4" x14ac:dyDescent="0.25">
      <c r="A9711" t="str">
        <f>T("   210210")</f>
        <v xml:space="preserve">   210210</v>
      </c>
      <c r="B9711" t="str">
        <f>T("   Levures vivantes")</f>
        <v xml:space="preserve">   Levures vivantes</v>
      </c>
      <c r="C9711" s="4">
        <v>295</v>
      </c>
      <c r="D9711" s="4">
        <v>191166</v>
      </c>
    </row>
    <row r="9712" spans="1:4" x14ac:dyDescent="0.25">
      <c r="A9712" t="str">
        <f>T("   210330")</f>
        <v xml:space="preserve">   210330</v>
      </c>
      <c r="B9712" t="str">
        <f>T("   FARINE DE MOUTARDE ET MOUTARDE PREPAREE")</f>
        <v xml:space="preserve">   FARINE DE MOUTARDE ET MOUTARDE PREPAREE</v>
      </c>
      <c r="C9712" s="4">
        <v>146359</v>
      </c>
      <c r="D9712" s="4">
        <v>48159432</v>
      </c>
    </row>
    <row r="9713" spans="1:4" x14ac:dyDescent="0.25">
      <c r="A9713" t="str">
        <f>T("   210390")</f>
        <v xml:space="preserve">   210390</v>
      </c>
      <c r="B9713" t="str">
        <f>T("   AUTRES")</f>
        <v xml:space="preserve">   AUTRES</v>
      </c>
      <c r="C9713" s="4">
        <v>130965</v>
      </c>
      <c r="D9713" s="4">
        <v>31245985</v>
      </c>
    </row>
    <row r="9714" spans="1:4" x14ac:dyDescent="0.25">
      <c r="A9714" t="str">
        <f>T("   210410")</f>
        <v xml:space="preserve">   210410</v>
      </c>
      <c r="B9714" t="str">
        <f>T("   PREPARATIONS POUR SOUPES, POTAGES OU BOUILLONS; SOUPES, POTAGES OU BOUILLONS PREPARES")</f>
        <v xml:space="preserve">   PREPARATIONS POUR SOUPES, POTAGES OU BOUILLONS; SOUPES, POTAGES OU BOUILLONS PREPARES</v>
      </c>
      <c r="C9714" s="4">
        <v>633464</v>
      </c>
      <c r="D9714" s="4">
        <v>424616017</v>
      </c>
    </row>
    <row r="9715" spans="1:4" x14ac:dyDescent="0.25">
      <c r="A9715" t="str">
        <f>T("   220210")</f>
        <v xml:space="preserve">   220210</v>
      </c>
      <c r="B9715" t="str">
        <f>T("   EAUX, Y COMPRIS LES EAUX MINERALES ET LES EAUX GAZEIFIEES, ADDITIONNEES DE SUCRE OU D")</f>
        <v xml:space="preserve">   EAUX, Y COMPRIS LES EAUX MINERALES ET LES EAUX GAZEIFIEES, ADDITIONNEES DE SUCRE OU D</v>
      </c>
      <c r="C9715" s="4">
        <v>34113</v>
      </c>
      <c r="D9715" s="4">
        <v>14023904</v>
      </c>
    </row>
    <row r="9716" spans="1:4" x14ac:dyDescent="0.25">
      <c r="A9716" t="str">
        <f>T("   230120")</f>
        <v xml:space="preserve">   230120</v>
      </c>
      <c r="B9716" t="str">
        <f>T("   FARINES, POUDRES ET AGGLOMERES SOUS FORME DE PELLETS, DE POISSONS OU DE CRUSTACES, DE")</f>
        <v xml:space="preserve">   FARINES, POUDRES ET AGGLOMERES SOUS FORME DE PELLETS, DE POISSONS OU DE CRUSTACES, DE</v>
      </c>
      <c r="C9716" s="4">
        <v>1716900</v>
      </c>
      <c r="D9716" s="4">
        <v>167010726</v>
      </c>
    </row>
    <row r="9717" spans="1:4" x14ac:dyDescent="0.25">
      <c r="A9717" t="str">
        <f>T("   240220")</f>
        <v xml:space="preserve">   240220</v>
      </c>
      <c r="B9717" t="str">
        <f>T("   Cigarettes contenant du tabac")</f>
        <v xml:space="preserve">   Cigarettes contenant du tabac</v>
      </c>
      <c r="C9717" s="4">
        <v>13272</v>
      </c>
      <c r="D9717" s="4">
        <v>97939200</v>
      </c>
    </row>
    <row r="9718" spans="1:4" x14ac:dyDescent="0.25">
      <c r="A9718" t="str">
        <f>T("   250100")</f>
        <v xml:space="preserve">   250100</v>
      </c>
      <c r="B9718" t="str">
        <f>T("   SEL (Y COMPRIS LE SEL PREPARE POUR LA TABLE ET LE SEL DENATURE) ET CHLORURE DE SODIUM P")</f>
        <v xml:space="preserve">   SEL (Y COMPRIS LE SEL PREPARE POUR LA TABLE ET LE SEL DENATURE) ET CHLORURE DE SODIUM P</v>
      </c>
      <c r="C9718" s="4">
        <v>26147800</v>
      </c>
      <c r="D9718" s="4">
        <v>1654689507</v>
      </c>
    </row>
    <row r="9719" spans="1:4" x14ac:dyDescent="0.25">
      <c r="A9719" t="str">
        <f>T("   252310")</f>
        <v xml:space="preserve">   252310</v>
      </c>
      <c r="B9719" t="str">
        <f>T("   CIMENTS NON PULVERISES DITS «CLINKERS»")</f>
        <v xml:space="preserve">   CIMENTS NON PULVERISES DITS «CLINKERS»</v>
      </c>
      <c r="C9719" s="4">
        <v>38502200</v>
      </c>
      <c r="D9719" s="4">
        <v>1347577000</v>
      </c>
    </row>
    <row r="9720" spans="1:4" x14ac:dyDescent="0.25">
      <c r="A9720" t="str">
        <f>T("   252329")</f>
        <v xml:space="preserve">   252329</v>
      </c>
      <c r="B9720" t="str">
        <f>T("   AUTRES")</f>
        <v xml:space="preserve">   AUTRES</v>
      </c>
      <c r="C9720" s="4">
        <v>783000</v>
      </c>
      <c r="D9720" s="4">
        <v>36609354</v>
      </c>
    </row>
    <row r="9721" spans="1:4" x14ac:dyDescent="0.25">
      <c r="A9721" t="str">
        <f>T("   271019")</f>
        <v xml:space="preserve">   271019</v>
      </c>
      <c r="B9721" t="str">
        <f>T("   AUTRES")</f>
        <v xml:space="preserve">   AUTRES</v>
      </c>
      <c r="C9721" s="4">
        <v>26883</v>
      </c>
      <c r="D9721" s="4">
        <v>20512104</v>
      </c>
    </row>
    <row r="9722" spans="1:4" x14ac:dyDescent="0.25">
      <c r="A9722" t="str">
        <f>T("   282890")</f>
        <v xml:space="preserve">   282890</v>
      </c>
      <c r="B9722" t="str">
        <f>T("   AUTRES")</f>
        <v xml:space="preserve">   AUTRES</v>
      </c>
      <c r="C9722" s="4">
        <v>95327</v>
      </c>
      <c r="D9722" s="4">
        <v>40324175</v>
      </c>
    </row>
    <row r="9723" spans="1:4" x14ac:dyDescent="0.25">
      <c r="A9723" t="str">
        <f>T("   290559")</f>
        <v xml:space="preserve">   290559</v>
      </c>
      <c r="B9723" t="str">
        <f>T("   AUTRES")</f>
        <v xml:space="preserve">   AUTRES</v>
      </c>
      <c r="C9723" s="4">
        <v>21</v>
      </c>
      <c r="D9723" s="4">
        <v>335790</v>
      </c>
    </row>
    <row r="9724" spans="1:4" x14ac:dyDescent="0.25">
      <c r="A9724" t="str">
        <f>T("   300220")</f>
        <v xml:space="preserve">   300220</v>
      </c>
      <c r="B9724" t="str">
        <f>T("   Vaccins pour la medecine humaine")</f>
        <v xml:space="preserve">   Vaccins pour la medecine humaine</v>
      </c>
      <c r="C9724" s="4">
        <v>137</v>
      </c>
      <c r="D9724" s="4">
        <v>825500</v>
      </c>
    </row>
    <row r="9725" spans="1:4" x14ac:dyDescent="0.25">
      <c r="A9725" t="str">
        <f>T("   300410")</f>
        <v xml:space="preserve">   300410</v>
      </c>
      <c r="B9725" t="str">
        <f>T("   CONTENANT DES PENICILLINES OU DES DERIVES DE CES PRODUITS, A STRUCTURE D'ACIDE PENICI")</f>
        <v xml:space="preserve">   CONTENANT DES PENICILLINES OU DES DERIVES DE CES PRODUITS, A STRUCTURE D'ACIDE PENICI</v>
      </c>
      <c r="C9725" s="4">
        <v>5963</v>
      </c>
      <c r="D9725" s="4">
        <v>98800039</v>
      </c>
    </row>
    <row r="9726" spans="1:4" x14ac:dyDescent="0.25">
      <c r="A9726" t="str">
        <f>T("   300420")</f>
        <v xml:space="preserve">   300420</v>
      </c>
      <c r="B9726" t="str">
        <f>T("   CONTENANT D'AUTRES ANTIBIOTIQUES")</f>
        <v xml:space="preserve">   CONTENANT D'AUTRES ANTIBIOTIQUES</v>
      </c>
      <c r="C9726" s="4">
        <v>195</v>
      </c>
      <c r="D9726" s="4">
        <v>499000</v>
      </c>
    </row>
    <row r="9727" spans="1:4" x14ac:dyDescent="0.25">
      <c r="A9727" t="str">
        <f>T("   300490")</f>
        <v xml:space="preserve">   300490</v>
      </c>
      <c r="B9727" t="str">
        <f>T("   AUTRES")</f>
        <v xml:space="preserve">   AUTRES</v>
      </c>
      <c r="C9727" s="4">
        <v>26138</v>
      </c>
      <c r="D9727" s="4">
        <v>333434763</v>
      </c>
    </row>
    <row r="9728" spans="1:4" x14ac:dyDescent="0.25">
      <c r="A9728" t="str">
        <f>T("   300620")</f>
        <v xml:space="preserve">   300620</v>
      </c>
      <c r="B9728" t="str">
        <f>T("   REACTIFS DESTINES A LA DETERMINATION DES GROUPES OU DES FACTEURS SANGUINS")</f>
        <v xml:space="preserve">   REACTIFS DESTINES A LA DETERMINATION DES GROUPES OU DES FACTEURS SANGUINS</v>
      </c>
      <c r="C9728" s="4">
        <v>31.4</v>
      </c>
      <c r="D9728" s="4">
        <v>300000</v>
      </c>
    </row>
    <row r="9729" spans="1:4" x14ac:dyDescent="0.25">
      <c r="A9729" t="str">
        <f>T("   321590")</f>
        <v xml:space="preserve">   321590</v>
      </c>
      <c r="B9729" t="str">
        <f>T("   AUTRES")</f>
        <v xml:space="preserve">   AUTRES</v>
      </c>
      <c r="C9729" s="4">
        <v>16</v>
      </c>
      <c r="D9729" s="4">
        <v>100000</v>
      </c>
    </row>
    <row r="9730" spans="1:4" x14ac:dyDescent="0.25">
      <c r="A9730" t="str">
        <f>T("   330210")</f>
        <v xml:space="preserve">   330210</v>
      </c>
      <c r="B9730" t="str">
        <f>T("   DES TYPES UTILISES POUR LES INDUSTRIES ALIMENTAIRES OU DES BOISSONS")</f>
        <v xml:space="preserve">   DES TYPES UTILISES POUR LES INDUSTRIES ALIMENTAIRES OU DES BOISSONS</v>
      </c>
      <c r="C9730" s="4">
        <v>143238</v>
      </c>
      <c r="D9730" s="4">
        <v>31329032</v>
      </c>
    </row>
    <row r="9731" spans="1:4" x14ac:dyDescent="0.25">
      <c r="A9731" t="str">
        <f>T("   330290")</f>
        <v xml:space="preserve">   330290</v>
      </c>
      <c r="B9731" t="str">
        <f>T("   AUTRES")</f>
        <v xml:space="preserve">   AUTRES</v>
      </c>
      <c r="C9731" s="4">
        <v>3581</v>
      </c>
      <c r="D9731" s="4">
        <v>1994433</v>
      </c>
    </row>
    <row r="9732" spans="1:4" x14ac:dyDescent="0.25">
      <c r="A9732" t="str">
        <f>T("   330300")</f>
        <v xml:space="preserve">   330300</v>
      </c>
      <c r="B9732" t="str">
        <f>T("   PARFUMS ET EAUX DE TOILETTE.")</f>
        <v xml:space="preserve">   PARFUMS ET EAUX DE TOILETTE.</v>
      </c>
      <c r="C9732" s="4">
        <v>15970</v>
      </c>
      <c r="D9732" s="4">
        <v>5491462</v>
      </c>
    </row>
    <row r="9733" spans="1:4" x14ac:dyDescent="0.25">
      <c r="A9733" t="str">
        <f>T("   330491")</f>
        <v xml:space="preserve">   330491</v>
      </c>
      <c r="B9733" t="str">
        <f>T("   POUDRES, Y COMPRIS LES POUDRES COMPACTES")</f>
        <v xml:space="preserve">   POUDRES, Y COMPRIS LES POUDRES COMPACTES</v>
      </c>
      <c r="C9733" s="4">
        <v>9539</v>
      </c>
      <c r="D9733" s="4">
        <v>3634420</v>
      </c>
    </row>
    <row r="9734" spans="1:4" x14ac:dyDescent="0.25">
      <c r="A9734" t="str">
        <f>T("   330499")</f>
        <v xml:space="preserve">   330499</v>
      </c>
      <c r="B9734" t="str">
        <f>T("   AUTRES")</f>
        <v xml:space="preserve">   AUTRES</v>
      </c>
      <c r="C9734" s="4">
        <v>31784</v>
      </c>
      <c r="D9734" s="4">
        <v>6755366</v>
      </c>
    </row>
    <row r="9735" spans="1:4" x14ac:dyDescent="0.25">
      <c r="A9735" t="str">
        <f>T("   330590")</f>
        <v xml:space="preserve">   330590</v>
      </c>
      <c r="B9735" t="str">
        <f>T("   AUTRES")</f>
        <v xml:space="preserve">   AUTRES</v>
      </c>
      <c r="C9735" s="4">
        <v>36058</v>
      </c>
      <c r="D9735" s="4">
        <v>7489900</v>
      </c>
    </row>
    <row r="9736" spans="1:4" x14ac:dyDescent="0.25">
      <c r="A9736" t="str">
        <f>T("   330610")</f>
        <v xml:space="preserve">   330610</v>
      </c>
      <c r="B9736" t="str">
        <f>T("   Dentifrices")</f>
        <v xml:space="preserve">   Dentifrices</v>
      </c>
      <c r="C9736" s="4">
        <v>86630</v>
      </c>
      <c r="D9736" s="4">
        <v>29914709</v>
      </c>
    </row>
    <row r="9737" spans="1:4" x14ac:dyDescent="0.25">
      <c r="A9737" t="str">
        <f>T("   330790")</f>
        <v xml:space="preserve">   330790</v>
      </c>
      <c r="B9737" t="str">
        <f>T("   AUTRES")</f>
        <v xml:space="preserve">   AUTRES</v>
      </c>
      <c r="C9737" s="4">
        <v>60</v>
      </c>
      <c r="D9737" s="4">
        <v>100000</v>
      </c>
    </row>
    <row r="9738" spans="1:4" x14ac:dyDescent="0.25">
      <c r="A9738" t="str">
        <f>T("   340111")</f>
        <v xml:space="preserve">   340111</v>
      </c>
      <c r="B9738" t="str">
        <f>T("   DE TOILETTE (Y COMPRIS CEUX A USAGES MEDICAUX)")</f>
        <v xml:space="preserve">   DE TOILETTE (Y COMPRIS CEUX A USAGES MEDICAUX)</v>
      </c>
      <c r="C9738" s="4">
        <v>67825</v>
      </c>
      <c r="D9738" s="4">
        <v>78955903</v>
      </c>
    </row>
    <row r="9739" spans="1:4" x14ac:dyDescent="0.25">
      <c r="A9739" t="str">
        <f>T("   340130")</f>
        <v xml:space="preserve">   340130</v>
      </c>
      <c r="B9739" t="str">
        <f>T("   PRODUITS ET PREPARATIONS ORGANIQUES TENSIOACTIFS DESTINES AU LAVAGE DE LA PEAU, SOUS")</f>
        <v xml:space="preserve">   PRODUITS ET PREPARATIONS ORGANIQUES TENSIOACTIFS DESTINES AU LAVAGE DE LA PEAU, SOUS</v>
      </c>
      <c r="C9739" s="4">
        <v>278</v>
      </c>
      <c r="D9739" s="4">
        <v>1296736</v>
      </c>
    </row>
    <row r="9740" spans="1:4" x14ac:dyDescent="0.25">
      <c r="A9740" t="str">
        <f>T("   340220")</f>
        <v xml:space="preserve">   340220</v>
      </c>
      <c r="B9740" t="str">
        <f>T("   PREPARATIONS CONDITIONNEES POUR LA VENTE AU DETAIL")</f>
        <v xml:space="preserve">   PREPARATIONS CONDITIONNEES POUR LA VENTE AU DETAIL</v>
      </c>
      <c r="C9740" s="4">
        <v>23949</v>
      </c>
      <c r="D9740" s="4">
        <v>14738416</v>
      </c>
    </row>
    <row r="9741" spans="1:4" x14ac:dyDescent="0.25">
      <c r="A9741" t="str">
        <f>T("   340540")</f>
        <v xml:space="preserve">   340540</v>
      </c>
      <c r="B9741" t="str">
        <f>T("   PATES, POUDRES ET AUTRES PREPARATIONS A RECURER")</f>
        <v xml:space="preserve">   PATES, POUDRES ET AUTRES PREPARATIONS A RECURER</v>
      </c>
      <c r="C9741" s="4">
        <v>4246</v>
      </c>
      <c r="D9741" s="4">
        <v>3291085</v>
      </c>
    </row>
    <row r="9742" spans="1:4" x14ac:dyDescent="0.25">
      <c r="A9742" t="str">
        <f>T("   340600")</f>
        <v xml:space="preserve">   340600</v>
      </c>
      <c r="B9742" t="str">
        <f>T("   BOUGIES, CHANDELLES, CIERGES ET ARTICLES SIMILAIRES.")</f>
        <v xml:space="preserve">   BOUGIES, CHANDELLES, CIERGES ET ARTICLES SIMILAIRES.</v>
      </c>
      <c r="C9742" s="4">
        <v>20</v>
      </c>
      <c r="D9742" s="4">
        <v>50000</v>
      </c>
    </row>
    <row r="9743" spans="1:4" x14ac:dyDescent="0.25">
      <c r="A9743" t="str">
        <f>T("   370239")</f>
        <v xml:space="preserve">   370239</v>
      </c>
      <c r="B9743" t="str">
        <f>T("   AUTRES")</f>
        <v xml:space="preserve">   AUTRES</v>
      </c>
      <c r="C9743" s="4">
        <v>523</v>
      </c>
      <c r="D9743" s="4">
        <v>150000</v>
      </c>
    </row>
    <row r="9744" spans="1:4" x14ac:dyDescent="0.25">
      <c r="A9744" t="str">
        <f>T("   381190")</f>
        <v xml:space="preserve">   381190</v>
      </c>
      <c r="B9744" t="str">
        <f>T("   AUTRES")</f>
        <v xml:space="preserve">   AUTRES</v>
      </c>
      <c r="C9744" s="4">
        <v>25</v>
      </c>
      <c r="D9744" s="4">
        <v>2026784</v>
      </c>
    </row>
    <row r="9745" spans="1:4" x14ac:dyDescent="0.25">
      <c r="A9745" t="str">
        <f>T("   382200")</f>
        <v xml:space="preserve">   382200</v>
      </c>
      <c r="B9745" t="str">
        <f>T("   REACTIFS DE DIAGNOSTIC OU DE LABORATOIRE SUR TOUT SUPPORT ET REACTIFS DE DIAGNOSTIC OU")</f>
        <v xml:space="preserve">   REACTIFS DE DIAGNOSTIC OU DE LABORATOIRE SUR TOUT SUPPORT ET REACTIFS DE DIAGNOSTIC OU</v>
      </c>
      <c r="C9745" s="4">
        <v>51.3</v>
      </c>
      <c r="D9745" s="4">
        <v>1944164</v>
      </c>
    </row>
    <row r="9746" spans="1:4" x14ac:dyDescent="0.25">
      <c r="A9746" t="str">
        <f>T("   391721")</f>
        <v xml:space="preserve">   391721</v>
      </c>
      <c r="B9746" t="str">
        <f>T("   EN POLYMERES DE L'ETHYLENE")</f>
        <v xml:space="preserve">   EN POLYMERES DE L'ETHYLENE</v>
      </c>
      <c r="C9746" s="4">
        <v>9314</v>
      </c>
      <c r="D9746" s="4">
        <v>19370222</v>
      </c>
    </row>
    <row r="9747" spans="1:4" x14ac:dyDescent="0.25">
      <c r="A9747" t="str">
        <f>T("   392350")</f>
        <v xml:space="preserve">   392350</v>
      </c>
      <c r="B9747" t="str">
        <f>T("   BOUCHONS, COUVERCLES, CAPSULES ET AUTRES DISPOSITIFS DE FERMETURE")</f>
        <v xml:space="preserve">   BOUCHONS, COUVERCLES, CAPSULES ET AUTRES DISPOSITIFS DE FERMETURE</v>
      </c>
      <c r="C9747" s="4">
        <v>183</v>
      </c>
      <c r="D9747" s="4">
        <v>311250</v>
      </c>
    </row>
    <row r="9748" spans="1:4" x14ac:dyDescent="0.25">
      <c r="A9748" t="str">
        <f>T("   392390")</f>
        <v xml:space="preserve">   392390</v>
      </c>
      <c r="B9748" t="str">
        <f>T("   AUTRES")</f>
        <v xml:space="preserve">   AUTRES</v>
      </c>
      <c r="C9748" s="4">
        <v>2</v>
      </c>
      <c r="D9748" s="4">
        <v>32000</v>
      </c>
    </row>
    <row r="9749" spans="1:4" x14ac:dyDescent="0.25">
      <c r="A9749" t="str">
        <f>T("   392690")</f>
        <v xml:space="preserve">   392690</v>
      </c>
      <c r="B9749" t="str">
        <f>T("   AUTRES")</f>
        <v xml:space="preserve">   AUTRES</v>
      </c>
      <c r="C9749" s="4">
        <v>163</v>
      </c>
      <c r="D9749" s="4">
        <v>527392</v>
      </c>
    </row>
    <row r="9750" spans="1:4" x14ac:dyDescent="0.25">
      <c r="A9750" t="str">
        <f>T("   401590")</f>
        <v xml:space="preserve">   401590</v>
      </c>
      <c r="B9750" t="str">
        <f>T("   AUTRES")</f>
        <v xml:space="preserve">   AUTRES</v>
      </c>
      <c r="C9750" s="4">
        <v>100</v>
      </c>
      <c r="D9750" s="4">
        <v>90000</v>
      </c>
    </row>
    <row r="9751" spans="1:4" x14ac:dyDescent="0.25">
      <c r="A9751" t="str">
        <f>T("   420229")</f>
        <v xml:space="preserve">   420229</v>
      </c>
      <c r="B9751" t="str">
        <f>T("   AUTRES")</f>
        <v xml:space="preserve">   AUTRES</v>
      </c>
      <c r="C9751" s="4">
        <v>130</v>
      </c>
      <c r="D9751" s="4">
        <v>422200</v>
      </c>
    </row>
    <row r="9752" spans="1:4" x14ac:dyDescent="0.25">
      <c r="A9752" t="str">
        <f>T("   480255")</f>
        <v xml:space="preserve">   480255</v>
      </c>
      <c r="B9752" t="str">
        <f>T("   D'UN POIDS AU M² DE 40 G OU PLUS MAIS N'EXCEDANT PAS 150 G, EN ROULEAUX")</f>
        <v xml:space="preserve">   D'UN POIDS AU M² DE 40 G OU PLUS MAIS N'EXCEDANT PAS 150 G, EN ROULEAUX</v>
      </c>
      <c r="C9752" s="4">
        <v>40</v>
      </c>
      <c r="D9752" s="4">
        <v>80000</v>
      </c>
    </row>
    <row r="9753" spans="1:4" x14ac:dyDescent="0.25">
      <c r="A9753" t="str">
        <f>T("   482010")</f>
        <v xml:space="preserve">   482010</v>
      </c>
      <c r="B9753" t="str">
        <f>T("   REGISTRES, LIVRES COMPTABLES, CARNETS (DE NOTES, DE COMMANDES, DE QUITTANCES), BLOCS")</f>
        <v xml:space="preserve">   REGISTRES, LIVRES COMPTABLES, CARNETS (DE NOTES, DE COMMANDES, DE QUITTANCES), BLOCS</v>
      </c>
      <c r="C9753" s="4">
        <v>20044</v>
      </c>
      <c r="D9753" s="4">
        <v>6989989</v>
      </c>
    </row>
    <row r="9754" spans="1:4" x14ac:dyDescent="0.25">
      <c r="A9754" t="str">
        <f>T("   482290")</f>
        <v xml:space="preserve">   482290</v>
      </c>
      <c r="B9754" t="str">
        <f>T("   AUTRES")</f>
        <v xml:space="preserve">   AUTRES</v>
      </c>
      <c r="C9754" s="4">
        <v>80</v>
      </c>
      <c r="D9754" s="4">
        <v>90000</v>
      </c>
    </row>
    <row r="9755" spans="1:4" x14ac:dyDescent="0.25">
      <c r="A9755" t="str">
        <f>T("   482369")</f>
        <v xml:space="preserve">   482369</v>
      </c>
      <c r="B9755" t="str">
        <f>T("   AUTRES")</f>
        <v xml:space="preserve">   AUTRES</v>
      </c>
      <c r="C9755" s="4">
        <v>276.2</v>
      </c>
      <c r="D9755" s="4">
        <v>40000</v>
      </c>
    </row>
    <row r="9756" spans="1:4" x14ac:dyDescent="0.25">
      <c r="A9756" t="str">
        <f>T("   482390")</f>
        <v xml:space="preserve">   482390</v>
      </c>
      <c r="B9756" t="str">
        <f>T("   AUTRES")</f>
        <v xml:space="preserve">   AUTRES</v>
      </c>
      <c r="C9756" s="4">
        <v>90</v>
      </c>
      <c r="D9756" s="4">
        <v>32800</v>
      </c>
    </row>
    <row r="9757" spans="1:4" x14ac:dyDescent="0.25">
      <c r="A9757" t="str">
        <f>T("   490199")</f>
        <v xml:space="preserve">   490199</v>
      </c>
      <c r="B9757" t="str">
        <f>T("   AUTRES")</f>
        <v xml:space="preserve">   AUTRES</v>
      </c>
      <c r="C9757" s="4">
        <v>390</v>
      </c>
      <c r="D9757" s="4">
        <v>715000</v>
      </c>
    </row>
    <row r="9758" spans="1:4" x14ac:dyDescent="0.25">
      <c r="A9758" t="str">
        <f>T("   490290")</f>
        <v xml:space="preserve">   490290</v>
      </c>
      <c r="B9758" t="str">
        <f>T("   AUTRES")</f>
        <v xml:space="preserve">   AUTRES</v>
      </c>
      <c r="C9758" s="4">
        <v>75</v>
      </c>
      <c r="D9758" s="4">
        <v>194635</v>
      </c>
    </row>
    <row r="9759" spans="1:4" x14ac:dyDescent="0.25">
      <c r="A9759" t="str">
        <f>T("   491000")</f>
        <v xml:space="preserve">   491000</v>
      </c>
      <c r="B9759" t="str">
        <f>T("   CALENDRIERS DE TOUS GENRES, IMPRIMES, Y COMPRIS LES BLOCS DE CALENDRIERS A EFFEUILLER.")</f>
        <v xml:space="preserve">   CALENDRIERS DE TOUS GENRES, IMPRIMES, Y COMPRIS LES BLOCS DE CALENDRIERS A EFFEUILLER.</v>
      </c>
      <c r="C9759" s="4">
        <v>82</v>
      </c>
      <c r="D9759" s="4">
        <v>23326</v>
      </c>
    </row>
    <row r="9760" spans="1:4" x14ac:dyDescent="0.25">
      <c r="A9760" t="str">
        <f>T("   491110")</f>
        <v xml:space="preserve">   491110</v>
      </c>
      <c r="B9760" t="str">
        <f>T("   IMPRIMES PUBLICITAIRES, CATALOGUES COMMERCIAUX ET SIMILAIRES")</f>
        <v xml:space="preserve">   IMPRIMES PUBLICITAIRES, CATALOGUES COMMERCIAUX ET SIMILAIRES</v>
      </c>
      <c r="C9760" s="4">
        <v>1524.33</v>
      </c>
      <c r="D9760" s="4">
        <v>1286874</v>
      </c>
    </row>
    <row r="9761" spans="1:4" x14ac:dyDescent="0.25">
      <c r="A9761" t="str">
        <f>T("   560129")</f>
        <v xml:space="preserve">   560129</v>
      </c>
      <c r="B9761" t="str">
        <f>T("   AUTRES")</f>
        <v xml:space="preserve">   AUTRES</v>
      </c>
      <c r="C9761" s="4">
        <v>172</v>
      </c>
      <c r="D9761" s="4">
        <v>200000</v>
      </c>
    </row>
    <row r="9762" spans="1:4" x14ac:dyDescent="0.25">
      <c r="A9762" t="str">
        <f>T("   581099")</f>
        <v xml:space="preserve">   581099</v>
      </c>
      <c r="B9762" t="str">
        <f>T("   D'AUTRES MATIERES TEXTILES")</f>
        <v xml:space="preserve">   D'AUTRES MATIERES TEXTILES</v>
      </c>
      <c r="C9762" s="4">
        <v>221</v>
      </c>
      <c r="D9762" s="4">
        <v>131200</v>
      </c>
    </row>
    <row r="9763" spans="1:4" x14ac:dyDescent="0.25">
      <c r="A9763" t="str">
        <f>T("   610419")</f>
        <v xml:space="preserve">   610419</v>
      </c>
      <c r="B9763" t="str">
        <f>T("   D'AUTRES MATIERES TEXTILES")</f>
        <v xml:space="preserve">   D'AUTRES MATIERES TEXTILES</v>
      </c>
      <c r="C9763" s="4">
        <v>90</v>
      </c>
      <c r="D9763" s="4">
        <v>20000</v>
      </c>
    </row>
    <row r="9764" spans="1:4" x14ac:dyDescent="0.25">
      <c r="A9764" t="str">
        <f>T("   610899")</f>
        <v xml:space="preserve">   610899</v>
      </c>
      <c r="B9764" t="str">
        <f>T("   D'AUTRES MATIERES TEXTILES")</f>
        <v xml:space="preserve">   D'AUTRES MATIERES TEXTILES</v>
      </c>
      <c r="C9764" s="4">
        <v>210</v>
      </c>
      <c r="D9764" s="4">
        <v>53000</v>
      </c>
    </row>
    <row r="9765" spans="1:4" x14ac:dyDescent="0.25">
      <c r="A9765" t="str">
        <f>T("   610990")</f>
        <v xml:space="preserve">   610990</v>
      </c>
      <c r="B9765" t="str">
        <f>T("   D'AUTRES MATIERES TEXTILES")</f>
        <v xml:space="preserve">   D'AUTRES MATIERES TEXTILES</v>
      </c>
      <c r="C9765" s="4">
        <v>16</v>
      </c>
      <c r="D9765" s="4">
        <v>100000</v>
      </c>
    </row>
    <row r="9766" spans="1:4" x14ac:dyDescent="0.25">
      <c r="A9766" t="str">
        <f>T("   611300")</f>
        <v xml:space="preserve">   611300</v>
      </c>
      <c r="B9766" t="str">
        <f>T("   VETEMENTS CONFECTIONNES EN ETOFFES DE BONNETERIE DES N°S 59.03, 59.06 OU 59.07.")</f>
        <v xml:space="preserve">   VETEMENTS CONFECTIONNES EN ETOFFES DE BONNETERIE DES N°S 59.03, 59.06 OU 59.07.</v>
      </c>
      <c r="C9766" s="4">
        <v>1425</v>
      </c>
      <c r="D9766" s="4">
        <v>870000</v>
      </c>
    </row>
    <row r="9767" spans="1:4" x14ac:dyDescent="0.25">
      <c r="A9767" t="str">
        <f>T("   611490")</f>
        <v xml:space="preserve">   611490</v>
      </c>
      <c r="B9767" t="str">
        <f>T("   D'AUTRES MATIERES TEXTILES")</f>
        <v xml:space="preserve">   D'AUTRES MATIERES TEXTILES</v>
      </c>
      <c r="C9767" s="4">
        <v>4658</v>
      </c>
      <c r="D9767" s="4">
        <v>2388800</v>
      </c>
    </row>
    <row r="9768" spans="1:4" x14ac:dyDescent="0.25">
      <c r="A9768" t="str">
        <f>T("   611691")</f>
        <v xml:space="preserve">   611691</v>
      </c>
      <c r="B9768" t="str">
        <f>T("   DE LAINE OU DE POILS FINS")</f>
        <v xml:space="preserve">   DE LAINE OU DE POILS FINS</v>
      </c>
      <c r="C9768" s="4">
        <v>732</v>
      </c>
      <c r="D9768" s="4">
        <v>386000</v>
      </c>
    </row>
    <row r="9769" spans="1:4" x14ac:dyDescent="0.25">
      <c r="A9769" t="str">
        <f>T("   611780")</f>
        <v xml:space="preserve">   611780</v>
      </c>
      <c r="B9769" t="str">
        <f>T("   AUTRES ACCESSOIRES")</f>
        <v xml:space="preserve">   AUTRES ACCESSOIRES</v>
      </c>
      <c r="C9769" s="4">
        <v>1070</v>
      </c>
      <c r="D9769" s="4">
        <v>557500</v>
      </c>
    </row>
    <row r="9770" spans="1:4" x14ac:dyDescent="0.25">
      <c r="A9770" t="str">
        <f>T("   620411")</f>
        <v xml:space="preserve">   620411</v>
      </c>
      <c r="B9770" t="str">
        <f>T("   DE LAINE OU DE POILS FINS")</f>
        <v xml:space="preserve">   DE LAINE OU DE POILS FINS</v>
      </c>
      <c r="C9770" s="4">
        <v>377</v>
      </c>
      <c r="D9770" s="4">
        <v>600000</v>
      </c>
    </row>
    <row r="9771" spans="1:4" x14ac:dyDescent="0.25">
      <c r="A9771" t="str">
        <f>T("   620412")</f>
        <v xml:space="preserve">   620412</v>
      </c>
      <c r="B9771" t="str">
        <f>T("   DE COTON")</f>
        <v xml:space="preserve">   DE COTON</v>
      </c>
      <c r="C9771" s="4">
        <v>146</v>
      </c>
      <c r="D9771" s="4">
        <v>206000</v>
      </c>
    </row>
    <row r="9772" spans="1:4" x14ac:dyDescent="0.25">
      <c r="A9772" t="str">
        <f>T("   620590")</f>
        <v xml:space="preserve">   620590</v>
      </c>
      <c r="B9772" t="str">
        <f>T("   D'AUTRES MATIERES TEXTILES")</f>
        <v xml:space="preserve">   D'AUTRES MATIERES TEXTILES</v>
      </c>
      <c r="C9772" s="4">
        <v>3536</v>
      </c>
      <c r="D9772" s="4">
        <v>3243000</v>
      </c>
    </row>
    <row r="9773" spans="1:4" x14ac:dyDescent="0.25">
      <c r="A9773" t="str">
        <f>T("   620990")</f>
        <v xml:space="preserve">   620990</v>
      </c>
      <c r="B9773" t="str">
        <f>T("   D'AUTRES MATIERES TEXTILES")</f>
        <v xml:space="preserve">   D'AUTRES MATIERES TEXTILES</v>
      </c>
      <c r="C9773" s="4">
        <v>1680</v>
      </c>
      <c r="D9773" s="4">
        <v>705000</v>
      </c>
    </row>
    <row r="9774" spans="1:4" x14ac:dyDescent="0.25">
      <c r="A9774" t="str">
        <f>T("   621040")</f>
        <v xml:space="preserve">   621040</v>
      </c>
      <c r="B9774" t="str">
        <f>T("   AUTRES VETEMENTS POUR HOMMES OU GARCONNETS")</f>
        <v xml:space="preserve">   AUTRES VETEMENTS POUR HOMMES OU GARCONNETS</v>
      </c>
      <c r="C9774" s="4">
        <v>919</v>
      </c>
      <c r="D9774" s="4">
        <v>689635</v>
      </c>
    </row>
    <row r="9775" spans="1:4" x14ac:dyDescent="0.25">
      <c r="A9775" t="str">
        <f>T("   621050")</f>
        <v xml:space="preserve">   621050</v>
      </c>
      <c r="B9775" t="str">
        <f>T("   AUTRES VETEMENTS POUR FEMMES OU FILLETTES")</f>
        <v xml:space="preserve">   AUTRES VETEMENTS POUR FEMMES OU FILLETTES</v>
      </c>
      <c r="C9775" s="4">
        <v>9176</v>
      </c>
      <c r="D9775" s="4">
        <v>7322806</v>
      </c>
    </row>
    <row r="9776" spans="1:4" x14ac:dyDescent="0.25">
      <c r="A9776" t="str">
        <f>T("   621111")</f>
        <v xml:space="preserve">   621111</v>
      </c>
      <c r="B9776" t="str">
        <f>T("   POUR HOMMES OU GARCONNETS")</f>
        <v xml:space="preserve">   POUR HOMMES OU GARCONNETS</v>
      </c>
      <c r="C9776" s="4">
        <v>125</v>
      </c>
      <c r="D9776" s="4">
        <v>400000</v>
      </c>
    </row>
    <row r="9777" spans="1:4" x14ac:dyDescent="0.25">
      <c r="A9777" t="str">
        <f>T("   621139")</f>
        <v xml:space="preserve">   621139</v>
      </c>
      <c r="B9777" t="str">
        <f>T("   D'AUTRES MATIERES TEXTILES")</f>
        <v xml:space="preserve">   D'AUTRES MATIERES TEXTILES</v>
      </c>
      <c r="C9777" s="4">
        <v>191.2</v>
      </c>
      <c r="D9777" s="4">
        <v>260812</v>
      </c>
    </row>
    <row r="9778" spans="1:4" x14ac:dyDescent="0.25">
      <c r="A9778" t="str">
        <f>T("   621290")</f>
        <v xml:space="preserve">   621290</v>
      </c>
      <c r="B9778" t="str">
        <f>T("   AUTRES")</f>
        <v xml:space="preserve">   AUTRES</v>
      </c>
      <c r="C9778" s="4">
        <v>80</v>
      </c>
      <c r="D9778" s="4">
        <v>100000</v>
      </c>
    </row>
    <row r="9779" spans="1:4" x14ac:dyDescent="0.25">
      <c r="A9779" t="str">
        <f>T("   621710")</f>
        <v xml:space="preserve">   621710</v>
      </c>
      <c r="B9779" t="str">
        <f>T("   ACCESSOIRES")</f>
        <v xml:space="preserve">   ACCESSOIRES</v>
      </c>
      <c r="C9779" s="4">
        <v>390</v>
      </c>
      <c r="D9779" s="4">
        <v>200000</v>
      </c>
    </row>
    <row r="9780" spans="1:4" x14ac:dyDescent="0.25">
      <c r="A9780" t="str">
        <f>T("   630510")</f>
        <v xml:space="preserve">   630510</v>
      </c>
      <c r="B9780" t="str">
        <f>T("   DE JUTE OU D'AUTRES FIBRES TEXTILES LIBERIENNES DU N° 53.03")</f>
        <v xml:space="preserve">   DE JUTE OU D'AUTRES FIBRES TEXTILES LIBERIENNES DU N° 53.03</v>
      </c>
      <c r="C9780" s="4">
        <v>50</v>
      </c>
      <c r="D9780" s="4">
        <v>13500</v>
      </c>
    </row>
    <row r="9781" spans="1:4" x14ac:dyDescent="0.25">
      <c r="A9781" t="str">
        <f>T("   630699")</f>
        <v xml:space="preserve">   630699</v>
      </c>
      <c r="B9781" t="str">
        <f>T("   AUTRES ARTICLES DU 63.06 D'AUTRES MATIERES TEXTILES")</f>
        <v xml:space="preserve">   AUTRES ARTICLES DU 63.06 D'AUTRES MATIERES TEXTILES</v>
      </c>
      <c r="C9781" s="4">
        <v>824</v>
      </c>
      <c r="D9781" s="4">
        <v>487000</v>
      </c>
    </row>
    <row r="9782" spans="1:4" x14ac:dyDescent="0.25">
      <c r="A9782" t="str">
        <f>T("   631090")</f>
        <v xml:space="preserve">   631090</v>
      </c>
      <c r="B9782" t="str">
        <f>T("   AUTRES")</f>
        <v xml:space="preserve">   AUTRES</v>
      </c>
      <c r="C9782" s="4">
        <v>2100</v>
      </c>
      <c r="D9782" s="4">
        <v>662000</v>
      </c>
    </row>
    <row r="9783" spans="1:4" x14ac:dyDescent="0.25">
      <c r="A9783" t="str">
        <f>T("   640199")</f>
        <v xml:space="preserve">   640199</v>
      </c>
      <c r="B9783" t="str">
        <f>T("   AUTRES")</f>
        <v xml:space="preserve">   AUTRES</v>
      </c>
      <c r="C9783" s="4">
        <v>159</v>
      </c>
      <c r="D9783" s="4">
        <v>120000</v>
      </c>
    </row>
    <row r="9784" spans="1:4" x14ac:dyDescent="0.25">
      <c r="A9784" t="str">
        <f>T("   640299")</f>
        <v xml:space="preserve">   640299</v>
      </c>
      <c r="B9784" t="str">
        <f>T("   AUTRES")</f>
        <v xml:space="preserve">   AUTRES</v>
      </c>
      <c r="C9784" s="4">
        <v>334</v>
      </c>
      <c r="D9784" s="4">
        <v>23615216</v>
      </c>
    </row>
    <row r="9785" spans="1:4" x14ac:dyDescent="0.25">
      <c r="A9785" t="str">
        <f>T("   640320")</f>
        <v xml:space="preserve">   640320</v>
      </c>
      <c r="B9785" t="str">
        <f>T("   CHAUSSURES A SEMELLES EXTERIEURES EN CUIR NATUREL ET DESSUS CONSTITUES PAR DES LANIER")</f>
        <v xml:space="preserve">   CHAUSSURES A SEMELLES EXTERIEURES EN CUIR NATUREL ET DESSUS CONSTITUES PAR DES LANIER</v>
      </c>
      <c r="C9785" s="4">
        <v>140</v>
      </c>
      <c r="D9785" s="4">
        <v>74000</v>
      </c>
    </row>
    <row r="9786" spans="1:4" x14ac:dyDescent="0.25">
      <c r="A9786" t="str">
        <f>T("   640590")</f>
        <v xml:space="preserve">   640590</v>
      </c>
      <c r="B9786" t="str">
        <f t="shared" ref="B9786:B9792" si="7">T("   AUTRES")</f>
        <v xml:space="preserve">   AUTRES</v>
      </c>
      <c r="C9786" s="4">
        <v>1076</v>
      </c>
      <c r="D9786" s="4">
        <v>1016787</v>
      </c>
    </row>
    <row r="9787" spans="1:4" x14ac:dyDescent="0.25">
      <c r="A9787" t="str">
        <f>T("   660199")</f>
        <v xml:space="preserve">   660199</v>
      </c>
      <c r="B9787" t="str">
        <f t="shared" si="7"/>
        <v xml:space="preserve">   AUTRES</v>
      </c>
      <c r="C9787" s="4">
        <v>6042</v>
      </c>
      <c r="D9787" s="4">
        <v>4420000</v>
      </c>
    </row>
    <row r="9788" spans="1:4" x14ac:dyDescent="0.25">
      <c r="A9788" t="str">
        <f>T("   680790")</f>
        <v xml:space="preserve">   680790</v>
      </c>
      <c r="B9788" t="str">
        <f t="shared" si="7"/>
        <v xml:space="preserve">   AUTRES</v>
      </c>
      <c r="C9788" s="4">
        <v>7</v>
      </c>
      <c r="D9788" s="4">
        <v>22959</v>
      </c>
    </row>
    <row r="9789" spans="1:4" x14ac:dyDescent="0.25">
      <c r="A9789" t="str">
        <f>T("   701190")</f>
        <v xml:space="preserve">   701190</v>
      </c>
      <c r="B9789" t="str">
        <f t="shared" si="7"/>
        <v xml:space="preserve">   AUTRES</v>
      </c>
      <c r="C9789" s="4">
        <v>3</v>
      </c>
      <c r="D9789" s="4">
        <v>6500</v>
      </c>
    </row>
    <row r="9790" spans="1:4" x14ac:dyDescent="0.25">
      <c r="A9790" t="str">
        <f>T("   711790")</f>
        <v xml:space="preserve">   711790</v>
      </c>
      <c r="B9790" t="str">
        <f t="shared" si="7"/>
        <v xml:space="preserve">   AUTRES</v>
      </c>
      <c r="C9790" s="4">
        <v>301</v>
      </c>
      <c r="D9790" s="4">
        <v>1198226</v>
      </c>
    </row>
    <row r="9791" spans="1:4" x14ac:dyDescent="0.25">
      <c r="A9791" t="str">
        <f>T("   721049")</f>
        <v xml:space="preserve">   721049</v>
      </c>
      <c r="B9791" t="str">
        <f t="shared" si="7"/>
        <v xml:space="preserve">   AUTRES</v>
      </c>
      <c r="C9791" s="4">
        <v>349962</v>
      </c>
      <c r="D9791" s="4">
        <v>205135285</v>
      </c>
    </row>
    <row r="9792" spans="1:4" x14ac:dyDescent="0.25">
      <c r="A9792" t="str">
        <f>T("   722599")</f>
        <v xml:space="preserve">   722599</v>
      </c>
      <c r="B9792" t="str">
        <f t="shared" si="7"/>
        <v xml:space="preserve">   AUTRES</v>
      </c>
      <c r="C9792" s="4">
        <v>12500</v>
      </c>
      <c r="D9792" s="4">
        <v>2250000</v>
      </c>
    </row>
    <row r="9793" spans="1:4" x14ac:dyDescent="0.25">
      <c r="A9793" t="str">
        <f>T("   730520")</f>
        <v xml:space="preserve">   730520</v>
      </c>
      <c r="B9793" t="str">
        <f>T("   TUBES ET TUYAUX DE CUVELAGE DES TYPES UTILISES POUR L'EXTRACTION DU PETROLE OU DU GAZ")</f>
        <v xml:space="preserve">   TUBES ET TUYAUX DE CUVELAGE DES TYPES UTILISES POUR L'EXTRACTION DU PETROLE OU DU GAZ</v>
      </c>
      <c r="C9793" s="4">
        <v>2500</v>
      </c>
      <c r="D9793" s="4">
        <v>1750000</v>
      </c>
    </row>
    <row r="9794" spans="1:4" x14ac:dyDescent="0.25">
      <c r="A9794" t="str">
        <f>T("   730890")</f>
        <v xml:space="preserve">   730890</v>
      </c>
      <c r="B9794" t="str">
        <f>T("   AUTRES")</f>
        <v xml:space="preserve">   AUTRES</v>
      </c>
      <c r="C9794" s="4">
        <v>5172</v>
      </c>
      <c r="D9794" s="4">
        <v>22622093</v>
      </c>
    </row>
    <row r="9795" spans="1:4" x14ac:dyDescent="0.25">
      <c r="A9795" t="str">
        <f>T("   732394")</f>
        <v xml:space="preserve">   732394</v>
      </c>
      <c r="B9795" t="str">
        <f>T("   EN FER OU EN ACIER, EMAILLES")</f>
        <v xml:space="preserve">   EN FER OU EN ACIER, EMAILLES</v>
      </c>
      <c r="C9795" s="4">
        <v>1900</v>
      </c>
      <c r="D9795" s="4">
        <v>1590000</v>
      </c>
    </row>
    <row r="9796" spans="1:4" x14ac:dyDescent="0.25">
      <c r="A9796" t="str">
        <f>T("   732690")</f>
        <v xml:space="preserve">   732690</v>
      </c>
      <c r="B9796" t="str">
        <f>T("   AUTRES")</f>
        <v xml:space="preserve">   AUTRES</v>
      </c>
      <c r="C9796" s="4">
        <v>140</v>
      </c>
      <c r="D9796" s="4">
        <v>448021</v>
      </c>
    </row>
    <row r="9797" spans="1:4" x14ac:dyDescent="0.25">
      <c r="A9797" t="str">
        <f>T("   740710")</f>
        <v xml:space="preserve">   740710</v>
      </c>
      <c r="B9797" t="str">
        <f>T("   EN CUIVRE AFFINE")</f>
        <v xml:space="preserve">   EN CUIVRE AFFINE</v>
      </c>
      <c r="C9797" s="4">
        <v>165</v>
      </c>
      <c r="D9797" s="4">
        <v>521488</v>
      </c>
    </row>
    <row r="9798" spans="1:4" x14ac:dyDescent="0.25">
      <c r="A9798" t="str">
        <f>T("   741300")</f>
        <v xml:space="preserve">   741300</v>
      </c>
      <c r="B9798" t="str">
        <f>T("   TORONS, CABLES, TRESSES ET ARTICLES SIMILAIRES, EN CUIVRE, NON ISOLES POUR L'ELECTRICIT")</f>
        <v xml:space="preserve">   TORONS, CABLES, TRESSES ET ARTICLES SIMILAIRES, EN CUIVRE, NON ISOLES POUR L'ELECTRICIT</v>
      </c>
      <c r="C9798" s="4">
        <v>187</v>
      </c>
      <c r="D9798" s="4">
        <v>596924</v>
      </c>
    </row>
    <row r="9799" spans="1:4" x14ac:dyDescent="0.25">
      <c r="A9799" t="str">
        <f>T("   741533")</f>
        <v xml:space="preserve">   741533</v>
      </c>
      <c r="B9799" t="str">
        <f>T("   VIS; BOULONS ET ECROUS")</f>
        <v xml:space="preserve">   VIS; BOULONS ET ECROUS</v>
      </c>
      <c r="C9799" s="4">
        <v>25</v>
      </c>
      <c r="D9799" s="4">
        <v>50000</v>
      </c>
    </row>
    <row r="9800" spans="1:4" x14ac:dyDescent="0.25">
      <c r="A9800" t="str">
        <f>T("   820760")</f>
        <v xml:space="preserve">   820760</v>
      </c>
      <c r="B9800" t="str">
        <f>T("   OUTILS A ALESER OU A BROCHER")</f>
        <v xml:space="preserve">   OUTILS A ALESER OU A BROCHER</v>
      </c>
      <c r="C9800" s="4">
        <v>280</v>
      </c>
      <c r="D9800" s="4">
        <v>6051231</v>
      </c>
    </row>
    <row r="9801" spans="1:4" x14ac:dyDescent="0.25">
      <c r="A9801" t="str">
        <f>T("   821520")</f>
        <v xml:space="preserve">   821520</v>
      </c>
      <c r="B9801" t="str">
        <f>T("   AUTRES ASSORTIMENTS")</f>
        <v xml:space="preserve">   AUTRES ASSORTIMENTS</v>
      </c>
      <c r="C9801" s="4">
        <v>5</v>
      </c>
      <c r="D9801" s="4">
        <v>74000</v>
      </c>
    </row>
    <row r="9802" spans="1:4" x14ac:dyDescent="0.25">
      <c r="A9802" t="str">
        <f>T("   830790")</f>
        <v xml:space="preserve">   830790</v>
      </c>
      <c r="B9802" t="str">
        <f>T("   EN AUTRES METAUX COMMUNS")</f>
        <v xml:space="preserve">   EN AUTRES METAUX COMMUNS</v>
      </c>
      <c r="C9802" s="4">
        <v>1050</v>
      </c>
      <c r="D9802" s="4">
        <v>3375000</v>
      </c>
    </row>
    <row r="9803" spans="1:4" x14ac:dyDescent="0.25">
      <c r="A9803" t="str">
        <f>T("   840999")</f>
        <v xml:space="preserve">   840999</v>
      </c>
      <c r="B9803" t="str">
        <f>T("   AUTRES")</f>
        <v xml:space="preserve">   AUTRES</v>
      </c>
      <c r="C9803" s="4">
        <v>29</v>
      </c>
      <c r="D9803" s="4">
        <v>182000</v>
      </c>
    </row>
    <row r="9804" spans="1:4" x14ac:dyDescent="0.25">
      <c r="A9804" t="str">
        <f>T("   841290")</f>
        <v xml:space="preserve">   841290</v>
      </c>
      <c r="B9804" t="str">
        <f>T("   PARTIES")</f>
        <v xml:space="preserve">   PARTIES</v>
      </c>
      <c r="C9804" s="4">
        <v>243</v>
      </c>
      <c r="D9804" s="4">
        <v>450000</v>
      </c>
    </row>
    <row r="9805" spans="1:4" x14ac:dyDescent="0.25">
      <c r="A9805" t="str">
        <f>T("   841391")</f>
        <v xml:space="preserve">   841391</v>
      </c>
      <c r="B9805" t="str">
        <f>T("   DE POMPES")</f>
        <v xml:space="preserve">   DE POMPES</v>
      </c>
      <c r="C9805" s="4">
        <v>32</v>
      </c>
      <c r="D9805" s="4">
        <v>80000</v>
      </c>
    </row>
    <row r="9806" spans="1:4" x14ac:dyDescent="0.25">
      <c r="A9806" t="str">
        <f>T("   841430")</f>
        <v xml:space="preserve">   841430</v>
      </c>
      <c r="B9806" t="str">
        <f>T("   COMPRESSEURS DES TYPES UTILISES DANS LES EQUIPEMENTS FRIGORIFIQUES")</f>
        <v xml:space="preserve">   COMPRESSEURS DES TYPES UTILISES DANS LES EQUIPEMENTS FRIGORIFIQUES</v>
      </c>
      <c r="C9806" s="4">
        <v>20</v>
      </c>
      <c r="D9806" s="4">
        <v>100000</v>
      </c>
    </row>
    <row r="9807" spans="1:4" x14ac:dyDescent="0.25">
      <c r="A9807" t="str">
        <f>T("   841582")</f>
        <v xml:space="preserve">   841582</v>
      </c>
      <c r="B9807" t="str">
        <f>T("   AUTRES, AVEC DISPOSITIF DE REFRIGERATION")</f>
        <v xml:space="preserve">   AUTRES, AVEC DISPOSITIF DE REFRIGERATION</v>
      </c>
      <c r="C9807" s="4">
        <v>49</v>
      </c>
      <c r="D9807" s="4">
        <v>193500</v>
      </c>
    </row>
    <row r="9808" spans="1:4" x14ac:dyDescent="0.25">
      <c r="A9808" t="str">
        <f>T("   841829")</f>
        <v xml:space="preserve">   841829</v>
      </c>
      <c r="B9808" t="str">
        <f>T("   AUTRES")</f>
        <v xml:space="preserve">   AUTRES</v>
      </c>
      <c r="C9808" s="4">
        <v>520</v>
      </c>
      <c r="D9808" s="4">
        <v>174000</v>
      </c>
    </row>
    <row r="9809" spans="1:4" x14ac:dyDescent="0.25">
      <c r="A9809" t="str">
        <f>T("   842199")</f>
        <v xml:space="preserve">   842199</v>
      </c>
      <c r="B9809" t="str">
        <f>T("   AUTRES")</f>
        <v xml:space="preserve">   AUTRES</v>
      </c>
      <c r="C9809" s="4">
        <v>145</v>
      </c>
      <c r="D9809" s="4">
        <v>430966</v>
      </c>
    </row>
    <row r="9810" spans="1:4" x14ac:dyDescent="0.25">
      <c r="A9810" t="str">
        <f>T("   842330")</f>
        <v xml:space="preserve">   842330</v>
      </c>
      <c r="B9810" t="str">
        <f>T("   BASCULES A PESEES CONSTANTES ET BALANCES ET BASCULES ENSACHEUSES OU DOSEUSES")</f>
        <v xml:space="preserve">   BASCULES A PESEES CONSTANTES ET BALANCES ET BASCULES ENSACHEUSES OU DOSEUSES</v>
      </c>
      <c r="C9810" s="4">
        <v>40</v>
      </c>
      <c r="D9810" s="4">
        <v>70000</v>
      </c>
    </row>
    <row r="9811" spans="1:4" x14ac:dyDescent="0.25">
      <c r="A9811" t="str">
        <f>T("   843049")</f>
        <v xml:space="preserve">   843049</v>
      </c>
      <c r="B9811" t="str">
        <f>T("   AUTRES")</f>
        <v xml:space="preserve">   AUTRES</v>
      </c>
      <c r="C9811" s="4">
        <v>17226</v>
      </c>
      <c r="D9811" s="4">
        <v>22953362</v>
      </c>
    </row>
    <row r="9812" spans="1:4" x14ac:dyDescent="0.25">
      <c r="A9812" t="str">
        <f>T("   843139")</f>
        <v xml:space="preserve">   843139</v>
      </c>
      <c r="B9812" t="str">
        <f>T("   AUTRES")</f>
        <v xml:space="preserve">   AUTRES</v>
      </c>
      <c r="C9812" s="4">
        <v>1055</v>
      </c>
      <c r="D9812" s="4">
        <v>65596</v>
      </c>
    </row>
    <row r="9813" spans="1:4" x14ac:dyDescent="0.25">
      <c r="A9813" t="str">
        <f>T("   843149")</f>
        <v xml:space="preserve">   843149</v>
      </c>
      <c r="B9813" t="str">
        <f>T("   AUTRES")</f>
        <v xml:space="preserve">   AUTRES</v>
      </c>
      <c r="C9813" s="4">
        <v>60</v>
      </c>
      <c r="D9813" s="4">
        <v>150000</v>
      </c>
    </row>
    <row r="9814" spans="1:4" x14ac:dyDescent="0.25">
      <c r="A9814" t="str">
        <f>T("   843351")</f>
        <v xml:space="preserve">   843351</v>
      </c>
      <c r="B9814" t="str">
        <f>T("   MOISSONNEUSESBATTEUSES")</f>
        <v xml:space="preserve">   MOISSONNEUSESBATTEUSES</v>
      </c>
      <c r="C9814" s="4">
        <v>1000</v>
      </c>
      <c r="D9814" s="4">
        <v>1860000</v>
      </c>
    </row>
    <row r="9815" spans="1:4" x14ac:dyDescent="0.25">
      <c r="A9815" t="str">
        <f>T("   843610")</f>
        <v xml:space="preserve">   843610</v>
      </c>
      <c r="B9815" t="str">
        <f>T("   MACHINES ET APPAREILS POUR LA PREPARATION DES ALIMENTS OU PROVENDES POUR ANIMAUX")</f>
        <v xml:space="preserve">   MACHINES ET APPAREILS POUR LA PREPARATION DES ALIMENTS OU PROVENDES POUR ANIMAUX</v>
      </c>
      <c r="C9815" s="4">
        <v>76</v>
      </c>
      <c r="D9815" s="4">
        <v>200000</v>
      </c>
    </row>
    <row r="9816" spans="1:4" x14ac:dyDescent="0.25">
      <c r="A9816" t="str">
        <f>T("   843860")</f>
        <v xml:space="preserve">   843860</v>
      </c>
      <c r="B9816" t="str">
        <f>T("   MACHINES ET APPAREILS POUR LA PREPARATION DES FRUITS OU DES LEGUMES")</f>
        <v xml:space="preserve">   MACHINES ET APPAREILS POUR LA PREPARATION DES FRUITS OU DES LEGUMES</v>
      </c>
      <c r="C9816" s="4">
        <v>30</v>
      </c>
      <c r="D9816" s="4">
        <v>50000</v>
      </c>
    </row>
    <row r="9817" spans="1:4" x14ac:dyDescent="0.25">
      <c r="A9817" t="str">
        <f>T("   844391")</f>
        <v xml:space="preserve">   844391</v>
      </c>
      <c r="B9817" t="str">
        <f>T("   PARTIES ET ACCESSOIRES DE MACHINES ET D’APPAREILS SERVANT A L’IMPRESSION AU MOYEN DE")</f>
        <v xml:space="preserve">   PARTIES ET ACCESSOIRES DE MACHINES ET D’APPAREILS SERVANT A L’IMPRESSION AU MOYEN DE</v>
      </c>
      <c r="C9817" s="4">
        <v>2</v>
      </c>
      <c r="D9817" s="4">
        <v>333590</v>
      </c>
    </row>
    <row r="9818" spans="1:4" x14ac:dyDescent="0.25">
      <c r="A9818" t="str">
        <f>T("   847130")</f>
        <v xml:space="preserve">   847130</v>
      </c>
      <c r="B9818" t="str">
        <f>T("   MACHINES AUTOMATIQUES DE TRAITEMENT DE L'INFORMATION PORTATIVES, D'UN POIDS N'EXCEDAN")</f>
        <v xml:space="preserve">   MACHINES AUTOMATIQUES DE TRAITEMENT DE L'INFORMATION PORTATIVES, D'UN POIDS N'EXCEDAN</v>
      </c>
      <c r="C9818" s="4">
        <v>42</v>
      </c>
      <c r="D9818" s="4">
        <v>120000</v>
      </c>
    </row>
    <row r="9819" spans="1:4" x14ac:dyDescent="0.25">
      <c r="A9819" t="str">
        <f>T("   847141")</f>
        <v xml:space="preserve">   847141</v>
      </c>
      <c r="B9819" t="str">
        <f>T("   COMPORTANT, SOUS UNE MEME ENVELOPPE, AU MOINS UNE UNITE CENTRALE DE TRAITEMENT ET, Q")</f>
        <v xml:space="preserve">   COMPORTANT, SOUS UNE MEME ENVELOPPE, AU MOINS UNE UNITE CENTRALE DE TRAITEMENT ET, Q</v>
      </c>
      <c r="C9819" s="4">
        <v>41</v>
      </c>
      <c r="D9819" s="4">
        <v>200000</v>
      </c>
    </row>
    <row r="9820" spans="1:4" x14ac:dyDescent="0.25">
      <c r="A9820" t="str">
        <f>T("   847160")</f>
        <v xml:space="preserve">   847160</v>
      </c>
      <c r="B9820" t="str">
        <f>T("   UNITES D'ENTREE OU DE SORTIE, POUVANT COMPORTER, SOUS LA MEME ENVELOPPE, DES UNITES D")</f>
        <v xml:space="preserve">   UNITES D'ENTREE OU DE SORTIE, POUVANT COMPORTER, SOUS LA MEME ENVELOPPE, DES UNITES D</v>
      </c>
      <c r="C9820" s="4">
        <v>6</v>
      </c>
      <c r="D9820" s="4">
        <v>661915</v>
      </c>
    </row>
    <row r="9821" spans="1:4" x14ac:dyDescent="0.25">
      <c r="A9821" t="str">
        <f>T("   847180")</f>
        <v xml:space="preserve">   847180</v>
      </c>
      <c r="B9821" t="str">
        <f>T("   AUTRES UNITES DE MACHINES AUTOMATIQUES DE TRAITEMENT DE L'INFORMATION")</f>
        <v xml:space="preserve">   AUTRES UNITES DE MACHINES AUTOMATIQUES DE TRAITEMENT DE L'INFORMATION</v>
      </c>
      <c r="C9821" s="4">
        <v>705.2</v>
      </c>
      <c r="D9821" s="4">
        <v>4993184</v>
      </c>
    </row>
    <row r="9822" spans="1:4" x14ac:dyDescent="0.25">
      <c r="A9822" t="str">
        <f>T("   847190")</f>
        <v xml:space="preserve">   847190</v>
      </c>
      <c r="B9822" t="str">
        <f>T("   AUTRES")</f>
        <v xml:space="preserve">   AUTRES</v>
      </c>
      <c r="C9822" s="4">
        <v>126</v>
      </c>
      <c r="D9822" s="4">
        <v>865000</v>
      </c>
    </row>
    <row r="9823" spans="1:4" x14ac:dyDescent="0.25">
      <c r="A9823" t="str">
        <f>T("   847290")</f>
        <v xml:space="preserve">   847290</v>
      </c>
      <c r="B9823" t="str">
        <f>T("   AUTRES")</f>
        <v xml:space="preserve">   AUTRES</v>
      </c>
      <c r="C9823" s="4">
        <v>445</v>
      </c>
      <c r="D9823" s="4">
        <v>806473</v>
      </c>
    </row>
    <row r="9824" spans="1:4" x14ac:dyDescent="0.25">
      <c r="A9824" t="str">
        <f>T("   847330")</f>
        <v xml:space="preserve">   847330</v>
      </c>
      <c r="B9824" t="str">
        <f>T("   PARTIES ET ACCESSOIRES DES MACHINES DU N° 84.71")</f>
        <v xml:space="preserve">   PARTIES ET ACCESSOIRES DES MACHINES DU N° 84.71</v>
      </c>
      <c r="C9824" s="4">
        <v>0.2</v>
      </c>
      <c r="D9824" s="4">
        <v>72000</v>
      </c>
    </row>
    <row r="9825" spans="1:4" x14ac:dyDescent="0.25">
      <c r="A9825" t="str">
        <f>T("   847420")</f>
        <v xml:space="preserve">   847420</v>
      </c>
      <c r="B9825" t="str">
        <f>T("   MACHINES ET APPAREILS A CONCASSER, BROYER OU PULVERISER")</f>
        <v xml:space="preserve">   MACHINES ET APPAREILS A CONCASSER, BROYER OU PULVERISER</v>
      </c>
      <c r="C9825" s="4">
        <v>1500</v>
      </c>
      <c r="D9825" s="4">
        <v>259850</v>
      </c>
    </row>
    <row r="9826" spans="1:4" x14ac:dyDescent="0.25">
      <c r="A9826" t="str">
        <f>T("   848180")</f>
        <v xml:space="preserve">   848180</v>
      </c>
      <c r="B9826" t="str">
        <f>T("   Autres articles de robinetterie et organes similaires")</f>
        <v xml:space="preserve">   Autres articles de robinetterie et organes similaires</v>
      </c>
      <c r="C9826" s="4">
        <v>10</v>
      </c>
      <c r="D9826" s="4">
        <v>12103</v>
      </c>
    </row>
    <row r="9827" spans="1:4" x14ac:dyDescent="0.25">
      <c r="A9827" t="str">
        <f>T("   848190")</f>
        <v xml:space="preserve">   848190</v>
      </c>
      <c r="B9827" t="str">
        <f>T("   PARTIES")</f>
        <v xml:space="preserve">   PARTIES</v>
      </c>
      <c r="C9827" s="4">
        <v>52</v>
      </c>
      <c r="D9827" s="4">
        <v>138702</v>
      </c>
    </row>
    <row r="9828" spans="1:4" x14ac:dyDescent="0.25">
      <c r="A9828" t="str">
        <f>T("   848790")</f>
        <v xml:space="preserve">   848790</v>
      </c>
      <c r="B9828" t="str">
        <f>T("   AUTRES")</f>
        <v xml:space="preserve">   AUTRES</v>
      </c>
      <c r="C9828" s="4">
        <v>1500</v>
      </c>
      <c r="D9828" s="4">
        <v>1700910</v>
      </c>
    </row>
    <row r="9829" spans="1:4" x14ac:dyDescent="0.25">
      <c r="A9829" t="str">
        <f>T("   850110")</f>
        <v xml:space="preserve">   850110</v>
      </c>
      <c r="B9829" t="str">
        <f>T("   MOTEURS D'UNE PUISSANCE N'EXCEDANT PAS 37,5 W")</f>
        <v xml:space="preserve">   MOTEURS D'UNE PUISSANCE N'EXCEDANT PAS 37,5 W</v>
      </c>
      <c r="C9829" s="4">
        <v>52</v>
      </c>
      <c r="D9829" s="4">
        <v>70000</v>
      </c>
    </row>
    <row r="9830" spans="1:4" x14ac:dyDescent="0.25">
      <c r="A9830" t="str">
        <f>T("   850211")</f>
        <v xml:space="preserve">   850211</v>
      </c>
      <c r="B9830" t="str">
        <f>T("   D'UNE PUISSANCE N'EXCEDANT PAS 75 KVA")</f>
        <v xml:space="preserve">   D'UNE PUISSANCE N'EXCEDANT PAS 75 KVA</v>
      </c>
      <c r="C9830" s="4">
        <v>10</v>
      </c>
      <c r="D9830" s="4">
        <v>700000</v>
      </c>
    </row>
    <row r="9831" spans="1:4" x14ac:dyDescent="0.25">
      <c r="A9831" t="str">
        <f>T("   850239")</f>
        <v xml:space="preserve">   850239</v>
      </c>
      <c r="B9831" t="str">
        <f>T("   AUTRES")</f>
        <v xml:space="preserve">   AUTRES</v>
      </c>
      <c r="C9831" s="4">
        <v>60000</v>
      </c>
      <c r="D9831" s="4">
        <v>437245319</v>
      </c>
    </row>
    <row r="9832" spans="1:4" x14ac:dyDescent="0.25">
      <c r="A9832" t="str">
        <f>T("   850520")</f>
        <v xml:space="preserve">   850520</v>
      </c>
      <c r="B9832" t="str">
        <f>T("   ACCOUPLEMENTS, EMBRAYAGES, VARIATEURS DE VITESSE ET FREINS ELECTROMAGNETIQUES")</f>
        <v xml:space="preserve">   ACCOUPLEMENTS, EMBRAYAGES, VARIATEURS DE VITESSE ET FREINS ELECTROMAGNETIQUES</v>
      </c>
      <c r="C9832" s="4">
        <v>10</v>
      </c>
      <c r="D9832" s="4">
        <v>25000</v>
      </c>
    </row>
    <row r="9833" spans="1:4" x14ac:dyDescent="0.25">
      <c r="A9833" t="str">
        <f>T("   850680")</f>
        <v xml:space="preserve">   850680</v>
      </c>
      <c r="B9833" t="str">
        <f>T("   AUTRES PILES ET BATTERIES DE PILES")</f>
        <v xml:space="preserve">   AUTRES PILES ET BATTERIES DE PILES</v>
      </c>
      <c r="C9833" s="4">
        <v>117</v>
      </c>
      <c r="D9833" s="4">
        <v>80000</v>
      </c>
    </row>
    <row r="9834" spans="1:4" x14ac:dyDescent="0.25">
      <c r="A9834" t="str">
        <f>T("   851190")</f>
        <v xml:space="preserve">   851190</v>
      </c>
      <c r="B9834" t="str">
        <f>T("   PARTIES")</f>
        <v xml:space="preserve">   PARTIES</v>
      </c>
      <c r="C9834" s="4">
        <v>13</v>
      </c>
      <c r="D9834" s="4">
        <v>25000</v>
      </c>
    </row>
    <row r="9835" spans="1:4" x14ac:dyDescent="0.25">
      <c r="A9835" t="str">
        <f>T("   851640")</f>
        <v xml:space="preserve">   851640</v>
      </c>
      <c r="B9835" t="str">
        <f>T("   Fers a repasser electriques")</f>
        <v xml:space="preserve">   Fers a repasser electriques</v>
      </c>
      <c r="C9835" s="4">
        <v>300</v>
      </c>
      <c r="D9835" s="4">
        <v>524000</v>
      </c>
    </row>
    <row r="9836" spans="1:4" x14ac:dyDescent="0.25">
      <c r="A9836" t="str">
        <f>T("   851712")</f>
        <v xml:space="preserve">   851712</v>
      </c>
      <c r="B9836" t="str">
        <f>T("   TELEPHONES POUR RESEAUX CELLULAIRES ET POUR AUTRES RESEAUX SANS FIL")</f>
        <v xml:space="preserve">   TELEPHONES POUR RESEAUX CELLULAIRES ET POUR AUTRES RESEAUX SANS FIL</v>
      </c>
      <c r="C9836" s="4">
        <v>59</v>
      </c>
      <c r="D9836" s="4">
        <v>318500</v>
      </c>
    </row>
    <row r="9837" spans="1:4" x14ac:dyDescent="0.25">
      <c r="A9837" t="str">
        <f>T("   851769")</f>
        <v xml:space="preserve">   851769</v>
      </c>
      <c r="B9837" t="str">
        <f>T("   AUTRES")</f>
        <v xml:space="preserve">   AUTRES</v>
      </c>
      <c r="C9837" s="4">
        <v>60</v>
      </c>
      <c r="D9837" s="4">
        <v>203348</v>
      </c>
    </row>
    <row r="9838" spans="1:4" x14ac:dyDescent="0.25">
      <c r="A9838" t="str">
        <f>T("   851830")</f>
        <v xml:space="preserve">   851830</v>
      </c>
      <c r="B9838" t="str">
        <f>T("   CASQUES D'ECOUTE ET ECOUTEURS, MEME COMBINES AVEC UN MICROPHONE, ET ENSEMBLES OU ASSO")</f>
        <v xml:space="preserve">   CASQUES D'ECOUTE ET ECOUTEURS, MEME COMBINES AVEC UN MICROPHONE, ET ENSEMBLES OU ASSO</v>
      </c>
      <c r="C9838" s="4">
        <v>8</v>
      </c>
      <c r="D9838" s="4">
        <v>19879</v>
      </c>
    </row>
    <row r="9839" spans="1:4" x14ac:dyDescent="0.25">
      <c r="A9839" t="str">
        <f>T("   852910")</f>
        <v xml:space="preserve">   852910</v>
      </c>
      <c r="B9839" t="str">
        <f>T("   ANTENNES ET REFLECTEURS D’ANTENNES DE TOUS TYPES; PARTIES RECONNAISSABLES COMME ETANT")</f>
        <v xml:space="preserve">   ANTENNES ET REFLECTEURS D’ANTENNES DE TOUS TYPES; PARTIES RECONNAISSABLES COMME ETANT</v>
      </c>
      <c r="C9839" s="4">
        <v>29</v>
      </c>
      <c r="D9839" s="4">
        <v>50000</v>
      </c>
    </row>
    <row r="9840" spans="1:4" x14ac:dyDescent="0.25">
      <c r="A9840" t="str">
        <f>T("   852990")</f>
        <v xml:space="preserve">   852990</v>
      </c>
      <c r="B9840" t="str">
        <f>T("   AUTRES")</f>
        <v xml:space="preserve">   AUTRES</v>
      </c>
      <c r="C9840" s="4">
        <v>74.400000000000006</v>
      </c>
      <c r="D9840" s="4">
        <v>154873</v>
      </c>
    </row>
    <row r="9841" spans="1:4" x14ac:dyDescent="0.25">
      <c r="A9841" t="str">
        <f>T("   853230")</f>
        <v xml:space="preserve">   853230</v>
      </c>
      <c r="B9841" t="str">
        <f>T("   Condensateurs variables ou ajustables")</f>
        <v xml:space="preserve">   Condensateurs variables ou ajustables</v>
      </c>
      <c r="C9841" s="4">
        <v>2824</v>
      </c>
      <c r="D9841" s="4">
        <v>9024697</v>
      </c>
    </row>
    <row r="9842" spans="1:4" x14ac:dyDescent="0.25">
      <c r="A9842" t="str">
        <f>T("   853540")</f>
        <v xml:space="preserve">   853540</v>
      </c>
      <c r="B9842" t="str">
        <f>T("   PARAFOUDRES, LIMITEURS DE TENSION ET PARASURTENSEURS")</f>
        <v xml:space="preserve">   PARAFOUDRES, LIMITEURS DE TENSION ET PARASURTENSEURS</v>
      </c>
      <c r="C9842" s="4">
        <v>822</v>
      </c>
      <c r="D9842" s="4">
        <v>2491651</v>
      </c>
    </row>
    <row r="9843" spans="1:4" x14ac:dyDescent="0.25">
      <c r="A9843" t="str">
        <f>T("   853649")</f>
        <v xml:space="preserve">   853649</v>
      </c>
      <c r="B9843" t="str">
        <f>T("   AUTRES")</f>
        <v xml:space="preserve">   AUTRES</v>
      </c>
      <c r="C9843" s="4">
        <v>135</v>
      </c>
      <c r="D9843" s="4">
        <v>638000</v>
      </c>
    </row>
    <row r="9844" spans="1:4" x14ac:dyDescent="0.25">
      <c r="A9844" t="str">
        <f>T("   853650")</f>
        <v xml:space="preserve">   853650</v>
      </c>
      <c r="B9844" t="str">
        <f>T("   AUTRES INTERRUPTEURS, SECTIONNEURS ET COMMUTATEURS")</f>
        <v xml:space="preserve">   AUTRES INTERRUPTEURS, SECTIONNEURS ET COMMUTATEURS</v>
      </c>
      <c r="C9844" s="4">
        <v>21</v>
      </c>
      <c r="D9844" s="4">
        <v>10000</v>
      </c>
    </row>
    <row r="9845" spans="1:4" x14ac:dyDescent="0.25">
      <c r="A9845" t="str">
        <f>T("   853690")</f>
        <v xml:space="preserve">   853690</v>
      </c>
      <c r="B9845" t="str">
        <f>T("   AUTRES APPAREILS")</f>
        <v xml:space="preserve">   AUTRES APPAREILS</v>
      </c>
      <c r="C9845" s="4">
        <v>5235</v>
      </c>
      <c r="D9845" s="4">
        <v>16732227</v>
      </c>
    </row>
    <row r="9846" spans="1:4" x14ac:dyDescent="0.25">
      <c r="A9846" t="str">
        <f>T("   853890")</f>
        <v xml:space="preserve">   853890</v>
      </c>
      <c r="B9846" t="str">
        <f>T("   AUTRES")</f>
        <v xml:space="preserve">   AUTRES</v>
      </c>
      <c r="C9846" s="4">
        <v>2304</v>
      </c>
      <c r="D9846" s="4">
        <v>1250000</v>
      </c>
    </row>
    <row r="9847" spans="1:4" x14ac:dyDescent="0.25">
      <c r="A9847" t="str">
        <f>T("   854129")</f>
        <v xml:space="preserve">   854129</v>
      </c>
      <c r="B9847" t="str">
        <f>T("   AUTRES")</f>
        <v xml:space="preserve">   AUTRES</v>
      </c>
      <c r="C9847" s="4">
        <v>140</v>
      </c>
      <c r="D9847" s="4">
        <v>400000</v>
      </c>
    </row>
    <row r="9848" spans="1:4" x14ac:dyDescent="0.25">
      <c r="A9848" t="str">
        <f>T("   854420")</f>
        <v xml:space="preserve">   854420</v>
      </c>
      <c r="B9848" t="str">
        <f>T("   Cables coaxiaux et autres conducteurs electriques coaxiaux")</f>
        <v xml:space="preserve">   Cables coaxiaux et autres conducteurs electriques coaxiaux</v>
      </c>
      <c r="C9848" s="4">
        <v>820300</v>
      </c>
      <c r="D9848" s="4">
        <v>314559078</v>
      </c>
    </row>
    <row r="9849" spans="1:4" x14ac:dyDescent="0.25">
      <c r="A9849" t="str">
        <f>T("   854449")</f>
        <v xml:space="preserve">   854449</v>
      </c>
      <c r="B9849" t="str">
        <f>T("   AUTRES")</f>
        <v xml:space="preserve">   AUTRES</v>
      </c>
      <c r="C9849" s="4">
        <v>32044</v>
      </c>
      <c r="D9849" s="4">
        <v>109981723</v>
      </c>
    </row>
    <row r="9850" spans="1:4" x14ac:dyDescent="0.25">
      <c r="A9850" t="str">
        <f>T("   854460")</f>
        <v xml:space="preserve">   854460</v>
      </c>
      <c r="B9850" t="str">
        <f>T("   AUTRES CONDUCTEURS ELECTRIQUES, POUR TENSIONS EXCEDANT 1.000 V")</f>
        <v xml:space="preserve">   AUTRES CONDUCTEURS ELECTRIQUES, POUR TENSIONS EXCEDANT 1.000 V</v>
      </c>
      <c r="C9850" s="4">
        <v>123</v>
      </c>
      <c r="D9850" s="4">
        <v>391608</v>
      </c>
    </row>
    <row r="9851" spans="1:4" x14ac:dyDescent="0.25">
      <c r="A9851" t="str">
        <f>T("   870323")</f>
        <v xml:space="preserve">   870323</v>
      </c>
      <c r="B9851" t="str">
        <f>T("   D’UNE CYLINDREE EXCEDANT 1.500 CM³ MAIS N’EXCEDANT PAS 3.000 CM³")</f>
        <v xml:space="preserve">   D’UNE CYLINDREE EXCEDANT 1.500 CM³ MAIS N’EXCEDANT PAS 3.000 CM³</v>
      </c>
      <c r="C9851" s="4">
        <v>9275</v>
      </c>
      <c r="D9851" s="4">
        <v>73372812</v>
      </c>
    </row>
    <row r="9852" spans="1:4" x14ac:dyDescent="0.25">
      <c r="A9852" t="str">
        <f>T("   870332")</f>
        <v xml:space="preserve">   870332</v>
      </c>
      <c r="B9852" t="str">
        <f>T("   D'UNE CYLINDREE EXCEDANT 1.500 CM³ MAIS N'EXCEDANT PAS 2.500 CM³")</f>
        <v xml:space="preserve">   D'UNE CYLINDREE EXCEDANT 1.500 CM³ MAIS N'EXCEDANT PAS 2.500 CM³</v>
      </c>
      <c r="C9852" s="4">
        <v>1862</v>
      </c>
      <c r="D9852" s="4">
        <v>6431953</v>
      </c>
    </row>
    <row r="9853" spans="1:4" x14ac:dyDescent="0.25">
      <c r="A9853" t="str">
        <f>T("   870990")</f>
        <v xml:space="preserve">   870990</v>
      </c>
      <c r="B9853" t="str">
        <f>T("   PARTIES")</f>
        <v xml:space="preserve">   PARTIES</v>
      </c>
      <c r="C9853" s="4">
        <v>50</v>
      </c>
      <c r="D9853" s="4">
        <v>200000</v>
      </c>
    </row>
    <row r="9854" spans="1:4" x14ac:dyDescent="0.25">
      <c r="A9854" t="str">
        <f>T("   871120")</f>
        <v xml:space="preserve">   871120</v>
      </c>
      <c r="B9854" t="str">
        <f>T("   A MOTEUR A PISTON ALTERNATIF, D'UNE CYLINDREE EXCEDANT 50 CM³ MAIS N'EXCEDANT PAS 250")</f>
        <v xml:space="preserve">   A MOTEUR A PISTON ALTERNATIF, D'UNE CYLINDREE EXCEDANT 50 CM³ MAIS N'EXCEDANT PAS 250</v>
      </c>
      <c r="C9854" s="4">
        <v>5</v>
      </c>
      <c r="D9854" s="4">
        <v>124000</v>
      </c>
    </row>
    <row r="9855" spans="1:4" x14ac:dyDescent="0.25">
      <c r="A9855" t="str">
        <f>T("   871690")</f>
        <v xml:space="preserve">   871690</v>
      </c>
      <c r="B9855" t="str">
        <f>T("   PARTIES")</f>
        <v xml:space="preserve">   PARTIES</v>
      </c>
      <c r="C9855" s="4">
        <v>80</v>
      </c>
      <c r="D9855" s="4">
        <v>200000</v>
      </c>
    </row>
    <row r="9856" spans="1:4" x14ac:dyDescent="0.25">
      <c r="A9856" t="str">
        <f>T("   900640")</f>
        <v xml:space="preserve">   900640</v>
      </c>
      <c r="B9856" t="str">
        <f>T("   APPAREILS PHOTOGRAPHIQUES A DEVELOPPEMENT ET TIRAGE INSTANTANES")</f>
        <v xml:space="preserve">   APPAREILS PHOTOGRAPHIQUES A DEVELOPPEMENT ET TIRAGE INSTANTANES</v>
      </c>
      <c r="C9856" s="4">
        <v>10</v>
      </c>
      <c r="D9856" s="4">
        <v>100000</v>
      </c>
    </row>
    <row r="9857" spans="1:4" x14ac:dyDescent="0.25">
      <c r="A9857" t="str">
        <f>T("   900719")</f>
        <v xml:space="preserve">   900719</v>
      </c>
      <c r="B9857" t="str">
        <f>T("   AUTRES CAMERAS MEME AVEC PRISE ET REPRODUCTION DU SON")</f>
        <v xml:space="preserve">   AUTRES CAMERAS MEME AVEC PRISE ET REPRODUCTION DU SON</v>
      </c>
      <c r="C9857" s="4">
        <v>40</v>
      </c>
      <c r="D9857" s="4">
        <v>250000</v>
      </c>
    </row>
    <row r="9858" spans="1:4" x14ac:dyDescent="0.25">
      <c r="A9858" t="str">
        <f>T("   901590")</f>
        <v xml:space="preserve">   901590</v>
      </c>
      <c r="B9858" t="str">
        <f>T("   PARTIES ET ACCESSOIRES")</f>
        <v xml:space="preserve">   PARTIES ET ACCESSOIRES</v>
      </c>
      <c r="C9858" s="4">
        <v>97</v>
      </c>
      <c r="D9858" s="4">
        <v>111000</v>
      </c>
    </row>
    <row r="9859" spans="1:4" x14ac:dyDescent="0.25">
      <c r="A9859" t="str">
        <f>T("   901819")</f>
        <v xml:space="preserve">   901819</v>
      </c>
      <c r="B9859" t="str">
        <f>T("   AUTRES")</f>
        <v xml:space="preserve">   AUTRES</v>
      </c>
      <c r="C9859" s="4">
        <v>141.5</v>
      </c>
      <c r="D9859" s="4">
        <v>605089</v>
      </c>
    </row>
    <row r="9860" spans="1:4" x14ac:dyDescent="0.25">
      <c r="A9860" t="str">
        <f>T("   901890")</f>
        <v xml:space="preserve">   901890</v>
      </c>
      <c r="B9860" t="str">
        <f>T("   AUTRES INSTRUMENTS ET APPAREILS")</f>
        <v xml:space="preserve">   AUTRES INSTRUMENTS ET APPAREILS</v>
      </c>
      <c r="C9860" s="4">
        <v>813.3</v>
      </c>
      <c r="D9860" s="4">
        <v>4465677</v>
      </c>
    </row>
    <row r="9861" spans="1:4" x14ac:dyDescent="0.25">
      <c r="A9861" t="str">
        <f>T("   903180")</f>
        <v xml:space="preserve">   903180</v>
      </c>
      <c r="B9861" t="str">
        <f>T("   AUTRES INSTRUMENTS, APPAREILS ET MACHINES")</f>
        <v xml:space="preserve">   AUTRES INSTRUMENTS, APPAREILS ET MACHINES</v>
      </c>
      <c r="C9861" s="4">
        <v>22</v>
      </c>
      <c r="D9861" s="4">
        <v>50000</v>
      </c>
    </row>
    <row r="9862" spans="1:4" x14ac:dyDescent="0.25">
      <c r="A9862" t="str">
        <f>T("   940350")</f>
        <v xml:space="preserve">   940350</v>
      </c>
      <c r="B9862" t="str">
        <f>T("   MEUBLES EN BOIS DES TYPES UTILISES DANS LES CHAMBRES A COUCHER")</f>
        <v xml:space="preserve">   MEUBLES EN BOIS DES TYPES UTILISES DANS LES CHAMBRES A COUCHER</v>
      </c>
      <c r="C9862" s="4">
        <v>11000</v>
      </c>
      <c r="D9862" s="4">
        <v>14900000</v>
      </c>
    </row>
    <row r="9863" spans="1:4" x14ac:dyDescent="0.25">
      <c r="A9863" t="str">
        <f>T("   940360")</f>
        <v xml:space="preserve">   940360</v>
      </c>
      <c r="B9863" t="str">
        <f>T("   Autres meubles en bois")</f>
        <v xml:space="preserve">   Autres meubles en bois</v>
      </c>
      <c r="C9863" s="4">
        <v>6470</v>
      </c>
      <c r="D9863" s="4">
        <v>683172</v>
      </c>
    </row>
    <row r="9864" spans="1:4" x14ac:dyDescent="0.25">
      <c r="A9864" t="str">
        <f>T("   940389")</f>
        <v xml:space="preserve">   940389</v>
      </c>
      <c r="B9864" t="str">
        <f>T("   AUTRES")</f>
        <v xml:space="preserve">   AUTRES</v>
      </c>
      <c r="C9864" s="4">
        <v>1000</v>
      </c>
      <c r="D9864" s="4">
        <v>5000000</v>
      </c>
    </row>
    <row r="9865" spans="1:4" x14ac:dyDescent="0.25">
      <c r="A9865" t="str">
        <f>T("   940429")</f>
        <v xml:space="preserve">   940429</v>
      </c>
      <c r="B9865" t="str">
        <f>T("   EN AUTRES MATIERES")</f>
        <v xml:space="preserve">   EN AUTRES MATIERES</v>
      </c>
      <c r="C9865" s="4">
        <v>1800</v>
      </c>
      <c r="D9865" s="4">
        <v>4015020</v>
      </c>
    </row>
    <row r="9866" spans="1:4" x14ac:dyDescent="0.25">
      <c r="A9866" t="str">
        <f>T("   940560")</f>
        <v xml:space="preserve">   940560</v>
      </c>
      <c r="B9866" t="str">
        <f>T("   LAMPESRECLAMES, ENSEIGNES LUMINEUSES, PLAQUES INDICATRICES LUMINEUSES ET ARTICLES SI")</f>
        <v xml:space="preserve">   LAMPESRECLAMES, ENSEIGNES LUMINEUSES, PLAQUES INDICATRICES LUMINEUSES ET ARTICLES SI</v>
      </c>
      <c r="C9866" s="4">
        <v>443.08</v>
      </c>
      <c r="D9866" s="4">
        <v>500000</v>
      </c>
    </row>
    <row r="9867" spans="1:4" x14ac:dyDescent="0.25">
      <c r="A9867" t="str">
        <f>T("   950659")</f>
        <v xml:space="preserve">   950659</v>
      </c>
      <c r="B9867" t="str">
        <f>T("   AUTRES")</f>
        <v xml:space="preserve">   AUTRES</v>
      </c>
      <c r="C9867" s="4">
        <v>93</v>
      </c>
      <c r="D9867" s="4">
        <v>110962</v>
      </c>
    </row>
    <row r="9868" spans="1:4" x14ac:dyDescent="0.25">
      <c r="A9868" t="str">
        <f>T("   950699")</f>
        <v xml:space="preserve">   950699</v>
      </c>
      <c r="B9868" t="str">
        <f>T("   AUTRES")</f>
        <v xml:space="preserve">   AUTRES</v>
      </c>
      <c r="C9868" s="4">
        <v>72</v>
      </c>
      <c r="D9868" s="4">
        <v>80000</v>
      </c>
    </row>
    <row r="9869" spans="1:4" x14ac:dyDescent="0.25">
      <c r="A9869" t="str">
        <f>T("   960321")</f>
        <v xml:space="preserve">   960321</v>
      </c>
      <c r="B9869" t="str">
        <f>T("   BROSSES A DENTS, Y COMPRIS LES BROSSES A DENTIERS")</f>
        <v xml:space="preserve">   BROSSES A DENTS, Y COMPRIS LES BROSSES A DENTIERS</v>
      </c>
      <c r="C9869" s="4">
        <v>2636</v>
      </c>
      <c r="D9869" s="4">
        <v>2529200</v>
      </c>
    </row>
    <row r="9870" spans="1:4" x14ac:dyDescent="0.25">
      <c r="A9870" t="str">
        <f>T("   960629")</f>
        <v xml:space="preserve">   960629</v>
      </c>
      <c r="B9870" t="str">
        <f>T("   AUTRES")</f>
        <v xml:space="preserve">   AUTRES</v>
      </c>
      <c r="C9870" s="4">
        <v>203</v>
      </c>
      <c r="D9870" s="4">
        <v>344500</v>
      </c>
    </row>
    <row r="9871" spans="1:4" x14ac:dyDescent="0.25">
      <c r="A9871" t="str">
        <f>T("   970190")</f>
        <v xml:space="preserve">   970190</v>
      </c>
      <c r="B9871" t="str">
        <f>T("   AUTRES")</f>
        <v xml:space="preserve">   AUTRES</v>
      </c>
      <c r="C9871" s="4">
        <v>8400</v>
      </c>
      <c r="D9871" s="4">
        <v>4005081</v>
      </c>
    </row>
    <row r="9872" spans="1:4" s="5" customFormat="1" x14ac:dyDescent="0.25">
      <c r="A9872" s="5" t="str">
        <f>T("   ZZ_Total_Produit_SH6")</f>
        <v xml:space="preserve">   ZZ_Total_Produit_SH6</v>
      </c>
      <c r="B9872" s="5" t="str">
        <f>T("   ZZ_Total_Produit_SH6")</f>
        <v xml:space="preserve">   ZZ_Total_Produit_SH6</v>
      </c>
      <c r="C9872" s="1">
        <v>70703292.109999999</v>
      </c>
      <c r="D9872" s="1">
        <v>6115585649.9680004</v>
      </c>
    </row>
    <row r="9873" spans="1:4" s="5" customFormat="1" x14ac:dyDescent="0.25">
      <c r="B9873" s="5" t="str">
        <f>T("Suriname")</f>
        <v>Suriname</v>
      </c>
      <c r="C9873" s="1"/>
      <c r="D9873" s="1"/>
    </row>
    <row r="9874" spans="1:4" x14ac:dyDescent="0.25">
      <c r="A9874" t="str">
        <f>T("   621040")</f>
        <v xml:space="preserve">   621040</v>
      </c>
      <c r="B9874" t="str">
        <f>T("   AUTRES VETEMENTS POUR HOMMES OU GARCONNETS")</f>
        <v xml:space="preserve">   AUTRES VETEMENTS POUR HOMMES OU GARCONNETS</v>
      </c>
      <c r="C9874" s="4">
        <v>360</v>
      </c>
      <c r="D9874" s="4">
        <v>205570</v>
      </c>
    </row>
    <row r="9875" spans="1:4" x14ac:dyDescent="0.25">
      <c r="A9875" t="str">
        <f>T("   830990")</f>
        <v xml:space="preserve">   830990</v>
      </c>
      <c r="B9875" t="str">
        <f>T("   AUTRES")</f>
        <v xml:space="preserve">   AUTRES</v>
      </c>
      <c r="C9875" s="4">
        <v>115</v>
      </c>
      <c r="D9875" s="4">
        <v>1614318</v>
      </c>
    </row>
    <row r="9876" spans="1:4" s="5" customFormat="1" x14ac:dyDescent="0.25">
      <c r="A9876" s="5" t="str">
        <f>T("   ZZ_Total_Produit_SH6")</f>
        <v xml:space="preserve">   ZZ_Total_Produit_SH6</v>
      </c>
      <c r="B9876" s="5" t="str">
        <f>T("   ZZ_Total_Produit_SH6")</f>
        <v xml:space="preserve">   ZZ_Total_Produit_SH6</v>
      </c>
      <c r="C9876" s="1">
        <v>475</v>
      </c>
      <c r="D9876" s="1">
        <v>1819888</v>
      </c>
    </row>
    <row r="9877" spans="1:4" s="5" customFormat="1" x14ac:dyDescent="0.25">
      <c r="B9877" s="5" t="str">
        <f>T("Sao Tomé-et-Principe")</f>
        <v>Sao Tomé-et-Principe</v>
      </c>
      <c r="C9877" s="1"/>
      <c r="D9877" s="1"/>
    </row>
    <row r="9878" spans="1:4" x14ac:dyDescent="0.25">
      <c r="A9878" t="str">
        <f>T("   382200")</f>
        <v xml:space="preserve">   382200</v>
      </c>
      <c r="B9878" t="str">
        <f>T("   REACTIFS DE DIAGNOSTIC OU DE LABORATOIRE SUR TOUT SUPPORT ET REACTIFS DE DIAGNOSTIC OU")</f>
        <v xml:space="preserve">   REACTIFS DE DIAGNOSTIC OU DE LABORATOIRE SUR TOUT SUPPORT ET REACTIFS DE DIAGNOSTIC OU</v>
      </c>
      <c r="C9878" s="4">
        <v>16</v>
      </c>
      <c r="D9878" s="4">
        <v>228149</v>
      </c>
    </row>
    <row r="9879" spans="1:4" s="5" customFormat="1" x14ac:dyDescent="0.25">
      <c r="A9879" s="5" t="str">
        <f>T("   ZZ_Total_Produit_SH6")</f>
        <v xml:space="preserve">   ZZ_Total_Produit_SH6</v>
      </c>
      <c r="B9879" s="5" t="str">
        <f>T("   ZZ_Total_Produit_SH6")</f>
        <v xml:space="preserve">   ZZ_Total_Produit_SH6</v>
      </c>
      <c r="C9879" s="1">
        <v>16</v>
      </c>
      <c r="D9879" s="1">
        <v>228149</v>
      </c>
    </row>
    <row r="9880" spans="1:4" s="5" customFormat="1" x14ac:dyDescent="0.25">
      <c r="B9880" s="5" t="str">
        <f>T("El Salvador")</f>
        <v>El Salvador</v>
      </c>
      <c r="C9880" s="1"/>
      <c r="D9880" s="1"/>
    </row>
    <row r="9881" spans="1:4" x14ac:dyDescent="0.25">
      <c r="A9881" t="str">
        <f>T("   300490")</f>
        <v xml:space="preserve">   300490</v>
      </c>
      <c r="B9881" t="str">
        <f>T("   AUTRES")</f>
        <v xml:space="preserve">   AUTRES</v>
      </c>
      <c r="C9881" s="4">
        <v>35</v>
      </c>
      <c r="D9881" s="4">
        <v>524016</v>
      </c>
    </row>
    <row r="9882" spans="1:4" x14ac:dyDescent="0.25">
      <c r="A9882" t="str">
        <f>T("   490199")</f>
        <v xml:space="preserve">   490199</v>
      </c>
      <c r="B9882" t="str">
        <f>T("   AUTRES")</f>
        <v xml:space="preserve">   AUTRES</v>
      </c>
      <c r="C9882" s="4">
        <v>21</v>
      </c>
      <c r="D9882" s="4">
        <v>470025</v>
      </c>
    </row>
    <row r="9883" spans="1:4" x14ac:dyDescent="0.25">
      <c r="A9883" t="str">
        <f>T("   551443")</f>
        <v xml:space="preserve">   551443</v>
      </c>
      <c r="B9883" t="str">
        <f>T("   AUTRES TISSUS DE FIBRES DISCONTINUES DE POLYESTER")</f>
        <v xml:space="preserve">   AUTRES TISSUS DE FIBRES DISCONTINUES DE POLYESTER</v>
      </c>
      <c r="C9883" s="4">
        <v>220</v>
      </c>
      <c r="D9883" s="4">
        <v>410000</v>
      </c>
    </row>
    <row r="9884" spans="1:4" x14ac:dyDescent="0.25">
      <c r="A9884" t="str">
        <f>T("   842390")</f>
        <v xml:space="preserve">   842390</v>
      </c>
      <c r="B9884" t="str">
        <f>T("   POIDS POUR TOUTES BALANCES; PARTIES D'APPAREILS OU INSTRUMENTS DE PESAGE")</f>
        <v xml:space="preserve">   POIDS POUR TOUTES BALANCES; PARTIES D'APPAREILS OU INSTRUMENTS DE PESAGE</v>
      </c>
      <c r="C9884" s="4">
        <v>37</v>
      </c>
      <c r="D9884" s="4">
        <v>260000</v>
      </c>
    </row>
    <row r="9885" spans="1:4" x14ac:dyDescent="0.25">
      <c r="A9885" t="str">
        <f>T("   843890")</f>
        <v xml:space="preserve">   843890</v>
      </c>
      <c r="B9885" t="str">
        <f>T("   PARTIES")</f>
        <v xml:space="preserve">   PARTIES</v>
      </c>
      <c r="C9885" s="4">
        <v>778</v>
      </c>
      <c r="D9885" s="4">
        <v>25915974</v>
      </c>
    </row>
    <row r="9886" spans="1:4" x14ac:dyDescent="0.25">
      <c r="A9886" t="str">
        <f>T("   851679")</f>
        <v xml:space="preserve">   851679</v>
      </c>
      <c r="B9886" t="str">
        <f>T("   AUTRES")</f>
        <v xml:space="preserve">   AUTRES</v>
      </c>
      <c r="C9886" s="4">
        <v>2858</v>
      </c>
      <c r="D9886" s="4">
        <v>5462000</v>
      </c>
    </row>
    <row r="9887" spans="1:4" x14ac:dyDescent="0.25">
      <c r="A9887" t="str">
        <f>T("   852321")</f>
        <v xml:space="preserve">   852321</v>
      </c>
      <c r="B9887" t="str">
        <f>T("   CARTES MUNIES D'UNE PISTE MAGNETIQUE")</f>
        <v xml:space="preserve">   CARTES MUNIES D'UNE PISTE MAGNETIQUE</v>
      </c>
      <c r="C9887" s="4">
        <v>0.2</v>
      </c>
      <c r="D9887" s="4">
        <v>115481</v>
      </c>
    </row>
    <row r="9888" spans="1:4" x14ac:dyDescent="0.25">
      <c r="A9888" t="str">
        <f>T("   870322")</f>
        <v xml:space="preserve">   870322</v>
      </c>
      <c r="B9888" t="str">
        <f>T("   D’UNE CYLINDREE EXCEDANT 1.000 CM³ MAIS N’EXCEDANT PAS 1.500 CM³")</f>
        <v xml:space="preserve">   D’UNE CYLINDREE EXCEDANT 1.000 CM³ MAIS N’EXCEDANT PAS 1.500 CM³</v>
      </c>
      <c r="C9888" s="4">
        <v>1010</v>
      </c>
      <c r="D9888" s="4">
        <v>1200000</v>
      </c>
    </row>
    <row r="9889" spans="1:4" x14ac:dyDescent="0.25">
      <c r="A9889" t="str">
        <f>T("   870323")</f>
        <v xml:space="preserve">   870323</v>
      </c>
      <c r="B9889" t="str">
        <f>T("   D’UNE CYLINDREE EXCEDANT 1.500 CM³ MAIS N’EXCEDANT PAS 3.000 CM³")</f>
        <v xml:space="preserve">   D’UNE CYLINDREE EXCEDANT 1.500 CM³ MAIS N’EXCEDANT PAS 3.000 CM³</v>
      </c>
      <c r="C9889" s="4">
        <v>1240</v>
      </c>
      <c r="D9889" s="4">
        <v>1200000</v>
      </c>
    </row>
    <row r="9890" spans="1:4" s="5" customFormat="1" x14ac:dyDescent="0.25">
      <c r="A9890" s="5" t="str">
        <f>T("   ZZ_Total_Produit_SH6")</f>
        <v xml:space="preserve">   ZZ_Total_Produit_SH6</v>
      </c>
      <c r="B9890" s="5" t="str">
        <f>T("   ZZ_Total_Produit_SH6")</f>
        <v xml:space="preserve">   ZZ_Total_Produit_SH6</v>
      </c>
      <c r="C9890" s="1">
        <v>6199.2</v>
      </c>
      <c r="D9890" s="1">
        <v>35557496</v>
      </c>
    </row>
    <row r="9891" spans="1:4" s="5" customFormat="1" x14ac:dyDescent="0.25">
      <c r="B9891" s="5" t="str">
        <f>T("Syrienne, République arabe")</f>
        <v>Syrienne, République arabe</v>
      </c>
      <c r="C9891" s="1"/>
      <c r="D9891" s="1"/>
    </row>
    <row r="9892" spans="1:4" x14ac:dyDescent="0.25">
      <c r="A9892" t="str">
        <f>T("   321590")</f>
        <v xml:space="preserve">   321590</v>
      </c>
      <c r="B9892" t="str">
        <f>T("   AUTRES")</f>
        <v xml:space="preserve">   AUTRES</v>
      </c>
      <c r="C9892" s="4">
        <v>48</v>
      </c>
      <c r="D9892" s="4">
        <v>6726870</v>
      </c>
    </row>
    <row r="9893" spans="1:4" x14ac:dyDescent="0.25">
      <c r="A9893" t="str">
        <f>T("   400922")</f>
        <v xml:space="preserve">   400922</v>
      </c>
      <c r="B9893" t="str">
        <f>T("   AVEC ACCESSOIRES")</f>
        <v xml:space="preserve">   AVEC ACCESSOIRES</v>
      </c>
      <c r="C9893" s="4">
        <v>36</v>
      </c>
      <c r="D9893" s="4">
        <v>727495</v>
      </c>
    </row>
    <row r="9894" spans="1:4" x14ac:dyDescent="0.25">
      <c r="A9894" t="str">
        <f>T("   400941")</f>
        <v xml:space="preserve">   400941</v>
      </c>
      <c r="B9894" t="str">
        <f>T("   SANS ACCESSOIRES")</f>
        <v xml:space="preserve">   SANS ACCESSOIRES</v>
      </c>
      <c r="C9894" s="4">
        <v>25</v>
      </c>
      <c r="D9894" s="4">
        <v>903267</v>
      </c>
    </row>
    <row r="9895" spans="1:4" x14ac:dyDescent="0.25">
      <c r="A9895" t="str">
        <f>T("   401220")</f>
        <v xml:space="preserve">   401220</v>
      </c>
      <c r="B9895" t="str">
        <f>T("   PNEUMATIQUES USAGES")</f>
        <v xml:space="preserve">   PNEUMATIQUES USAGES</v>
      </c>
      <c r="C9895" s="4">
        <v>19000</v>
      </c>
      <c r="D9895" s="4">
        <v>5514655</v>
      </c>
    </row>
    <row r="9896" spans="1:4" x14ac:dyDescent="0.25">
      <c r="A9896" t="str">
        <f>T("   731815")</f>
        <v xml:space="preserve">   731815</v>
      </c>
      <c r="B9896" t="str">
        <f>T("   AUTRES VIS ET BOULONS, MEME AVEC LEURS ECROUS OU RONDELLES")</f>
        <v xml:space="preserve">   AUTRES VIS ET BOULONS, MEME AVEC LEURS ECROUS OU RONDELLES</v>
      </c>
      <c r="C9896" s="4">
        <v>5</v>
      </c>
      <c r="D9896" s="4">
        <v>76139</v>
      </c>
    </row>
    <row r="9897" spans="1:4" x14ac:dyDescent="0.25">
      <c r="A9897" t="str">
        <f>T("   820719")</f>
        <v xml:space="preserve">   820719</v>
      </c>
      <c r="B9897" t="str">
        <f>T("   AUTRES, Y COMPRIS LES PARTIES")</f>
        <v xml:space="preserve">   AUTRES, Y COMPRIS LES PARTIES</v>
      </c>
      <c r="C9897" s="4">
        <v>1</v>
      </c>
      <c r="D9897" s="4">
        <v>681869</v>
      </c>
    </row>
    <row r="9898" spans="1:4" x14ac:dyDescent="0.25">
      <c r="A9898" t="str">
        <f>T("   841391")</f>
        <v xml:space="preserve">   841391</v>
      </c>
      <c r="B9898" t="str">
        <f>T("   DE POMPES")</f>
        <v xml:space="preserve">   DE POMPES</v>
      </c>
      <c r="C9898" s="4">
        <v>25</v>
      </c>
      <c r="D9898" s="4">
        <v>3850109</v>
      </c>
    </row>
    <row r="9899" spans="1:4" x14ac:dyDescent="0.25">
      <c r="A9899" t="str">
        <f>T("   841440")</f>
        <v xml:space="preserve">   841440</v>
      </c>
      <c r="B9899" t="str">
        <f>T("   COMPRESSEURS D'AIR MONTES SUR CHASSIS A ROUES ET REMORQUABLES")</f>
        <v xml:space="preserve">   COMPRESSEURS D'AIR MONTES SUR CHASSIS A ROUES ET REMORQUABLES</v>
      </c>
      <c r="C9899" s="4">
        <v>9</v>
      </c>
      <c r="D9899" s="4">
        <v>267843</v>
      </c>
    </row>
    <row r="9900" spans="1:4" x14ac:dyDescent="0.25">
      <c r="A9900" t="str">
        <f>T("   841490")</f>
        <v xml:space="preserve">   841490</v>
      </c>
      <c r="B9900" t="str">
        <f>T("   PARTIES")</f>
        <v xml:space="preserve">   PARTIES</v>
      </c>
      <c r="C9900" s="4">
        <v>59.5</v>
      </c>
      <c r="D9900" s="4">
        <v>1621409</v>
      </c>
    </row>
    <row r="9901" spans="1:4" x14ac:dyDescent="0.25">
      <c r="A9901" t="str">
        <f>T("   843120")</f>
        <v xml:space="preserve">   843120</v>
      </c>
      <c r="B9901" t="str">
        <f>T("   DE MACHINES OU APPAREILS DU N° 84.27")</f>
        <v xml:space="preserve">   DE MACHINES OU APPAREILS DU N° 84.27</v>
      </c>
      <c r="C9901" s="4">
        <v>2</v>
      </c>
      <c r="D9901" s="4">
        <v>655672</v>
      </c>
    </row>
    <row r="9902" spans="1:4" x14ac:dyDescent="0.25">
      <c r="A9902" t="str">
        <f>T("   843149")</f>
        <v xml:space="preserve">   843149</v>
      </c>
      <c r="B9902" t="str">
        <f>T("   AUTRES")</f>
        <v xml:space="preserve">   AUTRES</v>
      </c>
      <c r="C9902" s="4">
        <v>974.3</v>
      </c>
      <c r="D9902" s="4">
        <v>24636998</v>
      </c>
    </row>
    <row r="9903" spans="1:4" x14ac:dyDescent="0.25">
      <c r="A9903" t="str">
        <f>T("   848130")</f>
        <v xml:space="preserve">   848130</v>
      </c>
      <c r="B9903" t="str">
        <f>T("   Clapets et soupapes de retenue")</f>
        <v xml:space="preserve">   Clapets et soupapes de retenue</v>
      </c>
      <c r="C9903" s="4">
        <v>64</v>
      </c>
      <c r="D9903" s="4">
        <v>2790489</v>
      </c>
    </row>
    <row r="9904" spans="1:4" x14ac:dyDescent="0.25">
      <c r="A9904" t="str">
        <f>T("   848190")</f>
        <v xml:space="preserve">   848190</v>
      </c>
      <c r="B9904" t="str">
        <f>T("   PARTIES")</f>
        <v xml:space="preserve">   PARTIES</v>
      </c>
      <c r="C9904" s="4">
        <v>0.7</v>
      </c>
      <c r="D9904" s="4">
        <v>1336954</v>
      </c>
    </row>
    <row r="9905" spans="1:4" x14ac:dyDescent="0.25">
      <c r="A9905" t="str">
        <f>T("   848490")</f>
        <v xml:space="preserve">   848490</v>
      </c>
      <c r="B9905" t="str">
        <f>T("   AUTRES")</f>
        <v xml:space="preserve">   AUTRES</v>
      </c>
      <c r="C9905" s="4">
        <v>10.4</v>
      </c>
      <c r="D9905" s="4">
        <v>1194591</v>
      </c>
    </row>
    <row r="9906" spans="1:4" x14ac:dyDescent="0.25">
      <c r="A9906" t="str">
        <f>T("   851629")</f>
        <v xml:space="preserve">   851629</v>
      </c>
      <c r="B9906" t="str">
        <f>T("   AUTRES")</f>
        <v xml:space="preserve">   AUTRES</v>
      </c>
      <c r="C9906" s="4">
        <v>2</v>
      </c>
      <c r="D9906" s="4">
        <v>129482</v>
      </c>
    </row>
    <row r="9907" spans="1:4" x14ac:dyDescent="0.25">
      <c r="A9907" t="str">
        <f>T("   851769")</f>
        <v xml:space="preserve">   851769</v>
      </c>
      <c r="B9907" t="str">
        <f>T("   AUTRES")</f>
        <v xml:space="preserve">   AUTRES</v>
      </c>
      <c r="C9907" s="4">
        <v>114</v>
      </c>
      <c r="D9907" s="4">
        <v>2708782</v>
      </c>
    </row>
    <row r="9908" spans="1:4" x14ac:dyDescent="0.25">
      <c r="A9908" t="str">
        <f>T("   851770")</f>
        <v xml:space="preserve">   851770</v>
      </c>
      <c r="B9908" t="str">
        <f>T("   PARTIES")</f>
        <v xml:space="preserve">   PARTIES</v>
      </c>
      <c r="C9908" s="4">
        <v>5</v>
      </c>
      <c r="D9908" s="4">
        <v>373422</v>
      </c>
    </row>
    <row r="9909" spans="1:4" x14ac:dyDescent="0.25">
      <c r="A9909" t="str">
        <f>T("   853690")</f>
        <v xml:space="preserve">   853690</v>
      </c>
      <c r="B9909" t="str">
        <f>T("   AUTRES APPAREILS")</f>
        <v xml:space="preserve">   AUTRES APPAREILS</v>
      </c>
      <c r="C9909" s="4">
        <v>1</v>
      </c>
      <c r="D9909" s="4">
        <v>148951</v>
      </c>
    </row>
    <row r="9910" spans="1:4" x14ac:dyDescent="0.25">
      <c r="A9910" t="str">
        <f>T("   854420")</f>
        <v xml:space="preserve">   854420</v>
      </c>
      <c r="B9910" t="str">
        <f>T("   Cables coaxiaux et autres conducteurs electriques coaxiaux")</f>
        <v xml:space="preserve">   Cables coaxiaux et autres conducteurs electriques coaxiaux</v>
      </c>
      <c r="C9910" s="4">
        <v>15</v>
      </c>
      <c r="D9910" s="4">
        <v>3034427</v>
      </c>
    </row>
    <row r="9911" spans="1:4" x14ac:dyDescent="0.25">
      <c r="A9911" t="str">
        <f>T("   903180")</f>
        <v xml:space="preserve">   903180</v>
      </c>
      <c r="B9911" t="str">
        <f>T("   AUTRES INSTRUMENTS, APPAREILS ET MACHINES")</f>
        <v xml:space="preserve">   AUTRES INSTRUMENTS, APPAREILS ET MACHINES</v>
      </c>
      <c r="C9911" s="4">
        <v>17</v>
      </c>
      <c r="D9911" s="4">
        <v>3164821</v>
      </c>
    </row>
    <row r="9912" spans="1:4" s="5" customFormat="1" x14ac:dyDescent="0.25">
      <c r="A9912" s="5" t="str">
        <f>T("   ZZ_Total_Produit_SH6")</f>
        <v xml:space="preserve">   ZZ_Total_Produit_SH6</v>
      </c>
      <c r="B9912" s="5" t="str">
        <f>T("   ZZ_Total_Produit_SH6")</f>
        <v xml:space="preserve">   ZZ_Total_Produit_SH6</v>
      </c>
      <c r="C9912" s="1">
        <v>20413.900000000001</v>
      </c>
      <c r="D9912" s="1">
        <v>60544245</v>
      </c>
    </row>
    <row r="9913" spans="1:4" s="5" customFormat="1" x14ac:dyDescent="0.25">
      <c r="B9913" s="5" t="str">
        <f>T("Swaziland")</f>
        <v>Swaziland</v>
      </c>
      <c r="C9913" s="1"/>
      <c r="D9913" s="1"/>
    </row>
    <row r="9914" spans="1:4" x14ac:dyDescent="0.25">
      <c r="A9914" t="str">
        <f>T("   020727")</f>
        <v xml:space="preserve">   020727</v>
      </c>
      <c r="B9914" t="str">
        <f>T("   MORCEAUX ET ABATS, CONGELES")</f>
        <v xml:space="preserve">   MORCEAUX ET ABATS, CONGELES</v>
      </c>
      <c r="C9914" s="4">
        <v>50000</v>
      </c>
      <c r="D9914" s="4">
        <v>31100188</v>
      </c>
    </row>
    <row r="9915" spans="1:4" x14ac:dyDescent="0.25">
      <c r="A9915" t="str">
        <f>T("   350699")</f>
        <v xml:space="preserve">   350699</v>
      </c>
      <c r="B9915" t="str">
        <f>T("   AUTRES")</f>
        <v xml:space="preserve">   AUTRES</v>
      </c>
      <c r="C9915" s="4">
        <v>1</v>
      </c>
      <c r="D9915" s="4">
        <v>49710</v>
      </c>
    </row>
    <row r="9916" spans="1:4" x14ac:dyDescent="0.25">
      <c r="A9916" t="str">
        <f>T("   630900")</f>
        <v xml:space="preserve">   630900</v>
      </c>
      <c r="B9916" t="str">
        <f>T("   ARTICLES DE FRIPERIE.")</f>
        <v xml:space="preserve">   ARTICLES DE FRIPERIE.</v>
      </c>
      <c r="C9916" s="4">
        <v>26000</v>
      </c>
      <c r="D9916" s="4">
        <v>19631000</v>
      </c>
    </row>
    <row r="9917" spans="1:4" x14ac:dyDescent="0.25">
      <c r="A9917" t="str">
        <f>T("   731815")</f>
        <v xml:space="preserve">   731815</v>
      </c>
      <c r="B9917" t="str">
        <f>T("   AUTRES VIS ET BOULONS, MEME AVEC LEURS ECROUS OU RONDELLES")</f>
        <v xml:space="preserve">   AUTRES VIS ET BOULONS, MEME AVEC LEURS ECROUS OU RONDELLES</v>
      </c>
      <c r="C9917" s="4">
        <v>14</v>
      </c>
      <c r="D9917" s="4">
        <v>1499138</v>
      </c>
    </row>
    <row r="9918" spans="1:4" x14ac:dyDescent="0.25">
      <c r="A9918" t="str">
        <f>T("   842542")</f>
        <v xml:space="preserve">   842542</v>
      </c>
      <c r="B9918" t="str">
        <f>T("   AUTRES CRICS ET VERINS, HYDRAULIQUES")</f>
        <v xml:space="preserve">   AUTRES CRICS ET VERINS, HYDRAULIQUES</v>
      </c>
      <c r="C9918" s="4">
        <v>14</v>
      </c>
      <c r="D9918" s="4">
        <v>895288</v>
      </c>
    </row>
    <row r="9919" spans="1:4" x14ac:dyDescent="0.25">
      <c r="A9919" t="str">
        <f>T("   842549")</f>
        <v xml:space="preserve">   842549</v>
      </c>
      <c r="B9919" t="str">
        <f>T("   AUTRES")</f>
        <v xml:space="preserve">   AUTRES</v>
      </c>
      <c r="C9919" s="4">
        <v>70</v>
      </c>
      <c r="D9919" s="4">
        <v>1420848</v>
      </c>
    </row>
    <row r="9920" spans="1:4" x14ac:dyDescent="0.25">
      <c r="A9920" t="str">
        <f>T("   843149")</f>
        <v xml:space="preserve">   843149</v>
      </c>
      <c r="B9920" t="str">
        <f>T("   AUTRES")</f>
        <v xml:space="preserve">   AUTRES</v>
      </c>
      <c r="C9920" s="4">
        <v>1843</v>
      </c>
      <c r="D9920" s="4">
        <v>51219858</v>
      </c>
    </row>
    <row r="9921" spans="1:4" x14ac:dyDescent="0.25">
      <c r="A9921" t="str">
        <f>T("   847190")</f>
        <v xml:space="preserve">   847190</v>
      </c>
      <c r="B9921" t="str">
        <f>T("   AUTRES")</f>
        <v xml:space="preserve">   AUTRES</v>
      </c>
      <c r="C9921" s="4">
        <v>46</v>
      </c>
      <c r="D9921" s="4">
        <v>642491</v>
      </c>
    </row>
    <row r="9922" spans="1:4" x14ac:dyDescent="0.25">
      <c r="A9922" t="str">
        <f>T("   848410")</f>
        <v xml:space="preserve">   848410</v>
      </c>
      <c r="B9922" t="str">
        <f>T("   JOINTS METALLOPLASTIQUES")</f>
        <v xml:space="preserve">   JOINTS METALLOPLASTIQUES</v>
      </c>
      <c r="C9922" s="4">
        <v>1.5</v>
      </c>
      <c r="D9922" s="4">
        <v>203682</v>
      </c>
    </row>
    <row r="9923" spans="1:4" x14ac:dyDescent="0.25">
      <c r="A9923" t="str">
        <f>T("   848490")</f>
        <v xml:space="preserve">   848490</v>
      </c>
      <c r="B9923" t="str">
        <f>T("   AUTRES")</f>
        <v xml:space="preserve">   AUTRES</v>
      </c>
      <c r="C9923" s="4">
        <v>80</v>
      </c>
      <c r="D9923" s="4">
        <v>748188</v>
      </c>
    </row>
    <row r="9924" spans="1:4" x14ac:dyDescent="0.25">
      <c r="A9924" t="str">
        <f>T("   851769")</f>
        <v xml:space="preserve">   851769</v>
      </c>
      <c r="B9924" t="str">
        <f>T("   AUTRES")</f>
        <v xml:space="preserve">   AUTRES</v>
      </c>
      <c r="C9924" s="4">
        <v>31</v>
      </c>
      <c r="D9924" s="4">
        <v>5256376</v>
      </c>
    </row>
    <row r="9925" spans="1:4" x14ac:dyDescent="0.25">
      <c r="A9925" t="str">
        <f>T("   853690")</f>
        <v xml:space="preserve">   853690</v>
      </c>
      <c r="B9925" t="str">
        <f>T("   AUTRES APPAREILS")</f>
        <v xml:space="preserve">   AUTRES APPAREILS</v>
      </c>
      <c r="C9925" s="4">
        <v>6.4</v>
      </c>
      <c r="D9925" s="4">
        <v>2191100</v>
      </c>
    </row>
    <row r="9926" spans="1:4" x14ac:dyDescent="0.25">
      <c r="A9926" t="str">
        <f>T("   854420")</f>
        <v xml:space="preserve">   854420</v>
      </c>
      <c r="B9926" t="str">
        <f>T("   Cables coaxiaux et autres conducteurs electriques coaxiaux")</f>
        <v xml:space="preserve">   Cables coaxiaux et autres conducteurs electriques coaxiaux</v>
      </c>
      <c r="C9926" s="4">
        <v>13</v>
      </c>
      <c r="D9926" s="4">
        <v>355498</v>
      </c>
    </row>
    <row r="9927" spans="1:4" x14ac:dyDescent="0.25">
      <c r="A9927" t="str">
        <f>T("   854430")</f>
        <v xml:space="preserve">   854430</v>
      </c>
      <c r="B9927" t="str">
        <f>T("   JEUX DE FILS POUR BOUGIES D'ALLUMAGE ET AUTRES JEUX DE FILS DES TYPES UTILISES DANS L")</f>
        <v xml:space="preserve">   JEUX DE FILS POUR BOUGIES D'ALLUMAGE ET AUTRES JEUX DE FILS DES TYPES UTILISES DANS L</v>
      </c>
      <c r="C9927" s="4">
        <v>57</v>
      </c>
      <c r="D9927" s="4">
        <v>337633</v>
      </c>
    </row>
    <row r="9928" spans="1:4" x14ac:dyDescent="0.25">
      <c r="A9928" t="str">
        <f>T("   870899")</f>
        <v xml:space="preserve">   870899</v>
      </c>
      <c r="B9928" t="str">
        <f>T("   AUTRES")</f>
        <v xml:space="preserve">   AUTRES</v>
      </c>
      <c r="C9928" s="4">
        <v>1</v>
      </c>
      <c r="D9928" s="4">
        <v>58514</v>
      </c>
    </row>
    <row r="9929" spans="1:4" s="5" customFormat="1" x14ac:dyDescent="0.25">
      <c r="A9929" s="5" t="str">
        <f>T("   ZZ_Total_Produit_SH6")</f>
        <v xml:space="preserve">   ZZ_Total_Produit_SH6</v>
      </c>
      <c r="B9929" s="5" t="str">
        <f>T("   ZZ_Total_Produit_SH6")</f>
        <v xml:space="preserve">   ZZ_Total_Produit_SH6</v>
      </c>
      <c r="C9929" s="1">
        <v>78177.899999999994</v>
      </c>
      <c r="D9929" s="1">
        <v>115609512</v>
      </c>
    </row>
    <row r="9930" spans="1:4" s="5" customFormat="1" x14ac:dyDescent="0.25">
      <c r="B9930" s="5" t="str">
        <f>T("Turks et Caïques, îles")</f>
        <v>Turks et Caïques, îles</v>
      </c>
      <c r="C9930" s="1"/>
      <c r="D9930" s="1"/>
    </row>
    <row r="9931" spans="1:4" x14ac:dyDescent="0.25">
      <c r="A9931" t="str">
        <f>T("   200980")</f>
        <v xml:space="preserve">   200980</v>
      </c>
      <c r="B9931" t="str">
        <f>T("   AUTRES JUS DE FRUITS OU DE LEGUMES,SANS ALCOOL,SUCRES OU NON")</f>
        <v xml:space="preserve">   AUTRES JUS DE FRUITS OU DE LEGUMES,SANS ALCOOL,SUCRES OU NON</v>
      </c>
      <c r="C9931" s="4">
        <v>41903</v>
      </c>
      <c r="D9931" s="4">
        <v>3531147</v>
      </c>
    </row>
    <row r="9932" spans="1:4" x14ac:dyDescent="0.25">
      <c r="A9932" t="str">
        <f>T("   560110")</f>
        <v xml:space="preserve">   560110</v>
      </c>
      <c r="B9932" t="str">
        <f>T("   SERVIETTES,TAMPONS HYGIENIQUES,COUCHES BEBES,ARTICLES D'HYGIENE EN OUATES")</f>
        <v xml:space="preserve">   SERVIETTES,TAMPONS HYGIENIQUES,COUCHES BEBES,ARTICLES D'HYGIENE EN OUATES</v>
      </c>
      <c r="C9932" s="4">
        <v>9100</v>
      </c>
      <c r="D9932" s="4">
        <v>5461497</v>
      </c>
    </row>
    <row r="9933" spans="1:4" x14ac:dyDescent="0.25">
      <c r="A9933" t="str">
        <f>T("   620412")</f>
        <v xml:space="preserve">   620412</v>
      </c>
      <c r="B9933" t="str">
        <f>T("   DE COTON")</f>
        <v xml:space="preserve">   DE COTON</v>
      </c>
      <c r="C9933" s="4">
        <v>181</v>
      </c>
      <c r="D9933" s="4">
        <v>271500</v>
      </c>
    </row>
    <row r="9934" spans="1:4" x14ac:dyDescent="0.25">
      <c r="A9934" t="str">
        <f>T("   690890")</f>
        <v xml:space="preserve">   690890</v>
      </c>
      <c r="B9934" t="str">
        <f>T("   AUTRES")</f>
        <v xml:space="preserve">   AUTRES</v>
      </c>
      <c r="C9934" s="4">
        <v>75650</v>
      </c>
      <c r="D9934" s="4">
        <v>48482384</v>
      </c>
    </row>
    <row r="9935" spans="1:4" x14ac:dyDescent="0.25">
      <c r="A9935" t="str">
        <f>T("   841920")</f>
        <v xml:space="preserve">   841920</v>
      </c>
      <c r="B9935" t="str">
        <f>T("   STERILISATEURS MEDICOCHIRURGICAUX OU DE LABORATOIRES")</f>
        <v xml:space="preserve">   STERILISATEURS MEDICOCHIRURGICAUX OU DE LABORATOIRES</v>
      </c>
      <c r="C9935" s="4">
        <v>100</v>
      </c>
      <c r="D9935" s="4">
        <v>3797614</v>
      </c>
    </row>
    <row r="9936" spans="1:4" x14ac:dyDescent="0.25">
      <c r="A9936" t="str">
        <f>T("   847190")</f>
        <v xml:space="preserve">   847190</v>
      </c>
      <c r="B9936" t="str">
        <f>T("   AUTRES")</f>
        <v xml:space="preserve">   AUTRES</v>
      </c>
      <c r="C9936" s="4">
        <v>122</v>
      </c>
      <c r="D9936" s="4">
        <v>1246295</v>
      </c>
    </row>
    <row r="9937" spans="1:4" x14ac:dyDescent="0.25">
      <c r="A9937" t="str">
        <f>T("   850450")</f>
        <v xml:space="preserve">   850450</v>
      </c>
      <c r="B9937" t="str">
        <f>T("   AUTRES BOBINES DE REACTANCE ET AUTRES SELFS")</f>
        <v xml:space="preserve">   AUTRES BOBINES DE REACTANCE ET AUTRES SELFS</v>
      </c>
      <c r="C9937" s="4">
        <v>600</v>
      </c>
      <c r="D9937" s="4">
        <v>8215284</v>
      </c>
    </row>
    <row r="9938" spans="1:4" x14ac:dyDescent="0.25">
      <c r="A9938" t="str">
        <f>T("   870120")</f>
        <v xml:space="preserve">   870120</v>
      </c>
      <c r="B9938" t="str">
        <f>T("   TRACTEURS ROUTIERS POUR SEMIREMORQUES")</f>
        <v xml:space="preserve">   TRACTEURS ROUTIERS POUR SEMIREMORQUES</v>
      </c>
      <c r="C9938" s="4">
        <v>7000</v>
      </c>
      <c r="D9938" s="4">
        <v>2000000</v>
      </c>
    </row>
    <row r="9939" spans="1:4" x14ac:dyDescent="0.25">
      <c r="A9939" t="str">
        <f>T("   901890")</f>
        <v xml:space="preserve">   901890</v>
      </c>
      <c r="B9939" t="str">
        <f>T("   AUTRES INSTRUMENTS ET APPAREILS")</f>
        <v xml:space="preserve">   AUTRES INSTRUMENTS ET APPAREILS</v>
      </c>
      <c r="C9939" s="4">
        <v>156</v>
      </c>
      <c r="D9939" s="4">
        <v>2932568</v>
      </c>
    </row>
    <row r="9940" spans="1:4" s="5" customFormat="1" x14ac:dyDescent="0.25">
      <c r="A9940" s="5" t="str">
        <f>T("   ZZ_Total_Produit_SH6")</f>
        <v xml:space="preserve">   ZZ_Total_Produit_SH6</v>
      </c>
      <c r="B9940" s="5" t="str">
        <f>T("   ZZ_Total_Produit_SH6")</f>
        <v xml:space="preserve">   ZZ_Total_Produit_SH6</v>
      </c>
      <c r="C9940" s="1">
        <v>134812</v>
      </c>
      <c r="D9940" s="1">
        <v>75938289</v>
      </c>
    </row>
    <row r="9941" spans="1:4" s="5" customFormat="1" x14ac:dyDescent="0.25">
      <c r="B9941" s="5" t="str">
        <f>T("Tchad")</f>
        <v>Tchad</v>
      </c>
      <c r="C9941" s="1"/>
      <c r="D9941" s="1"/>
    </row>
    <row r="9942" spans="1:4" x14ac:dyDescent="0.25">
      <c r="A9942" t="str">
        <f>T("   620349")</f>
        <v xml:space="preserve">   620349</v>
      </c>
      <c r="B9942" t="str">
        <f>T("   D'AUTRES MATIERES TEXTILES")</f>
        <v xml:space="preserve">   D'AUTRES MATIERES TEXTILES</v>
      </c>
      <c r="C9942" s="4">
        <v>170</v>
      </c>
      <c r="D9942" s="4">
        <v>300000</v>
      </c>
    </row>
    <row r="9943" spans="1:4" x14ac:dyDescent="0.25">
      <c r="A9943" t="str">
        <f>T("   620590")</f>
        <v xml:space="preserve">   620590</v>
      </c>
      <c r="B9943" t="str">
        <f>T("   D'AUTRES MATIERES TEXTILES")</f>
        <v xml:space="preserve">   D'AUTRES MATIERES TEXTILES</v>
      </c>
      <c r="C9943" s="4">
        <v>385</v>
      </c>
      <c r="D9943" s="4">
        <v>500000</v>
      </c>
    </row>
    <row r="9944" spans="1:4" x14ac:dyDescent="0.25">
      <c r="A9944" t="str">
        <f>T("   732399")</f>
        <v xml:space="preserve">   732399</v>
      </c>
      <c r="B9944" t="str">
        <f>T("   AUTRES")</f>
        <v xml:space="preserve">   AUTRES</v>
      </c>
      <c r="C9944" s="4">
        <v>1000</v>
      </c>
      <c r="D9944" s="4">
        <v>1000000</v>
      </c>
    </row>
    <row r="9945" spans="1:4" x14ac:dyDescent="0.25">
      <c r="A9945" t="str">
        <f>T("   940360")</f>
        <v xml:space="preserve">   940360</v>
      </c>
      <c r="B9945" t="str">
        <f>T("   Autres meubles en bois")</f>
        <v xml:space="preserve">   Autres meubles en bois</v>
      </c>
      <c r="C9945" s="4">
        <v>1300</v>
      </c>
      <c r="D9945" s="4">
        <v>1500000</v>
      </c>
    </row>
    <row r="9946" spans="1:4" s="5" customFormat="1" x14ac:dyDescent="0.25">
      <c r="A9946" s="5" t="str">
        <f>T("   ZZ_Total_Produit_SH6")</f>
        <v xml:space="preserve">   ZZ_Total_Produit_SH6</v>
      </c>
      <c r="B9946" s="5" t="str">
        <f>T("   ZZ_Total_Produit_SH6")</f>
        <v xml:space="preserve">   ZZ_Total_Produit_SH6</v>
      </c>
      <c r="C9946" s="1">
        <v>2855</v>
      </c>
      <c r="D9946" s="1">
        <v>3300000</v>
      </c>
    </row>
    <row r="9947" spans="1:4" s="5" customFormat="1" x14ac:dyDescent="0.25">
      <c r="B9947" s="5" t="str">
        <f>T("Togo")</f>
        <v>Togo</v>
      </c>
      <c r="C9947" s="1"/>
      <c r="D9947" s="1"/>
    </row>
    <row r="9948" spans="1:4" x14ac:dyDescent="0.25">
      <c r="A9948" t="str">
        <f>T("   020210")</f>
        <v xml:space="preserve">   020210</v>
      </c>
      <c r="B9948" t="str">
        <f>T("   EN CARCASSES OU DEMICARCASSES")</f>
        <v xml:space="preserve">   EN CARCASSES OU DEMICARCASSES</v>
      </c>
      <c r="C9948" s="4">
        <v>2200</v>
      </c>
      <c r="D9948" s="4">
        <v>109229</v>
      </c>
    </row>
    <row r="9949" spans="1:4" x14ac:dyDescent="0.25">
      <c r="A9949" t="str">
        <f>T("   020727")</f>
        <v xml:space="preserve">   020727</v>
      </c>
      <c r="B9949" t="str">
        <f>T("   MORCEAUX ET ABATS, CONGELES")</f>
        <v xml:space="preserve">   MORCEAUX ET ABATS, CONGELES</v>
      </c>
      <c r="C9949" s="4">
        <v>25000</v>
      </c>
      <c r="D9949" s="4">
        <v>15550000</v>
      </c>
    </row>
    <row r="9950" spans="1:4" x14ac:dyDescent="0.25">
      <c r="A9950" t="str">
        <f>T("   020890")</f>
        <v xml:space="preserve">   020890</v>
      </c>
      <c r="B9950" t="str">
        <f>T("   AUTRES")</f>
        <v xml:space="preserve">   AUTRES</v>
      </c>
      <c r="C9950" s="4">
        <v>150</v>
      </c>
      <c r="D9950" s="4">
        <v>43780</v>
      </c>
    </row>
    <row r="9951" spans="1:4" x14ac:dyDescent="0.25">
      <c r="A9951" t="str">
        <f>T("   021011")</f>
        <v xml:space="preserve">   021011</v>
      </c>
      <c r="B9951" t="str">
        <f>T("   JAMBONS, EPAULES ET LEURS MORCEAUX, NON DESOSSES")</f>
        <v xml:space="preserve">   JAMBONS, EPAULES ET LEURS MORCEAUX, NON DESOSSES</v>
      </c>
      <c r="C9951" s="4">
        <v>250</v>
      </c>
      <c r="D9951" s="4">
        <v>54615</v>
      </c>
    </row>
    <row r="9952" spans="1:4" x14ac:dyDescent="0.25">
      <c r="A9952" t="str">
        <f>T("   021019")</f>
        <v xml:space="preserve">   021019</v>
      </c>
      <c r="B9952" t="str">
        <f>T("   AUTRES")</f>
        <v xml:space="preserve">   AUTRES</v>
      </c>
      <c r="C9952" s="4">
        <v>400</v>
      </c>
      <c r="D9952" s="4">
        <v>65538</v>
      </c>
    </row>
    <row r="9953" spans="1:4" x14ac:dyDescent="0.25">
      <c r="A9953" t="str">
        <f>T("   030219")</f>
        <v xml:space="preserve">   030219</v>
      </c>
      <c r="B9953" t="str">
        <f>T("   AUTRES")</f>
        <v xml:space="preserve">   AUTRES</v>
      </c>
      <c r="C9953" s="4">
        <v>1101</v>
      </c>
      <c r="D9953" s="4">
        <v>440400</v>
      </c>
    </row>
    <row r="9954" spans="1:4" x14ac:dyDescent="0.25">
      <c r="A9954" t="str">
        <f>T("   030229")</f>
        <v xml:space="preserve">   030229</v>
      </c>
      <c r="B9954" t="str">
        <f>T("   AUTRES")</f>
        <v xml:space="preserve">   AUTRES</v>
      </c>
      <c r="C9954" s="4">
        <v>2844.1</v>
      </c>
      <c r="D9954" s="4">
        <v>1137640</v>
      </c>
    </row>
    <row r="9955" spans="1:4" x14ac:dyDescent="0.25">
      <c r="A9955" t="str">
        <f>T("   030371")</f>
        <v xml:space="preserve">   030371</v>
      </c>
      <c r="B9955" t="str">
        <f>T("   SARDINES,SARDINELLES,SPRATS ENTIERS,CONGELES(FOIES,OEUFS,LAITANCES EXCLUS)")</f>
        <v xml:space="preserve">   SARDINES,SARDINELLES,SPRATS ENTIERS,CONGELES(FOIES,OEUFS,LAITANCES EXCLUS)</v>
      </c>
      <c r="C9955" s="4">
        <v>7000</v>
      </c>
      <c r="D9955" s="4">
        <v>383769</v>
      </c>
    </row>
    <row r="9956" spans="1:4" x14ac:dyDescent="0.25">
      <c r="A9956" t="str">
        <f>T("   030379")</f>
        <v xml:space="preserve">   030379</v>
      </c>
      <c r="B9956" t="str">
        <f>T("   AUTRES POISSONS ENTIERS CONGELES.(FOIES,OEUFS,LAITANCES EXCLUS)")</f>
        <v xml:space="preserve">   AUTRES POISSONS ENTIERS CONGELES.(FOIES,OEUFS,LAITANCES EXCLUS)</v>
      </c>
      <c r="C9956" s="4">
        <v>2400</v>
      </c>
      <c r="D9956" s="4">
        <v>118081</v>
      </c>
    </row>
    <row r="9957" spans="1:4" x14ac:dyDescent="0.25">
      <c r="A9957" t="str">
        <f>T("   030549")</f>
        <v xml:space="preserve">   030549</v>
      </c>
      <c r="B9957" t="str">
        <f>T("   AUTRES")</f>
        <v xml:space="preserve">   AUTRES</v>
      </c>
      <c r="C9957" s="4">
        <v>106</v>
      </c>
      <c r="D9957" s="4">
        <v>42400</v>
      </c>
    </row>
    <row r="9958" spans="1:4" x14ac:dyDescent="0.25">
      <c r="A9958" t="str">
        <f>T("   030559")</f>
        <v xml:space="preserve">   030559</v>
      </c>
      <c r="B9958" t="str">
        <f>T("   AUTRES")</f>
        <v xml:space="preserve">   AUTRES</v>
      </c>
      <c r="C9958" s="4">
        <v>6834</v>
      </c>
      <c r="D9958" s="4">
        <v>418810</v>
      </c>
    </row>
    <row r="9959" spans="1:4" x14ac:dyDescent="0.25">
      <c r="A9959" t="str">
        <f>T("   040210")</f>
        <v xml:space="preserve">   040210</v>
      </c>
      <c r="B9959" t="str">
        <f>T("   EN POUDRE, EN GRANULES OU SOUS D’AUTRES FORMES SOLIDES, D’UNE TENEUR EN POIDS DE MATI")</f>
        <v xml:space="preserve">   EN POUDRE, EN GRANULES OU SOUS D’AUTRES FORMES SOLIDES, D’UNE TENEUR EN POIDS DE MATI</v>
      </c>
      <c r="C9959" s="4">
        <v>548084</v>
      </c>
      <c r="D9959" s="4">
        <v>241856580</v>
      </c>
    </row>
    <row r="9960" spans="1:4" x14ac:dyDescent="0.25">
      <c r="A9960" t="str">
        <f>T("   040221")</f>
        <v xml:space="preserve">   040221</v>
      </c>
      <c r="B9960" t="str">
        <f>T("   SANS ADDITION DE SUCRE OU D'AUTRES EDULCORANTS")</f>
        <v xml:space="preserve">   SANS ADDITION DE SUCRE OU D'AUTRES EDULCORANTS</v>
      </c>
      <c r="C9960" s="4">
        <v>65455</v>
      </c>
      <c r="D9960" s="4">
        <v>149149417</v>
      </c>
    </row>
    <row r="9961" spans="1:4" x14ac:dyDescent="0.25">
      <c r="A9961" t="str">
        <f>T("   040229")</f>
        <v xml:space="preserve">   040229</v>
      </c>
      <c r="B9961" t="str">
        <f>T("   AUTRES")</f>
        <v xml:space="preserve">   AUTRES</v>
      </c>
      <c r="C9961" s="4">
        <v>33131</v>
      </c>
      <c r="D9961" s="4">
        <v>123463600</v>
      </c>
    </row>
    <row r="9962" spans="1:4" x14ac:dyDescent="0.25">
      <c r="A9962" t="str">
        <f>T("   040291")</f>
        <v xml:space="preserve">   040291</v>
      </c>
      <c r="B9962" t="str">
        <f>T("   SANS ADDITION DE SUCRE OU D'AUTRES EDULCORANTS")</f>
        <v xml:space="preserve">   SANS ADDITION DE SUCRE OU D'AUTRES EDULCORANTS</v>
      </c>
      <c r="C9962" s="4">
        <v>5215</v>
      </c>
      <c r="D9962" s="4">
        <v>2026342</v>
      </c>
    </row>
    <row r="9963" spans="1:4" x14ac:dyDescent="0.25">
      <c r="A9963" t="str">
        <f>T("   040299")</f>
        <v xml:space="preserve">   040299</v>
      </c>
      <c r="B9963" t="str">
        <f>T("   AUTRES")</f>
        <v xml:space="preserve">   AUTRES</v>
      </c>
      <c r="C9963" s="4">
        <v>224340</v>
      </c>
      <c r="D9963" s="4">
        <v>86230532</v>
      </c>
    </row>
    <row r="9964" spans="1:4" x14ac:dyDescent="0.25">
      <c r="A9964" t="str">
        <f>T("   040310")</f>
        <v xml:space="preserve">   040310</v>
      </c>
      <c r="B9964" t="str">
        <f>T("   YOGHOURT")</f>
        <v xml:space="preserve">   YOGHOURT</v>
      </c>
      <c r="C9964" s="4">
        <v>933548</v>
      </c>
      <c r="D9964" s="4">
        <v>462157591</v>
      </c>
    </row>
    <row r="9965" spans="1:4" x14ac:dyDescent="0.25">
      <c r="A9965" t="str">
        <f>T("   040390")</f>
        <v xml:space="preserve">   040390</v>
      </c>
      <c r="B9965" t="str">
        <f>T("   AUTRES")</f>
        <v xml:space="preserve">   AUTRES</v>
      </c>
      <c r="C9965" s="4">
        <v>98735</v>
      </c>
      <c r="D9965" s="4">
        <v>11694560</v>
      </c>
    </row>
    <row r="9966" spans="1:4" x14ac:dyDescent="0.25">
      <c r="A9966" t="str">
        <f>T("   040490")</f>
        <v xml:space="preserve">   040490</v>
      </c>
      <c r="B9966" t="str">
        <f>T("   AUTRES")</f>
        <v xml:space="preserve">   AUTRES</v>
      </c>
      <c r="C9966" s="4">
        <v>345334</v>
      </c>
      <c r="D9966" s="4">
        <v>151352892</v>
      </c>
    </row>
    <row r="9967" spans="1:4" x14ac:dyDescent="0.25">
      <c r="A9967" t="str">
        <f>T("   040510")</f>
        <v xml:space="preserve">   040510</v>
      </c>
      <c r="B9967" t="str">
        <f>T("   BEURRE")</f>
        <v xml:space="preserve">   BEURRE</v>
      </c>
      <c r="C9967" s="4">
        <v>11885</v>
      </c>
      <c r="D9967" s="4">
        <v>2145067</v>
      </c>
    </row>
    <row r="9968" spans="1:4" x14ac:dyDescent="0.25">
      <c r="A9968" t="str">
        <f>T("   040630")</f>
        <v xml:space="preserve">   040630</v>
      </c>
      <c r="B9968" t="str">
        <f>T("   FROMAGES FONDUS, AUTRES QUE RAPES OU EN POUDRE")</f>
        <v xml:space="preserve">   FROMAGES FONDUS, AUTRES QUE RAPES OU EN POUDRE</v>
      </c>
      <c r="C9968" s="4">
        <v>590</v>
      </c>
      <c r="D9968" s="4">
        <v>157291</v>
      </c>
    </row>
    <row r="9969" spans="1:4" x14ac:dyDescent="0.25">
      <c r="A9969" t="str">
        <f>T("   040690")</f>
        <v xml:space="preserve">   040690</v>
      </c>
      <c r="B9969" t="str">
        <f>T("   AUTRES FROMAGES")</f>
        <v xml:space="preserve">   AUTRES FROMAGES</v>
      </c>
      <c r="C9969" s="4">
        <v>4500</v>
      </c>
      <c r="D9969" s="4">
        <v>1000000</v>
      </c>
    </row>
    <row r="9970" spans="1:4" x14ac:dyDescent="0.25">
      <c r="A9970" t="str">
        <f>T("   051191")</f>
        <v xml:space="preserve">   051191</v>
      </c>
      <c r="B9970" t="str">
        <f>T("   PRODUITS DE POISSONS OU DE CRUSTACES, MOLLUSQUES OU AUTRES INVERTEBRES AQUATIQUES; A")</f>
        <v xml:space="preserve">   PRODUITS DE POISSONS OU DE CRUSTACES, MOLLUSQUES OU AUTRES INVERTEBRES AQUATIQUES; A</v>
      </c>
      <c r="C9970" s="4">
        <v>4000</v>
      </c>
      <c r="D9970" s="4">
        <v>2915452</v>
      </c>
    </row>
    <row r="9971" spans="1:4" x14ac:dyDescent="0.25">
      <c r="A9971" t="str">
        <f>T("   060120")</f>
        <v xml:space="preserve">   060120</v>
      </c>
      <c r="B9971" t="str">
        <f>T("   BULBES, OIGNONS, TUBERCULES, RACINES TUBEREUSES, GRIFFES ET RHIZOMES, EN VEGETATION O")</f>
        <v xml:space="preserve">   BULBES, OIGNONS, TUBERCULES, RACINES TUBEREUSES, GRIFFES ET RHIZOMES, EN VEGETATION O</v>
      </c>
      <c r="C9971" s="4">
        <v>200</v>
      </c>
      <c r="D9971" s="4">
        <v>10923</v>
      </c>
    </row>
    <row r="9972" spans="1:4" x14ac:dyDescent="0.25">
      <c r="A9972" t="str">
        <f>T("   060390")</f>
        <v xml:space="preserve">   060390</v>
      </c>
      <c r="B9972" t="str">
        <f>T("   AUTRES")</f>
        <v xml:space="preserve">   AUTRES</v>
      </c>
      <c r="C9972" s="4">
        <v>5000</v>
      </c>
      <c r="D9972" s="4">
        <v>65538</v>
      </c>
    </row>
    <row r="9973" spans="1:4" x14ac:dyDescent="0.25">
      <c r="A9973" t="str">
        <f>T("   060410")</f>
        <v xml:space="preserve">   060410</v>
      </c>
      <c r="B9973" t="str">
        <f>T("   MOUSSES ET LICHENS POUR BOUQUETS OU POUR ORNEMENTS")</f>
        <v xml:space="preserve">   MOUSSES ET LICHENS POUR BOUQUETS OU POUR ORNEMENTS</v>
      </c>
      <c r="C9973" s="4">
        <v>10</v>
      </c>
      <c r="D9973" s="4">
        <v>30000</v>
      </c>
    </row>
    <row r="9974" spans="1:4" x14ac:dyDescent="0.25">
      <c r="A9974" t="str">
        <f>T("   060491")</f>
        <v xml:space="preserve">   060491</v>
      </c>
      <c r="B9974" t="str">
        <f>T("   AUTRES FEUILLAGES,FEUILLES,RAMEAUX,FRAIS,POUR BOUQUETS OU ORNEMENTS")</f>
        <v xml:space="preserve">   AUTRES FEUILLAGES,FEUILLES,RAMEAUX,FRAIS,POUR BOUQUETS OU ORNEMENTS</v>
      </c>
      <c r="C9974" s="4">
        <v>220</v>
      </c>
      <c r="D9974" s="4">
        <v>46733</v>
      </c>
    </row>
    <row r="9975" spans="1:4" x14ac:dyDescent="0.25">
      <c r="A9975" t="str">
        <f>T("   060499")</f>
        <v xml:space="preserve">   060499</v>
      </c>
      <c r="B9975" t="str">
        <f>T("   AUTRES FEUILLAGES,FEUILLES,RAMEAUX,NON FRAIS,POUR BOUQUETS OU ORNEMENTS")</f>
        <v xml:space="preserve">   AUTRES FEUILLAGES,FEUILLES,RAMEAUX,NON FRAIS,POUR BOUQUETS OU ORNEMENTS</v>
      </c>
      <c r="C9975" s="4">
        <v>2135</v>
      </c>
      <c r="D9975" s="4">
        <v>174769</v>
      </c>
    </row>
    <row r="9976" spans="1:4" x14ac:dyDescent="0.25">
      <c r="A9976" t="str">
        <f>T("   070190")</f>
        <v xml:space="preserve">   070190</v>
      </c>
      <c r="B9976" t="str">
        <f>T("   AUTRES")</f>
        <v xml:space="preserve">   AUTRES</v>
      </c>
      <c r="C9976" s="4">
        <v>110500</v>
      </c>
      <c r="D9976" s="4">
        <v>8000000</v>
      </c>
    </row>
    <row r="9977" spans="1:4" x14ac:dyDescent="0.25">
      <c r="A9977" t="str">
        <f>T("   070320")</f>
        <v xml:space="preserve">   070320</v>
      </c>
      <c r="B9977" t="str">
        <f>T("   AULX")</f>
        <v xml:space="preserve">   AULX</v>
      </c>
      <c r="C9977" s="4">
        <v>36075</v>
      </c>
      <c r="D9977" s="4">
        <v>4135820</v>
      </c>
    </row>
    <row r="9978" spans="1:4" x14ac:dyDescent="0.25">
      <c r="A9978" t="str">
        <f>T("   070490")</f>
        <v xml:space="preserve">   070490</v>
      </c>
      <c r="B9978" t="str">
        <f>T("   AUTRES")</f>
        <v xml:space="preserve">   AUTRES</v>
      </c>
      <c r="C9978" s="4">
        <v>1570</v>
      </c>
      <c r="D9978" s="4">
        <v>21070</v>
      </c>
    </row>
    <row r="9979" spans="1:4" x14ac:dyDescent="0.25">
      <c r="A9979" t="str">
        <f>T("   070960")</f>
        <v xml:space="preserve">   070960</v>
      </c>
      <c r="B9979" t="str">
        <f>T("   PIMENTS DU GENRE CAPSICUM OU DU GENRE PIMENTA")</f>
        <v xml:space="preserve">   PIMENTS DU GENRE CAPSICUM OU DU GENRE PIMENTA</v>
      </c>
      <c r="C9979" s="4">
        <v>580</v>
      </c>
      <c r="D9979" s="4">
        <v>21155</v>
      </c>
    </row>
    <row r="9980" spans="1:4" x14ac:dyDescent="0.25">
      <c r="A9980" t="str">
        <f>T("   071010")</f>
        <v xml:space="preserve">   071010</v>
      </c>
      <c r="B9980" t="str">
        <f>T("   POMMES DE TERRE")</f>
        <v xml:space="preserve">   POMMES DE TERRE</v>
      </c>
      <c r="C9980" s="4">
        <v>41475</v>
      </c>
      <c r="D9980" s="4">
        <v>4041087</v>
      </c>
    </row>
    <row r="9981" spans="1:4" x14ac:dyDescent="0.25">
      <c r="A9981" t="str">
        <f>T("   071021")</f>
        <v xml:space="preserve">   071021</v>
      </c>
      <c r="B9981" t="str">
        <f>T("   POIS (PISUM SATIVUM)")</f>
        <v xml:space="preserve">   POIS (PISUM SATIVUM)</v>
      </c>
      <c r="C9981" s="4">
        <v>500</v>
      </c>
      <c r="D9981" s="4">
        <v>54615</v>
      </c>
    </row>
    <row r="9982" spans="1:4" x14ac:dyDescent="0.25">
      <c r="A9982" t="str">
        <f>T("   071220")</f>
        <v xml:space="preserve">   071220</v>
      </c>
      <c r="B9982" t="str">
        <f>T("   OIGNONS")</f>
        <v xml:space="preserve">   OIGNONS</v>
      </c>
      <c r="C9982" s="4">
        <v>1650</v>
      </c>
      <c r="D9982" s="4">
        <v>101186</v>
      </c>
    </row>
    <row r="9983" spans="1:4" x14ac:dyDescent="0.25">
      <c r="A9983" t="str">
        <f>T("   071290")</f>
        <v xml:space="preserve">   071290</v>
      </c>
      <c r="B9983" t="str">
        <f>T("   AUTRES LEGUMES; MELANGES DE LEGUMES")</f>
        <v xml:space="preserve">   AUTRES LEGUMES; MELANGES DE LEGUMES</v>
      </c>
      <c r="C9983" s="4">
        <v>1000</v>
      </c>
      <c r="D9983" s="4">
        <v>470000</v>
      </c>
    </row>
    <row r="9984" spans="1:4" x14ac:dyDescent="0.25">
      <c r="A9984" t="str">
        <f>T("   071390")</f>
        <v xml:space="preserve">   071390</v>
      </c>
      <c r="B9984" t="str">
        <f>T("   AUTRES")</f>
        <v xml:space="preserve">   AUTRES</v>
      </c>
      <c r="C9984" s="4">
        <v>2250</v>
      </c>
      <c r="D9984" s="4">
        <v>210754</v>
      </c>
    </row>
    <row r="9985" spans="1:4" x14ac:dyDescent="0.25">
      <c r="A9985" t="str">
        <f>T("   071490")</f>
        <v xml:space="preserve">   071490</v>
      </c>
      <c r="B9985" t="str">
        <f>T("   AUTRES")</f>
        <v xml:space="preserve">   AUTRES</v>
      </c>
      <c r="C9985" s="4">
        <v>8750</v>
      </c>
      <c r="D9985" s="4">
        <v>590096</v>
      </c>
    </row>
    <row r="9986" spans="1:4" x14ac:dyDescent="0.25">
      <c r="A9986" t="str">
        <f>T("   080111")</f>
        <v xml:space="preserve">   080111</v>
      </c>
      <c r="B9986" t="str">
        <f>T("   DESSECHEES")</f>
        <v xml:space="preserve">   DESSECHEES</v>
      </c>
      <c r="C9986" s="4">
        <v>32150214</v>
      </c>
      <c r="D9986" s="4">
        <v>155901932</v>
      </c>
    </row>
    <row r="9987" spans="1:4" x14ac:dyDescent="0.25">
      <c r="A9987" t="str">
        <f>T("   080119")</f>
        <v xml:space="preserve">   080119</v>
      </c>
      <c r="B9987" t="str">
        <f>T("   AUTRES")</f>
        <v xml:space="preserve">   AUTRES</v>
      </c>
      <c r="C9987" s="4">
        <v>14500</v>
      </c>
      <c r="D9987" s="4">
        <v>556108</v>
      </c>
    </row>
    <row r="9988" spans="1:4" x14ac:dyDescent="0.25">
      <c r="A9988" t="str">
        <f>T("   080290")</f>
        <v xml:space="preserve">   080290</v>
      </c>
      <c r="B9988" t="str">
        <f>T("   AUTRES")</f>
        <v xml:space="preserve">   AUTRES</v>
      </c>
      <c r="C9988" s="4">
        <v>9530</v>
      </c>
      <c r="D9988" s="4">
        <v>217543</v>
      </c>
    </row>
    <row r="9989" spans="1:4" x14ac:dyDescent="0.25">
      <c r="A9989" t="str">
        <f>T("   080300")</f>
        <v xml:space="preserve">   080300</v>
      </c>
      <c r="B9989" t="str">
        <f>T("   Bananes,y compris les plantains,fraiches ou seches")</f>
        <v xml:space="preserve">   Bananes,y compris les plantains,fraiches ou seches</v>
      </c>
      <c r="C9989" s="4">
        <v>75300</v>
      </c>
      <c r="D9989" s="4">
        <v>3688050</v>
      </c>
    </row>
    <row r="9990" spans="1:4" x14ac:dyDescent="0.25">
      <c r="A9990" t="str">
        <f>T("   080510")</f>
        <v xml:space="preserve">   080510</v>
      </c>
      <c r="B9990" t="str">
        <f>T("   ORANGES")</f>
        <v xml:space="preserve">   ORANGES</v>
      </c>
      <c r="C9990" s="4">
        <v>1440</v>
      </c>
      <c r="D9990" s="4">
        <v>270000</v>
      </c>
    </row>
    <row r="9991" spans="1:4" x14ac:dyDescent="0.25">
      <c r="A9991" t="str">
        <f>T("   080550")</f>
        <v xml:space="preserve">   080550</v>
      </c>
      <c r="B9991" t="str">
        <f>T("   CITRONS (CITRUS LIMON, CITRUS LIMONUM) ET LIMES (CITRUS AURANTIFOLIA, CITRUS LATIFOLI")</f>
        <v xml:space="preserve">   CITRONS (CITRUS LIMON, CITRUS LIMONUM) ET LIMES (CITRUS AURANTIFOLIA, CITRUS LATIFOLI</v>
      </c>
      <c r="C9991" s="4">
        <v>1863</v>
      </c>
      <c r="D9991" s="4">
        <v>350000</v>
      </c>
    </row>
    <row r="9992" spans="1:4" x14ac:dyDescent="0.25">
      <c r="A9992" t="str">
        <f>T("   080610")</f>
        <v xml:space="preserve">   080610</v>
      </c>
      <c r="B9992" t="str">
        <f>T("   FRAIS")</f>
        <v xml:space="preserve">   FRAIS</v>
      </c>
      <c r="C9992" s="4">
        <v>61430</v>
      </c>
      <c r="D9992" s="4">
        <v>8029058</v>
      </c>
    </row>
    <row r="9993" spans="1:4" x14ac:dyDescent="0.25">
      <c r="A9993" t="str">
        <f>T("   080810")</f>
        <v xml:space="preserve">   080810</v>
      </c>
      <c r="B9993" t="str">
        <f>T("   POMMES")</f>
        <v xml:space="preserve">   POMMES</v>
      </c>
      <c r="C9993" s="4">
        <v>644242.9</v>
      </c>
      <c r="D9993" s="4">
        <v>79184216</v>
      </c>
    </row>
    <row r="9994" spans="1:4" x14ac:dyDescent="0.25">
      <c r="A9994" t="str">
        <f>T("   080820")</f>
        <v xml:space="preserve">   080820</v>
      </c>
      <c r="B9994" t="str">
        <f>T("   Poires et coings,frais")</f>
        <v xml:space="preserve">   Poires et coings,frais</v>
      </c>
      <c r="C9994" s="4">
        <v>55163.17</v>
      </c>
      <c r="D9994" s="4">
        <v>7497173</v>
      </c>
    </row>
    <row r="9995" spans="1:4" x14ac:dyDescent="0.25">
      <c r="A9995" t="str">
        <f>T("   080930")</f>
        <v xml:space="preserve">   080930</v>
      </c>
      <c r="B9995" t="str">
        <f>T("   PECHES, Y COMPRIS LES BRUGNONS ET NECTARINES")</f>
        <v xml:space="preserve">   PECHES, Y COMPRIS LES BRUGNONS ET NECTARINES</v>
      </c>
      <c r="C9995" s="4">
        <v>3900</v>
      </c>
      <c r="D9995" s="4">
        <v>706000</v>
      </c>
    </row>
    <row r="9996" spans="1:4" x14ac:dyDescent="0.25">
      <c r="A9996" t="str">
        <f>T("   080940")</f>
        <v xml:space="preserve">   080940</v>
      </c>
      <c r="B9996" t="str">
        <f>T("   PRUNES ET PRUNELLES")</f>
        <v xml:space="preserve">   PRUNES ET PRUNELLES</v>
      </c>
      <c r="C9996" s="4">
        <v>9536</v>
      </c>
      <c r="D9996" s="4">
        <v>2849790</v>
      </c>
    </row>
    <row r="9997" spans="1:4" x14ac:dyDescent="0.25">
      <c r="A9997" t="str">
        <f>T("   081330")</f>
        <v xml:space="preserve">   081330</v>
      </c>
      <c r="B9997" t="str">
        <f>T("   POMMES")</f>
        <v xml:space="preserve">   POMMES</v>
      </c>
      <c r="C9997" s="4">
        <v>1500</v>
      </c>
      <c r="D9997" s="4">
        <v>51864</v>
      </c>
    </row>
    <row r="9998" spans="1:4" x14ac:dyDescent="0.25">
      <c r="A9998" t="str">
        <f>T("   090111")</f>
        <v xml:space="preserve">   090111</v>
      </c>
      <c r="B9998" t="str">
        <f>T("   NON DECAFEINE")</f>
        <v xml:space="preserve">   NON DECAFEINE</v>
      </c>
      <c r="C9998" s="4">
        <v>9500</v>
      </c>
      <c r="D9998" s="4">
        <v>4749000</v>
      </c>
    </row>
    <row r="9999" spans="1:4" x14ac:dyDescent="0.25">
      <c r="A9999" t="str">
        <f>T("   090112")</f>
        <v xml:space="preserve">   090112</v>
      </c>
      <c r="B9999" t="str">
        <f>T("   DECAFEINE")</f>
        <v xml:space="preserve">   DECAFEINE</v>
      </c>
      <c r="C9999" s="4">
        <v>12160</v>
      </c>
      <c r="D9999" s="4">
        <v>2409616</v>
      </c>
    </row>
    <row r="10000" spans="1:4" x14ac:dyDescent="0.25">
      <c r="A10000" t="str">
        <f>T("   090190")</f>
        <v xml:space="preserve">   090190</v>
      </c>
      <c r="B10000" t="str">
        <f>T("   AUTRES")</f>
        <v xml:space="preserve">   AUTRES</v>
      </c>
      <c r="C10000" s="4">
        <v>71469</v>
      </c>
      <c r="D10000" s="4">
        <v>27178896</v>
      </c>
    </row>
    <row r="10001" spans="1:4" x14ac:dyDescent="0.25">
      <c r="A10001" t="str">
        <f>T("   090220")</f>
        <v xml:space="preserve">   090220</v>
      </c>
      <c r="B10001" t="str">
        <f>T("   THE VERT (NON FERMENTE) PRESENTE AUTREMENT")</f>
        <v xml:space="preserve">   THE VERT (NON FERMENTE) PRESENTE AUTREMENT</v>
      </c>
      <c r="C10001" s="4">
        <v>2500</v>
      </c>
      <c r="D10001" s="4">
        <v>500000</v>
      </c>
    </row>
    <row r="10002" spans="1:4" x14ac:dyDescent="0.25">
      <c r="A10002" t="str">
        <f>T("   090230")</f>
        <v xml:space="preserve">   090230</v>
      </c>
      <c r="B10002" t="str">
        <f>T("   THE NOIR (FERMENTE) ET THE PARTIELLEMENT FERMENTE, PRESENTES EN EMBALLAGES IMMEDIATS")</f>
        <v xml:space="preserve">   THE NOIR (FERMENTE) ET THE PARTIELLEMENT FERMENTE, PRESENTES EN EMBALLAGES IMMEDIATS</v>
      </c>
      <c r="C10002" s="4">
        <v>3600</v>
      </c>
      <c r="D10002" s="4">
        <v>795458</v>
      </c>
    </row>
    <row r="10003" spans="1:4" x14ac:dyDescent="0.25">
      <c r="A10003" t="str">
        <f>T("   090240")</f>
        <v xml:space="preserve">   090240</v>
      </c>
      <c r="B10003" t="str">
        <f>T("   THE NOIR (FERMENTE) ET THE PARTIELLEMENT FERMENTE, PRESENTES AUTREMENT")</f>
        <v xml:space="preserve">   THE NOIR (FERMENTE) ET THE PARTIELLEMENT FERMENTE, PRESENTES AUTREMENT</v>
      </c>
      <c r="C10003" s="4">
        <v>7496</v>
      </c>
      <c r="D10003" s="4">
        <v>3525222</v>
      </c>
    </row>
    <row r="10004" spans="1:4" x14ac:dyDescent="0.25">
      <c r="A10004" t="str">
        <f>T("   090411")</f>
        <v xml:space="preserve">   090411</v>
      </c>
      <c r="B10004" t="str">
        <f>T("   NON BROYE NI PULVERISE")</f>
        <v xml:space="preserve">   NON BROYE NI PULVERISE</v>
      </c>
      <c r="C10004" s="4">
        <v>2400</v>
      </c>
      <c r="D10004" s="4">
        <v>218460</v>
      </c>
    </row>
    <row r="10005" spans="1:4" x14ac:dyDescent="0.25">
      <c r="A10005" t="str">
        <f>T("   100190")</f>
        <v xml:space="preserve">   100190</v>
      </c>
      <c r="B10005" t="str">
        <f>T("   AUTRES FROMENT (BLE) ET METEIL")</f>
        <v xml:space="preserve">   AUTRES FROMENT (BLE) ET METEIL</v>
      </c>
      <c r="C10005" s="4">
        <v>800</v>
      </c>
      <c r="D10005" s="4">
        <v>350000</v>
      </c>
    </row>
    <row r="10006" spans="1:4" x14ac:dyDescent="0.25">
      <c r="A10006" t="str">
        <f>T("   100590")</f>
        <v xml:space="preserve">   100590</v>
      </c>
      <c r="B10006" t="str">
        <f>T("   AUTRE")</f>
        <v xml:space="preserve">   AUTRE</v>
      </c>
      <c r="C10006" s="4">
        <v>79998</v>
      </c>
      <c r="D10006" s="4">
        <v>10199449</v>
      </c>
    </row>
    <row r="10007" spans="1:4" x14ac:dyDescent="0.25">
      <c r="A10007" t="str">
        <f>T("   100610")</f>
        <v xml:space="preserve">   100610</v>
      </c>
      <c r="B10007" t="str">
        <f>T("   RIZ EN PAILLE (RIZ PADDY)")</f>
        <v xml:space="preserve">   RIZ EN PAILLE (RIZ PADDY)</v>
      </c>
      <c r="C10007" s="4">
        <v>5815</v>
      </c>
      <c r="D10007" s="4">
        <v>2022414</v>
      </c>
    </row>
    <row r="10008" spans="1:4" x14ac:dyDescent="0.25">
      <c r="A10008" t="str">
        <f>T("   100630")</f>
        <v xml:space="preserve">   100630</v>
      </c>
      <c r="B10008" t="str">
        <f>T("   RIZ SEMIBLANCHI OU BLANCHI, MEME POLI OU GLACE")</f>
        <v xml:space="preserve">   RIZ SEMIBLANCHI OU BLANCHI, MEME POLI OU GLACE</v>
      </c>
      <c r="C10008" s="4">
        <v>1046292</v>
      </c>
      <c r="D10008" s="4">
        <v>216684000</v>
      </c>
    </row>
    <row r="10009" spans="1:4" x14ac:dyDescent="0.25">
      <c r="A10009" t="str">
        <f>T("   100640")</f>
        <v xml:space="preserve">   100640</v>
      </c>
      <c r="B10009" t="str">
        <f>T("   RIZ EN BRISURES")</f>
        <v xml:space="preserve">   RIZ EN BRISURES</v>
      </c>
      <c r="C10009" s="4">
        <v>25000</v>
      </c>
      <c r="D10009" s="4">
        <v>9142167.7819999997</v>
      </c>
    </row>
    <row r="10010" spans="1:4" x14ac:dyDescent="0.25">
      <c r="A10010" t="str">
        <f>T("   110100")</f>
        <v xml:space="preserve">   110100</v>
      </c>
      <c r="B10010" t="str">
        <f>T("   FARINES DE FROMENT (BLE) OU DE METEIL.")</f>
        <v xml:space="preserve">   FARINES DE FROMENT (BLE) OU DE METEIL.</v>
      </c>
      <c r="C10010" s="4">
        <v>2550926.7000000002</v>
      </c>
      <c r="D10010" s="4">
        <v>825348129.977</v>
      </c>
    </row>
    <row r="10011" spans="1:4" x14ac:dyDescent="0.25">
      <c r="A10011" t="str">
        <f>T("   110220")</f>
        <v xml:space="preserve">   110220</v>
      </c>
      <c r="B10011" t="str">
        <f>T("   Farine de mais")</f>
        <v xml:space="preserve">   Farine de mais</v>
      </c>
      <c r="C10011" s="4">
        <v>44120</v>
      </c>
      <c r="D10011" s="4">
        <v>2171485</v>
      </c>
    </row>
    <row r="10012" spans="1:4" x14ac:dyDescent="0.25">
      <c r="A10012" t="str">
        <f>T("   110311")</f>
        <v xml:space="preserve">   110311</v>
      </c>
      <c r="B10012" t="str">
        <f>T("   DE FROMENT (BLE)")</f>
        <v xml:space="preserve">   DE FROMENT (BLE)</v>
      </c>
      <c r="C10012" s="4">
        <v>100</v>
      </c>
      <c r="D10012" s="4">
        <v>53715</v>
      </c>
    </row>
    <row r="10013" spans="1:4" x14ac:dyDescent="0.25">
      <c r="A10013" t="str">
        <f>T("   110423")</f>
        <v xml:space="preserve">   110423</v>
      </c>
      <c r="B10013" t="str">
        <f>T("   DE MAIS")</f>
        <v xml:space="preserve">   DE MAIS</v>
      </c>
      <c r="C10013" s="4">
        <v>16360</v>
      </c>
      <c r="D10013" s="4">
        <v>1357933</v>
      </c>
    </row>
    <row r="10014" spans="1:4" x14ac:dyDescent="0.25">
      <c r="A10014" t="str">
        <f>T("   110620")</f>
        <v xml:space="preserve">   110620</v>
      </c>
      <c r="B10014" t="str">
        <f>T("   DE SAGOU OU DES RACINES OU TUBERCULES DU N° 07.14")</f>
        <v xml:space="preserve">   DE SAGOU OU DES RACINES OU TUBERCULES DU N° 07.14</v>
      </c>
      <c r="C10014" s="4">
        <v>8640</v>
      </c>
      <c r="D10014" s="4">
        <v>43693</v>
      </c>
    </row>
    <row r="10015" spans="1:4" x14ac:dyDescent="0.25">
      <c r="A10015" t="str">
        <f>T("   120600")</f>
        <v xml:space="preserve">   120600</v>
      </c>
      <c r="B10015" t="str">
        <f>T("   GRAINES DE TOURNESOL, MEME CONCASSEES.")</f>
        <v xml:space="preserve">   GRAINES DE TOURNESOL, MEME CONCASSEES.</v>
      </c>
      <c r="C10015" s="4">
        <v>25800</v>
      </c>
      <c r="D10015" s="4">
        <v>286482</v>
      </c>
    </row>
    <row r="10016" spans="1:4" x14ac:dyDescent="0.25">
      <c r="A10016" t="str">
        <f>T("   120720")</f>
        <v xml:space="preserve">   120720</v>
      </c>
      <c r="B10016" t="str">
        <f>T("   GRAINES DE COTON,MEME CONCASSEES")</f>
        <v xml:space="preserve">   GRAINES DE COTON,MEME CONCASSEES</v>
      </c>
      <c r="C10016" s="4">
        <v>9377790</v>
      </c>
      <c r="D10016" s="4">
        <v>88218623</v>
      </c>
    </row>
    <row r="10017" spans="1:4" x14ac:dyDescent="0.25">
      <c r="A10017" t="str">
        <f>T("   120799")</f>
        <v xml:space="preserve">   120799</v>
      </c>
      <c r="B10017" t="str">
        <f>T("   AUTRES")</f>
        <v xml:space="preserve">   AUTRES</v>
      </c>
      <c r="C10017" s="4">
        <v>100000</v>
      </c>
      <c r="D10017" s="4">
        <v>1200000</v>
      </c>
    </row>
    <row r="10018" spans="1:4" x14ac:dyDescent="0.25">
      <c r="A10018" t="str">
        <f>T("   120890")</f>
        <v xml:space="preserve">   120890</v>
      </c>
      <c r="B10018" t="str">
        <f>T("   AUTRES")</f>
        <v xml:space="preserve">   AUTRES</v>
      </c>
      <c r="C10018" s="4">
        <v>50000</v>
      </c>
      <c r="D10018" s="4">
        <v>600000</v>
      </c>
    </row>
    <row r="10019" spans="1:4" x14ac:dyDescent="0.25">
      <c r="A10019" t="str">
        <f>T("   121190")</f>
        <v xml:space="preserve">   121190</v>
      </c>
      <c r="B10019" t="str">
        <f>T("   AUTRES")</f>
        <v xml:space="preserve">   AUTRES</v>
      </c>
      <c r="C10019" s="4">
        <v>7390</v>
      </c>
      <c r="D10019" s="4">
        <v>196957</v>
      </c>
    </row>
    <row r="10020" spans="1:4" x14ac:dyDescent="0.25">
      <c r="A10020" t="str">
        <f>T("   130239")</f>
        <v xml:space="preserve">   130239</v>
      </c>
      <c r="B10020" t="str">
        <f>T("   AUTRES")</f>
        <v xml:space="preserve">   AUTRES</v>
      </c>
      <c r="C10020" s="4">
        <v>57590</v>
      </c>
      <c r="D10020" s="4">
        <v>35419434</v>
      </c>
    </row>
    <row r="10021" spans="1:4" x14ac:dyDescent="0.25">
      <c r="A10021" t="str">
        <f>T("   150600")</f>
        <v xml:space="preserve">   150600</v>
      </c>
      <c r="B10021" t="str">
        <f>T("   AUTRES GRAISSES ET HUILES ANIMALES ET LEURS FRACTIONS, MEME RAFFINEES, MAIS NON CHIMIQU")</f>
        <v xml:space="preserve">   AUTRES GRAISSES ET HUILES ANIMALES ET LEURS FRACTIONS, MEME RAFFINEES, MAIS NON CHIMIQU</v>
      </c>
      <c r="C10021" s="4">
        <v>1830</v>
      </c>
      <c r="D10021" s="4">
        <v>500000</v>
      </c>
    </row>
    <row r="10022" spans="1:4" x14ac:dyDescent="0.25">
      <c r="A10022" t="str">
        <f>T("   151000")</f>
        <v xml:space="preserve">   151000</v>
      </c>
      <c r="B10022" t="str">
        <f>T("   AUTRES HUILES ET LEURS FRACTIONS, OBTENUES EXCLUSIVEMENT A PARTIR D'OLIVES, MEME RAFFIN")</f>
        <v xml:space="preserve">   AUTRES HUILES ET LEURS FRACTIONS, OBTENUES EXCLUSIVEMENT A PARTIR D'OLIVES, MEME RAFFIN</v>
      </c>
      <c r="C10022" s="4">
        <v>920</v>
      </c>
      <c r="D10022" s="4">
        <v>252004</v>
      </c>
    </row>
    <row r="10023" spans="1:4" x14ac:dyDescent="0.25">
      <c r="A10023" t="str">
        <f>T("   151110")</f>
        <v xml:space="preserve">   151110</v>
      </c>
      <c r="B10023" t="str">
        <f>T("   HUILE BRUTE")</f>
        <v xml:space="preserve">   HUILE BRUTE</v>
      </c>
      <c r="C10023" s="4">
        <v>373967</v>
      </c>
      <c r="D10023" s="4">
        <v>93491750</v>
      </c>
    </row>
    <row r="10024" spans="1:4" x14ac:dyDescent="0.25">
      <c r="A10024" t="str">
        <f>T("   151190")</f>
        <v xml:space="preserve">   151190</v>
      </c>
      <c r="B10024" t="str">
        <f>T("   AUTRES")</f>
        <v xml:space="preserve">   AUTRES</v>
      </c>
      <c r="C10024" s="4">
        <v>7189493</v>
      </c>
      <c r="D10024" s="4">
        <v>3322011508.5430002</v>
      </c>
    </row>
    <row r="10025" spans="1:4" x14ac:dyDescent="0.25">
      <c r="A10025" t="str">
        <f>T("   151229")</f>
        <v xml:space="preserve">   151229</v>
      </c>
      <c r="B10025" t="str">
        <f>T("   AUTRES")</f>
        <v xml:space="preserve">   AUTRES</v>
      </c>
      <c r="C10025" s="4">
        <v>1716100</v>
      </c>
      <c r="D10025" s="4">
        <v>429025000</v>
      </c>
    </row>
    <row r="10026" spans="1:4" x14ac:dyDescent="0.25">
      <c r="A10026" t="str">
        <f>T("   151620")</f>
        <v xml:space="preserve">   151620</v>
      </c>
      <c r="B10026" t="str">
        <f>T("   GRAISSES ET HUILES VEGETALES ET LEURS FRACTIONS")</f>
        <v xml:space="preserve">   GRAISSES ET HUILES VEGETALES ET LEURS FRACTIONS</v>
      </c>
      <c r="C10026" s="4">
        <v>40</v>
      </c>
      <c r="D10026" s="4">
        <v>62688</v>
      </c>
    </row>
    <row r="10027" spans="1:4" x14ac:dyDescent="0.25">
      <c r="A10027" t="str">
        <f>T("   151710")</f>
        <v xml:space="preserve">   151710</v>
      </c>
      <c r="B10027" t="str">
        <f>T("   Margarine, a l'exclusion de la margarine liquide")</f>
        <v xml:space="preserve">   Margarine, a l'exclusion de la margarine liquide</v>
      </c>
      <c r="C10027" s="4">
        <v>22910</v>
      </c>
      <c r="D10027" s="4">
        <v>15442840</v>
      </c>
    </row>
    <row r="10028" spans="1:4" x14ac:dyDescent="0.25">
      <c r="A10028" t="str">
        <f>T("   152200")</f>
        <v xml:space="preserve">   152200</v>
      </c>
      <c r="B10028" t="str">
        <f>T("   DEGRAS; RESIDUS PROVENANT DU TRAITEMENT DES CORPS GRAS OU DES CIRES ANIMALES OU VEGETAL")</f>
        <v xml:space="preserve">   DEGRAS; RESIDUS PROVENANT DU TRAITEMENT DES CORPS GRAS OU DES CIRES ANIMALES OU VEGETAL</v>
      </c>
      <c r="C10028" s="4">
        <v>45320</v>
      </c>
      <c r="D10028" s="4">
        <v>6798000</v>
      </c>
    </row>
    <row r="10029" spans="1:4" x14ac:dyDescent="0.25">
      <c r="A10029" t="str">
        <f>T("   160100")</f>
        <v xml:space="preserve">   160100</v>
      </c>
      <c r="B10029" t="str">
        <f>T("   SAUCISSES, SAUCISSONS ET PRODUITS SIMILAIRES, DE VIANDE, D'ABATS OU DE SANG; PREPARATIO")</f>
        <v xml:space="preserve">   SAUCISSES, SAUCISSONS ET PRODUITS SIMILAIRES, DE VIANDE, D'ABATS OU DE SANG; PREPARATIO</v>
      </c>
      <c r="C10029" s="4">
        <v>11390</v>
      </c>
      <c r="D10029" s="4">
        <v>699223</v>
      </c>
    </row>
    <row r="10030" spans="1:4" x14ac:dyDescent="0.25">
      <c r="A10030" t="str">
        <f>T("   160413")</f>
        <v xml:space="preserve">   160413</v>
      </c>
      <c r="B10030" t="str">
        <f>T("   SARDINES, SARDINELLES ET SPRATS OU ESPROTS")</f>
        <v xml:space="preserve">   SARDINES, SARDINELLES ET SPRATS OU ESPROTS</v>
      </c>
      <c r="C10030" s="4">
        <v>47350</v>
      </c>
      <c r="D10030" s="4">
        <v>10896356</v>
      </c>
    </row>
    <row r="10031" spans="1:4" x14ac:dyDescent="0.25">
      <c r="A10031" t="str">
        <f>T("   160520")</f>
        <v xml:space="preserve">   160520</v>
      </c>
      <c r="B10031" t="str">
        <f>T("   Conserves et preparations de crevettes")</f>
        <v xml:space="preserve">   Conserves et preparations de crevettes</v>
      </c>
      <c r="C10031" s="4">
        <v>380</v>
      </c>
      <c r="D10031" s="4">
        <v>54615</v>
      </c>
    </row>
    <row r="10032" spans="1:4" x14ac:dyDescent="0.25">
      <c r="A10032" t="str">
        <f>T("   170111")</f>
        <v xml:space="preserve">   170111</v>
      </c>
      <c r="B10032" t="str">
        <f>T("   SUCRES BRUTS DE CANNE,SANS AROMATISANTS NI COLORANTS")</f>
        <v xml:space="preserve">   SUCRES BRUTS DE CANNE,SANS AROMATISANTS NI COLORANTS</v>
      </c>
      <c r="C10032" s="4">
        <v>76370</v>
      </c>
      <c r="D10032" s="4">
        <v>22282906</v>
      </c>
    </row>
    <row r="10033" spans="1:4" x14ac:dyDescent="0.25">
      <c r="A10033" t="str">
        <f>T("   170191")</f>
        <v xml:space="preserve">   170191</v>
      </c>
      <c r="B10033" t="str">
        <f>T("   ADDITIONNES D'AROMATISANTS OU DE COLORANTS")</f>
        <v xml:space="preserve">   ADDITIONNES D'AROMATISANTS OU DE COLORANTS</v>
      </c>
      <c r="C10033" s="4">
        <v>24440</v>
      </c>
      <c r="D10033" s="4">
        <v>5461496</v>
      </c>
    </row>
    <row r="10034" spans="1:4" x14ac:dyDescent="0.25">
      <c r="A10034" t="str">
        <f>T("   170199")</f>
        <v xml:space="preserve">   170199</v>
      </c>
      <c r="B10034" t="str">
        <f>T("   AUTRES")</f>
        <v xml:space="preserve">   AUTRES</v>
      </c>
      <c r="C10034" s="4">
        <v>301045</v>
      </c>
      <c r="D10034" s="4">
        <v>115668530.774</v>
      </c>
    </row>
    <row r="10035" spans="1:4" x14ac:dyDescent="0.25">
      <c r="A10035" t="str">
        <f>T("   170410")</f>
        <v xml:space="preserve">   170410</v>
      </c>
      <c r="B10035" t="str">
        <f>T("   GOMMES A MACHER (CHEWINGGUM), MEME ENROBEES DE SUCRE")</f>
        <v xml:space="preserve">   GOMMES A MACHER (CHEWINGGUM), MEME ENROBEES DE SUCRE</v>
      </c>
      <c r="C10035" s="4">
        <v>72300</v>
      </c>
      <c r="D10035" s="4">
        <v>12102592</v>
      </c>
    </row>
    <row r="10036" spans="1:4" x14ac:dyDescent="0.25">
      <c r="A10036" t="str">
        <f>T("   170490")</f>
        <v xml:space="preserve">   170490</v>
      </c>
      <c r="B10036" t="str">
        <f>T("   AUTRES")</f>
        <v xml:space="preserve">   AUTRES</v>
      </c>
      <c r="C10036" s="4">
        <v>1516003</v>
      </c>
      <c r="D10036" s="4">
        <v>234821431</v>
      </c>
    </row>
    <row r="10037" spans="1:4" x14ac:dyDescent="0.25">
      <c r="A10037" t="str">
        <f>T("   180100")</f>
        <v xml:space="preserve">   180100</v>
      </c>
      <c r="B10037" t="str">
        <f>T("   CACAO EN FEVES ET BRISURES DE FEVES, BRUTS OU TORREFIES.")</f>
        <v xml:space="preserve">   CACAO EN FEVES ET BRISURES DE FEVES, BRUTS OU TORREFIES.</v>
      </c>
      <c r="C10037" s="4">
        <v>3670</v>
      </c>
      <c r="D10037" s="4">
        <v>1500000</v>
      </c>
    </row>
    <row r="10038" spans="1:4" x14ac:dyDescent="0.25">
      <c r="A10038" t="str">
        <f>T("   180200")</f>
        <v xml:space="preserve">   180200</v>
      </c>
      <c r="B10038" t="str">
        <f>T("   COQUES, PELLICULES (PELURES) ET AUTRES DECHETS DE CACAO.")</f>
        <v xml:space="preserve">   COQUES, PELLICULES (PELURES) ET AUTRES DECHETS DE CACAO.</v>
      </c>
      <c r="C10038" s="4">
        <v>58560</v>
      </c>
      <c r="D10038" s="4">
        <v>960007</v>
      </c>
    </row>
    <row r="10039" spans="1:4" x14ac:dyDescent="0.25">
      <c r="A10039" t="str">
        <f>T("   180610")</f>
        <v xml:space="preserve">   180610</v>
      </c>
      <c r="B10039" t="str">
        <f>T("   POUDRE DE CACAO, AVEC ADDITION DE SUCRE OU D'AUTRES EDULCORANTS")</f>
        <v xml:space="preserve">   POUDRE DE CACAO, AVEC ADDITION DE SUCRE OU D'AUTRES EDULCORANTS</v>
      </c>
      <c r="C10039" s="4">
        <v>91898</v>
      </c>
      <c r="D10039" s="4">
        <v>22904555</v>
      </c>
    </row>
    <row r="10040" spans="1:4" x14ac:dyDescent="0.25">
      <c r="A10040" t="str">
        <f>T("   180620")</f>
        <v xml:space="preserve">   180620</v>
      </c>
      <c r="B10040" t="str">
        <f>T("   AUTRES PREPARATIONS PRESENTEES SOIT EN BLOCS OU EN BARRES D'UN POIDS EXCEDANT 2 KG, S")</f>
        <v xml:space="preserve">   AUTRES PREPARATIONS PRESENTEES SOIT EN BLOCS OU EN BARRES D'UN POIDS EXCEDANT 2 KG, S</v>
      </c>
      <c r="C10040" s="4">
        <v>44410</v>
      </c>
      <c r="D10040" s="4">
        <v>6500000</v>
      </c>
    </row>
    <row r="10041" spans="1:4" x14ac:dyDescent="0.25">
      <c r="A10041" t="str">
        <f>T("   180632")</f>
        <v xml:space="preserve">   180632</v>
      </c>
      <c r="B10041" t="str">
        <f>T("   NON FOURRES")</f>
        <v xml:space="preserve">   NON FOURRES</v>
      </c>
      <c r="C10041" s="4">
        <v>13000</v>
      </c>
      <c r="D10041" s="4">
        <v>1016099</v>
      </c>
    </row>
    <row r="10042" spans="1:4" x14ac:dyDescent="0.25">
      <c r="A10042" t="str">
        <f>T("   180690")</f>
        <v xml:space="preserve">   180690</v>
      </c>
      <c r="B10042" t="str">
        <f>T("   AUTRES")</f>
        <v xml:space="preserve">   AUTRES</v>
      </c>
      <c r="C10042" s="4">
        <v>1000</v>
      </c>
      <c r="D10042" s="4">
        <v>400000</v>
      </c>
    </row>
    <row r="10043" spans="1:4" x14ac:dyDescent="0.25">
      <c r="A10043" t="str">
        <f>T("   190110")</f>
        <v xml:space="preserve">   190110</v>
      </c>
      <c r="B10043" t="str">
        <f>T("   PREPARATIONS POUR L'ALIMENTATION DES ENFANTS, CONDITIONNEES POUR LA VENTE AU DETAIL")</f>
        <v xml:space="preserve">   PREPARATIONS POUR L'ALIMENTATION DES ENFANTS, CONDITIONNEES POUR LA VENTE AU DETAIL</v>
      </c>
      <c r="C10043" s="4">
        <v>239019</v>
      </c>
      <c r="D10043" s="4">
        <v>62796054</v>
      </c>
    </row>
    <row r="10044" spans="1:4" x14ac:dyDescent="0.25">
      <c r="A10044" t="str">
        <f>T("   190190")</f>
        <v xml:space="preserve">   190190</v>
      </c>
      <c r="B10044" t="str">
        <f>T("   AUTRES")</f>
        <v xml:space="preserve">   AUTRES</v>
      </c>
      <c r="C10044" s="4">
        <v>200426</v>
      </c>
      <c r="D10044" s="4">
        <v>56432099</v>
      </c>
    </row>
    <row r="10045" spans="1:4" x14ac:dyDescent="0.25">
      <c r="A10045" t="str">
        <f>T("   190219")</f>
        <v xml:space="preserve">   190219</v>
      </c>
      <c r="B10045" t="str">
        <f>T("   AUTRES")</f>
        <v xml:space="preserve">   AUTRES</v>
      </c>
      <c r="C10045" s="4">
        <v>260640</v>
      </c>
      <c r="D10045" s="4">
        <v>47325951</v>
      </c>
    </row>
    <row r="10046" spans="1:4" x14ac:dyDescent="0.25">
      <c r="A10046" t="str">
        <f>T("   190230")</f>
        <v xml:space="preserve">   190230</v>
      </c>
      <c r="B10046" t="str">
        <f>T("   AUTRES PATES ALIMENTAIRES")</f>
        <v xml:space="preserve">   AUTRES PATES ALIMENTAIRES</v>
      </c>
      <c r="C10046" s="4">
        <v>511505</v>
      </c>
      <c r="D10046" s="4">
        <v>76056804</v>
      </c>
    </row>
    <row r="10047" spans="1:4" x14ac:dyDescent="0.25">
      <c r="A10047" t="str">
        <f>T("   190240")</f>
        <v xml:space="preserve">   190240</v>
      </c>
      <c r="B10047" t="str">
        <f>T("   COUSCOUS")</f>
        <v xml:space="preserve">   COUSCOUS</v>
      </c>
      <c r="C10047" s="4">
        <v>16120</v>
      </c>
      <c r="D10047" s="4">
        <v>2507299</v>
      </c>
    </row>
    <row r="10048" spans="1:4" x14ac:dyDescent="0.25">
      <c r="A10048" t="str">
        <f>T("   190490")</f>
        <v xml:space="preserve">   190490</v>
      </c>
      <c r="B10048" t="str">
        <f>T("   AUTRES")</f>
        <v xml:space="preserve">   AUTRES</v>
      </c>
      <c r="C10048" s="4">
        <v>8600</v>
      </c>
      <c r="D10048" s="4">
        <v>2565668</v>
      </c>
    </row>
    <row r="10049" spans="1:4" x14ac:dyDescent="0.25">
      <c r="A10049" t="str">
        <f>T("   190510")</f>
        <v xml:space="preserve">   190510</v>
      </c>
      <c r="B10049" t="str">
        <f>T("   PAIN CROUSTILLANT DIT «KNäCKEBROT»")</f>
        <v xml:space="preserve">   PAIN CROUSTILLANT DIT «KNäCKEBROT»</v>
      </c>
      <c r="C10049" s="4">
        <v>1500</v>
      </c>
      <c r="D10049" s="4">
        <v>965000</v>
      </c>
    </row>
    <row r="10050" spans="1:4" x14ac:dyDescent="0.25">
      <c r="A10050" t="str">
        <f>T("   190530")</f>
        <v xml:space="preserve">   190530</v>
      </c>
      <c r="B10050" t="str">
        <f>T("   BISCUITS ADDITIONNES D'EDULCORANTS,GAUFRES ET GAUFRETTES")</f>
        <v xml:space="preserve">   BISCUITS ADDITIONNES D'EDULCORANTS,GAUFRES ET GAUFRETTES</v>
      </c>
      <c r="C10050" s="4">
        <v>1800</v>
      </c>
      <c r="D10050" s="4">
        <v>108050</v>
      </c>
    </row>
    <row r="10051" spans="1:4" x14ac:dyDescent="0.25">
      <c r="A10051" t="str">
        <f>T("   190531")</f>
        <v xml:space="preserve">   190531</v>
      </c>
      <c r="B10051" t="str">
        <f>T("   BISCUITS ADDITIONNES D’EDULCORANTS")</f>
        <v xml:space="preserve">   BISCUITS ADDITIONNES D’EDULCORANTS</v>
      </c>
      <c r="C10051" s="4">
        <v>2000</v>
      </c>
      <c r="D10051" s="4">
        <v>850000</v>
      </c>
    </row>
    <row r="10052" spans="1:4" x14ac:dyDescent="0.25">
      <c r="A10052" t="str">
        <f>T("   190590")</f>
        <v xml:space="preserve">   190590</v>
      </c>
      <c r="B10052" t="str">
        <f>T("   AUTRES")</f>
        <v xml:space="preserve">   AUTRES</v>
      </c>
      <c r="C10052" s="4">
        <v>236472</v>
      </c>
      <c r="D10052" s="4">
        <v>54565321</v>
      </c>
    </row>
    <row r="10053" spans="1:4" x14ac:dyDescent="0.25">
      <c r="A10053" t="str">
        <f>T("   200290")</f>
        <v xml:space="preserve">   200290</v>
      </c>
      <c r="B10053" t="str">
        <f>T("   AUTRES")</f>
        <v xml:space="preserve">   AUTRES</v>
      </c>
      <c r="C10053" s="4">
        <v>891795</v>
      </c>
      <c r="D10053" s="4">
        <v>166967846</v>
      </c>
    </row>
    <row r="10054" spans="1:4" x14ac:dyDescent="0.25">
      <c r="A10054" t="str">
        <f>T("   200540")</f>
        <v xml:space="preserve">   200540</v>
      </c>
      <c r="B10054" t="str">
        <f>T("   POIS (PISUM SATIVUM)")</f>
        <v xml:space="preserve">   POIS (PISUM SATIVUM)</v>
      </c>
      <c r="C10054" s="4">
        <v>69258</v>
      </c>
      <c r="D10054" s="4">
        <v>7435944</v>
      </c>
    </row>
    <row r="10055" spans="1:4" x14ac:dyDescent="0.25">
      <c r="A10055" t="str">
        <f>T("   200580")</f>
        <v xml:space="preserve">   200580</v>
      </c>
      <c r="B10055" t="str">
        <f>T("   MAIS DOUX (ZEA MAYS VAR. SACCHARATA)")</f>
        <v xml:space="preserve">   MAIS DOUX (ZEA MAYS VAR. SACCHARATA)</v>
      </c>
      <c r="C10055" s="4">
        <v>17040</v>
      </c>
      <c r="D10055" s="4">
        <v>271893</v>
      </c>
    </row>
    <row r="10056" spans="1:4" x14ac:dyDescent="0.25">
      <c r="A10056" t="str">
        <f>T("   200599")</f>
        <v xml:space="preserve">   200599</v>
      </c>
      <c r="B10056" t="str">
        <f>T("   AUTRES")</f>
        <v xml:space="preserve">   AUTRES</v>
      </c>
      <c r="C10056" s="4">
        <v>31058</v>
      </c>
      <c r="D10056" s="4">
        <v>1092299</v>
      </c>
    </row>
    <row r="10057" spans="1:4" x14ac:dyDescent="0.25">
      <c r="A10057" t="str">
        <f>T("   200710")</f>
        <v xml:space="preserve">   200710</v>
      </c>
      <c r="B10057" t="str">
        <f>T("   PREPARATIONS HOMOGENEISEES")</f>
        <v xml:space="preserve">   PREPARATIONS HOMOGENEISEES</v>
      </c>
      <c r="C10057" s="4">
        <v>193555</v>
      </c>
      <c r="D10057" s="4">
        <v>17327059</v>
      </c>
    </row>
    <row r="10058" spans="1:4" x14ac:dyDescent="0.25">
      <c r="A10058" t="str">
        <f>T("   200799")</f>
        <v xml:space="preserve">   200799</v>
      </c>
      <c r="B10058" t="str">
        <f>T("   AUTRES")</f>
        <v xml:space="preserve">   AUTRES</v>
      </c>
      <c r="C10058" s="4">
        <v>3500</v>
      </c>
      <c r="D10058" s="4">
        <v>432199</v>
      </c>
    </row>
    <row r="10059" spans="1:4" x14ac:dyDescent="0.25">
      <c r="A10059" t="str">
        <f>T("   200870")</f>
        <v xml:space="preserve">   200870</v>
      </c>
      <c r="B10059" t="str">
        <f>T("   PECHES, Y COMPRIS LES BRUGNONS ET NECTARINES")</f>
        <v xml:space="preserve">   PECHES, Y COMPRIS LES BRUGNONS ET NECTARINES</v>
      </c>
      <c r="C10059" s="4">
        <v>425</v>
      </c>
      <c r="D10059" s="4">
        <v>78145</v>
      </c>
    </row>
    <row r="10060" spans="1:4" x14ac:dyDescent="0.25">
      <c r="A10060" t="str">
        <f>T("   200940")</f>
        <v xml:space="preserve">   200940</v>
      </c>
      <c r="B10060" t="str">
        <f>T("   JUS D'ANANAS SANS ALCOOL,SUCRE OU NON")</f>
        <v xml:space="preserve">   JUS D'ANANAS SANS ALCOOL,SUCRE OU NON</v>
      </c>
      <c r="C10060" s="4">
        <v>500</v>
      </c>
      <c r="D10060" s="4">
        <v>8932</v>
      </c>
    </row>
    <row r="10061" spans="1:4" x14ac:dyDescent="0.25">
      <c r="A10061" t="str">
        <f>T("   200980")</f>
        <v xml:space="preserve">   200980</v>
      </c>
      <c r="B10061" t="str">
        <f>T("   AUTRES JUS DE FRUITS OU DE LEGUMES,SANS ALCOOL,SUCRES OU NON")</f>
        <v xml:space="preserve">   AUTRES JUS DE FRUITS OU DE LEGUMES,SANS ALCOOL,SUCRES OU NON</v>
      </c>
      <c r="C10061" s="4">
        <v>43308</v>
      </c>
      <c r="D10061" s="4">
        <v>7118863</v>
      </c>
    </row>
    <row r="10062" spans="1:4" x14ac:dyDescent="0.25">
      <c r="A10062" t="str">
        <f>T("   200990")</f>
        <v xml:space="preserve">   200990</v>
      </c>
      <c r="B10062" t="str">
        <f>T("   MELANGES DE JUS")</f>
        <v xml:space="preserve">   MELANGES DE JUS</v>
      </c>
      <c r="C10062" s="4">
        <v>28145</v>
      </c>
      <c r="D10062" s="4">
        <v>2637907</v>
      </c>
    </row>
    <row r="10063" spans="1:4" x14ac:dyDescent="0.25">
      <c r="A10063" t="str">
        <f>T("   210112")</f>
        <v xml:space="preserve">   210112</v>
      </c>
      <c r="B10063" t="str">
        <f>T("   PREPARATIONS A BASE D'EXTRAITS, ESSENCES OU CONCENTRES OU A BASE DE CAFE")</f>
        <v xml:space="preserve">   PREPARATIONS A BASE D'EXTRAITS, ESSENCES OU CONCENTRES OU A BASE DE CAFE</v>
      </c>
      <c r="C10063" s="4">
        <v>14677</v>
      </c>
      <c r="D10063" s="4">
        <v>3766583</v>
      </c>
    </row>
    <row r="10064" spans="1:4" x14ac:dyDescent="0.25">
      <c r="A10064" t="str">
        <f>T("   210210")</f>
        <v xml:space="preserve">   210210</v>
      </c>
      <c r="B10064" t="str">
        <f>T("   Levures vivantes")</f>
        <v xml:space="preserve">   Levures vivantes</v>
      </c>
      <c r="C10064" s="4">
        <v>80440</v>
      </c>
      <c r="D10064" s="4">
        <v>14067400</v>
      </c>
    </row>
    <row r="10065" spans="1:4" x14ac:dyDescent="0.25">
      <c r="A10065" t="str">
        <f>T("   210220")</f>
        <v xml:space="preserve">   210220</v>
      </c>
      <c r="B10065" t="str">
        <f>T("   LEVURES MORTES; AUTRES MICROORGANISMES MONOCELLULAIRES MORTS")</f>
        <v xml:space="preserve">   LEVURES MORTES; AUTRES MICROORGANISMES MONOCELLULAIRES MORTS</v>
      </c>
      <c r="C10065" s="4">
        <v>1120</v>
      </c>
      <c r="D10065" s="4">
        <v>243573</v>
      </c>
    </row>
    <row r="10066" spans="1:4" x14ac:dyDescent="0.25">
      <c r="A10066" t="str">
        <f>T("   210230")</f>
        <v xml:space="preserve">   210230</v>
      </c>
      <c r="B10066" t="str">
        <f>T("   POUDRES A LEVER PREPAREES")</f>
        <v xml:space="preserve">   POUDRES A LEVER PREPAREES</v>
      </c>
      <c r="C10066" s="4">
        <v>157000</v>
      </c>
      <c r="D10066" s="4">
        <v>41495133</v>
      </c>
    </row>
    <row r="10067" spans="1:4" x14ac:dyDescent="0.25">
      <c r="A10067" t="str">
        <f>T("   210390")</f>
        <v xml:space="preserve">   210390</v>
      </c>
      <c r="B10067" t="str">
        <f>T("   AUTRES")</f>
        <v xml:space="preserve">   AUTRES</v>
      </c>
      <c r="C10067" s="4">
        <v>65206</v>
      </c>
      <c r="D10067" s="4">
        <v>21195269</v>
      </c>
    </row>
    <row r="10068" spans="1:4" x14ac:dyDescent="0.25">
      <c r="A10068" t="str">
        <f>T("   210410")</f>
        <v xml:space="preserve">   210410</v>
      </c>
      <c r="B10068" t="str">
        <f>T("   PREPARATIONS POUR SOUPES, POTAGES OU BOUILLONS; SOUPES, POTAGES OU BOUILLONS PREPARES")</f>
        <v xml:space="preserve">   PREPARATIONS POUR SOUPES, POTAGES OU BOUILLONS; SOUPES, POTAGES OU BOUILLONS PREPARES</v>
      </c>
      <c r="C10068" s="4">
        <v>325008</v>
      </c>
      <c r="D10068" s="4">
        <v>115609775</v>
      </c>
    </row>
    <row r="10069" spans="1:4" x14ac:dyDescent="0.25">
      <c r="A10069" t="str">
        <f>T("   210500")</f>
        <v xml:space="preserve">   210500</v>
      </c>
      <c r="B10069" t="str">
        <f>T("   GLACES DE CONSOMMATION, MEME CONTENANT DU CACAO.")</f>
        <v xml:space="preserve">   GLACES DE CONSOMMATION, MEME CONTENANT DU CACAO.</v>
      </c>
      <c r="C10069" s="4">
        <v>3540746</v>
      </c>
      <c r="D10069" s="4">
        <v>1045801416</v>
      </c>
    </row>
    <row r="10070" spans="1:4" x14ac:dyDescent="0.25">
      <c r="A10070" t="str">
        <f>T("   210610")</f>
        <v xml:space="preserve">   210610</v>
      </c>
      <c r="B10070" t="str">
        <f>T("   CONCENTRATS DE PROTEINES ET SUBSTANCES PROTEIQUES TEXTUREES")</f>
        <v xml:space="preserve">   CONCENTRATS DE PROTEINES ET SUBSTANCES PROTEIQUES TEXTUREES</v>
      </c>
      <c r="C10070" s="4">
        <v>10270</v>
      </c>
      <c r="D10070" s="4">
        <v>2352553</v>
      </c>
    </row>
    <row r="10071" spans="1:4" x14ac:dyDescent="0.25">
      <c r="A10071" t="str">
        <f>T("   210690")</f>
        <v xml:space="preserve">   210690</v>
      </c>
      <c r="B10071" t="str">
        <f>T("   AUTRES")</f>
        <v xml:space="preserve">   AUTRES</v>
      </c>
      <c r="C10071" s="4">
        <v>3500</v>
      </c>
      <c r="D10071" s="4">
        <v>2298237</v>
      </c>
    </row>
    <row r="10072" spans="1:4" x14ac:dyDescent="0.25">
      <c r="A10072" t="str">
        <f>T("   220110")</f>
        <v xml:space="preserve">   220110</v>
      </c>
      <c r="B10072" t="str">
        <f>T("   EAUX MINERALES ET EAUX GAZEIFIEES")</f>
        <v xml:space="preserve">   EAUX MINERALES ET EAUX GAZEIFIEES</v>
      </c>
      <c r="C10072" s="4">
        <v>693435</v>
      </c>
      <c r="D10072" s="4">
        <v>59570885</v>
      </c>
    </row>
    <row r="10073" spans="1:4" x14ac:dyDescent="0.25">
      <c r="A10073" t="str">
        <f>T("   220210")</f>
        <v xml:space="preserve">   220210</v>
      </c>
      <c r="B10073" t="str">
        <f>T("   EAUX, Y COMPRIS LES EAUX MINERALES ET LES EAUX GAZEIFIEES, ADDITIONNEES DE SUCRE OU D")</f>
        <v xml:space="preserve">   EAUX, Y COMPRIS LES EAUX MINERALES ET LES EAUX GAZEIFIEES, ADDITIONNEES DE SUCRE OU D</v>
      </c>
      <c r="C10073" s="4">
        <v>4402300</v>
      </c>
      <c r="D10073" s="4">
        <v>1388376149</v>
      </c>
    </row>
    <row r="10074" spans="1:4" x14ac:dyDescent="0.25">
      <c r="A10074" t="str">
        <f>T("   220290")</f>
        <v xml:space="preserve">   220290</v>
      </c>
      <c r="B10074" t="str">
        <f>T("   AUTRES")</f>
        <v xml:space="preserve">   AUTRES</v>
      </c>
      <c r="C10074" s="4">
        <v>2410241</v>
      </c>
      <c r="D10074" s="4">
        <v>200172239</v>
      </c>
    </row>
    <row r="10075" spans="1:4" x14ac:dyDescent="0.25">
      <c r="A10075" t="str">
        <f>T("   220300")</f>
        <v xml:space="preserve">   220300</v>
      </c>
      <c r="B10075" t="str">
        <f>T("   BIERES DE MALT.")</f>
        <v xml:space="preserve">   BIERES DE MALT.</v>
      </c>
      <c r="C10075" s="4">
        <v>4333162</v>
      </c>
      <c r="D10075" s="4">
        <v>783227768</v>
      </c>
    </row>
    <row r="10076" spans="1:4" x14ac:dyDescent="0.25">
      <c r="A10076" t="str">
        <f>T("   220410")</f>
        <v xml:space="preserve">   220410</v>
      </c>
      <c r="B10076" t="str">
        <f>T("   Vins mousseux")</f>
        <v xml:space="preserve">   Vins mousseux</v>
      </c>
      <c r="C10076" s="4">
        <v>14770</v>
      </c>
      <c r="D10076" s="4">
        <v>3815259</v>
      </c>
    </row>
    <row r="10077" spans="1:4" x14ac:dyDescent="0.25">
      <c r="A10077" t="str">
        <f>T("   220421")</f>
        <v xml:space="preserve">   220421</v>
      </c>
      <c r="B10077" t="str">
        <f>T("   EN RECIPIENTS D'UNE CONTENANCE N'EXCEDANT PAS 2 L")</f>
        <v xml:space="preserve">   EN RECIPIENTS D'UNE CONTENANCE N'EXCEDANT PAS 2 L</v>
      </c>
      <c r="C10077" s="4">
        <v>92452</v>
      </c>
      <c r="D10077" s="4">
        <v>25103547</v>
      </c>
    </row>
    <row r="10078" spans="1:4" x14ac:dyDescent="0.25">
      <c r="A10078" t="str">
        <f>T("   220429")</f>
        <v xml:space="preserve">   220429</v>
      </c>
      <c r="B10078" t="str">
        <f>T("   AUTRES")</f>
        <v xml:space="preserve">   AUTRES</v>
      </c>
      <c r="C10078" s="4">
        <v>302193</v>
      </c>
      <c r="D10078" s="4">
        <v>45972778</v>
      </c>
    </row>
    <row r="10079" spans="1:4" x14ac:dyDescent="0.25">
      <c r="A10079" t="str">
        <f>T("   220590")</f>
        <v xml:space="preserve">   220590</v>
      </c>
      <c r="B10079" t="str">
        <f>T("   AUTRES")</f>
        <v xml:space="preserve">   AUTRES</v>
      </c>
      <c r="C10079" s="4">
        <v>30000</v>
      </c>
      <c r="D10079" s="4">
        <v>6501890</v>
      </c>
    </row>
    <row r="10080" spans="1:4" x14ac:dyDescent="0.25">
      <c r="A10080" t="str">
        <f>T("   220600")</f>
        <v xml:space="preserve">   220600</v>
      </c>
      <c r="B10080" t="str">
        <f>T("   AUTRES BOISSONS FERMENTEES (CIDRE, POIRE, HYDROMEL, PAR EXEMPLE); MELANGES DE BOISSONS")</f>
        <v xml:space="preserve">   AUTRES BOISSONS FERMENTEES (CIDRE, POIRE, HYDROMEL, PAR EXEMPLE); MELANGES DE BOISSONS</v>
      </c>
      <c r="C10080" s="4">
        <v>16630</v>
      </c>
      <c r="D10080" s="4">
        <v>4156735</v>
      </c>
    </row>
    <row r="10081" spans="1:4" x14ac:dyDescent="0.25">
      <c r="A10081" t="str">
        <f>T("   220710")</f>
        <v xml:space="preserve">   220710</v>
      </c>
      <c r="B10081" t="str">
        <f>T("   ALCOOL ETHYLIQUE NON DENATURE D'UN TITRE ALCOOMETRIQUE +VOLUMIQUE DE 80 % VOL OU PLUS")</f>
        <v xml:space="preserve">   ALCOOL ETHYLIQUE NON DENATURE D'UN TITRE ALCOOMETRIQUE +VOLUMIQUE DE 80 % VOL OU PLUS</v>
      </c>
      <c r="C10081" s="4">
        <v>17150</v>
      </c>
      <c r="D10081" s="4">
        <v>4261589</v>
      </c>
    </row>
    <row r="10082" spans="1:4" x14ac:dyDescent="0.25">
      <c r="A10082" t="str">
        <f>T("   220810")</f>
        <v xml:space="preserve">   220810</v>
      </c>
      <c r="B10082" t="str">
        <f>T("   PREPARATIONS ALCOOLIQUES COMPOSEES POUR FABRICATION DES BOISSONS")</f>
        <v xml:space="preserve">   PREPARATIONS ALCOOLIQUES COMPOSEES POUR FABRICATION DES BOISSONS</v>
      </c>
      <c r="C10082" s="4">
        <v>1060</v>
      </c>
      <c r="D10082" s="4">
        <v>71832</v>
      </c>
    </row>
    <row r="10083" spans="1:4" x14ac:dyDescent="0.25">
      <c r="A10083" t="str">
        <f>T("   220830")</f>
        <v xml:space="preserve">   220830</v>
      </c>
      <c r="B10083" t="str">
        <f>T("   Whiskies")</f>
        <v xml:space="preserve">   Whiskies</v>
      </c>
      <c r="C10083" s="4">
        <v>106650</v>
      </c>
      <c r="D10083" s="4">
        <v>12479516</v>
      </c>
    </row>
    <row r="10084" spans="1:4" x14ac:dyDescent="0.25">
      <c r="A10084" t="str">
        <f>T("   220840")</f>
        <v xml:space="preserve">   220840</v>
      </c>
      <c r="B10084" t="str">
        <f>T("   RHUM ET AUTRES EAUXDEVIE PROVENANT DE LA DISTILLATION, APRES FERMENTATION, DE PRODU")</f>
        <v xml:space="preserve">   RHUM ET AUTRES EAUXDEVIE PROVENANT DE LA DISTILLATION, APRES FERMENTATION, DE PRODU</v>
      </c>
      <c r="C10084" s="4">
        <v>21340</v>
      </c>
      <c r="D10084" s="4">
        <v>2944692</v>
      </c>
    </row>
    <row r="10085" spans="1:4" x14ac:dyDescent="0.25">
      <c r="A10085" t="str">
        <f>T("   220850")</f>
        <v xml:space="preserve">   220850</v>
      </c>
      <c r="B10085" t="str">
        <f>T("   GIN ET GENIEVRE")</f>
        <v xml:space="preserve">   GIN ET GENIEVRE</v>
      </c>
      <c r="C10085" s="4">
        <v>125240</v>
      </c>
      <c r="D10085" s="4">
        <v>16956273</v>
      </c>
    </row>
    <row r="10086" spans="1:4" x14ac:dyDescent="0.25">
      <c r="A10086" t="str">
        <f>T("   220870")</f>
        <v xml:space="preserve">   220870</v>
      </c>
      <c r="B10086" t="str">
        <f>T("   LIQUEURS")</f>
        <v xml:space="preserve">   LIQUEURS</v>
      </c>
      <c r="C10086" s="4">
        <v>231638</v>
      </c>
      <c r="D10086" s="4">
        <v>25844519</v>
      </c>
    </row>
    <row r="10087" spans="1:4" x14ac:dyDescent="0.25">
      <c r="A10087" t="str">
        <f>T("   220890")</f>
        <v xml:space="preserve">   220890</v>
      </c>
      <c r="B10087" t="str">
        <f>T("   AUTRES")</f>
        <v xml:space="preserve">   AUTRES</v>
      </c>
      <c r="C10087" s="4">
        <v>414497</v>
      </c>
      <c r="D10087" s="4">
        <v>53460598</v>
      </c>
    </row>
    <row r="10088" spans="1:4" x14ac:dyDescent="0.25">
      <c r="A10088" t="str">
        <f>T("   220900")</f>
        <v xml:space="preserve">   220900</v>
      </c>
      <c r="B10088" t="str">
        <f>T("   VINAIGRES COMESTIBLES ET SUCCEDANES DE VINAIGRE COMESTIBLES OBTENUS A PARTIR D'ACIDE AC")</f>
        <v xml:space="preserve">   VINAIGRES COMESTIBLES ET SUCCEDANES DE VINAIGRE COMESTIBLES OBTENUS A PARTIR D'ACIDE AC</v>
      </c>
      <c r="C10088" s="4">
        <v>850</v>
      </c>
      <c r="D10088" s="4">
        <v>151594</v>
      </c>
    </row>
    <row r="10089" spans="1:4" x14ac:dyDescent="0.25">
      <c r="A10089" t="str">
        <f>T("   230230")</f>
        <v xml:space="preserve">   230230</v>
      </c>
      <c r="B10089" t="str">
        <f>T("   DE FROMENT")</f>
        <v xml:space="preserve">   DE FROMENT</v>
      </c>
      <c r="C10089" s="4">
        <v>3093740</v>
      </c>
      <c r="D10089" s="4">
        <v>147555000</v>
      </c>
    </row>
    <row r="10090" spans="1:4" x14ac:dyDescent="0.25">
      <c r="A10090" t="str">
        <f>T("   230240")</f>
        <v xml:space="preserve">   230240</v>
      </c>
      <c r="B10090" t="str">
        <f>T("   D'AUTRES CEREALES")</f>
        <v xml:space="preserve">   D'AUTRES CEREALES</v>
      </c>
      <c r="C10090" s="4">
        <v>138790</v>
      </c>
      <c r="D10090" s="4">
        <v>6005373</v>
      </c>
    </row>
    <row r="10091" spans="1:4" x14ac:dyDescent="0.25">
      <c r="A10091" t="str">
        <f>T("   230310")</f>
        <v xml:space="preserve">   230310</v>
      </c>
      <c r="B10091" t="str">
        <f>T("   RESIDUS D'AMIDONNERIE ET RESIDUS SIMILAIRES")</f>
        <v xml:space="preserve">   RESIDUS D'AMIDONNERIE ET RESIDUS SIMILAIRES</v>
      </c>
      <c r="C10091" s="4">
        <v>20000</v>
      </c>
      <c r="D10091" s="4">
        <v>800000</v>
      </c>
    </row>
    <row r="10092" spans="1:4" x14ac:dyDescent="0.25">
      <c r="A10092" t="str">
        <f>T("   230400")</f>
        <v xml:space="preserve">   230400</v>
      </c>
      <c r="B10092" t="str">
        <f>T("   TOURTEAUX ET AUTRES RESIDUS SOLIDES, MEME BROYES OU AGGLOMERES SOUS FORME DE PELLETS, D")</f>
        <v xml:space="preserve">   TOURTEAUX ET AUTRES RESIDUS SOLIDES, MEME BROYES OU AGGLOMERES SOUS FORME DE PELLETS, D</v>
      </c>
      <c r="C10092" s="4">
        <v>38200</v>
      </c>
      <c r="D10092" s="4">
        <v>707964</v>
      </c>
    </row>
    <row r="10093" spans="1:4" x14ac:dyDescent="0.25">
      <c r="A10093" t="str">
        <f>T("   230610")</f>
        <v xml:space="preserve">   230610</v>
      </c>
      <c r="B10093" t="str">
        <f>T("   DE GRAINES DE COTON")</f>
        <v xml:space="preserve">   DE GRAINES DE COTON</v>
      </c>
      <c r="C10093" s="4">
        <v>62160</v>
      </c>
      <c r="D10093" s="4">
        <v>7645000</v>
      </c>
    </row>
    <row r="10094" spans="1:4" x14ac:dyDescent="0.25">
      <c r="A10094" t="str">
        <f>T("   230650")</f>
        <v xml:space="preserve">   230650</v>
      </c>
      <c r="B10094" t="str">
        <f>T("   DE NOIX DE COCO OU DE COPRAH")</f>
        <v xml:space="preserve">   DE NOIX DE COCO OU DE COPRAH</v>
      </c>
      <c r="C10094" s="4">
        <v>54220</v>
      </c>
      <c r="D10094" s="4">
        <v>2798578</v>
      </c>
    </row>
    <row r="10095" spans="1:4" x14ac:dyDescent="0.25">
      <c r="A10095" t="str">
        <f>T("   230660")</f>
        <v xml:space="preserve">   230660</v>
      </c>
      <c r="B10095" t="str">
        <f>T("   DE NOIX OU D'AMANDES DE PALMISTE")</f>
        <v xml:space="preserve">   DE NOIX OU D'AMANDES DE PALMISTE</v>
      </c>
      <c r="C10095" s="4">
        <v>18400</v>
      </c>
      <c r="D10095" s="4">
        <v>318584</v>
      </c>
    </row>
    <row r="10096" spans="1:4" x14ac:dyDescent="0.25">
      <c r="A10096" t="str">
        <f>T("   230690")</f>
        <v xml:space="preserve">   230690</v>
      </c>
      <c r="B10096" t="str">
        <f>T("   AUTRES")</f>
        <v xml:space="preserve">   AUTRES</v>
      </c>
      <c r="C10096" s="4">
        <v>50000</v>
      </c>
      <c r="D10096" s="4">
        <v>2000000</v>
      </c>
    </row>
    <row r="10097" spans="1:4" x14ac:dyDescent="0.25">
      <c r="A10097" t="str">
        <f>T("   230800")</f>
        <v xml:space="preserve">   230800</v>
      </c>
      <c r="B10097" t="str">
        <f>T("   MATIERES VEGETALES ET DECHETS VEGETAUX, RESIDUS ET SOUSPRODUITS VEGETAUX, MEME AGGLOME")</f>
        <v xml:space="preserve">   MATIERES VEGETALES ET DECHETS VEGETAUX, RESIDUS ET SOUSPRODUITS VEGETAUX, MEME AGGLOME</v>
      </c>
      <c r="C10097" s="4">
        <v>12980</v>
      </c>
      <c r="D10097" s="4">
        <v>1491184</v>
      </c>
    </row>
    <row r="10098" spans="1:4" x14ac:dyDescent="0.25">
      <c r="A10098" t="str">
        <f>T("   230910")</f>
        <v xml:space="preserve">   230910</v>
      </c>
      <c r="B10098" t="str">
        <f>T("   ALIMENTS POUR CHIENS OU CHATS, CONDITIONNES POUR LA VENTE AU DETAIL")</f>
        <v xml:space="preserve">   ALIMENTS POUR CHIENS OU CHATS, CONDITIONNES POUR LA VENTE AU DETAIL</v>
      </c>
      <c r="C10098" s="4">
        <v>15050</v>
      </c>
      <c r="D10098" s="4">
        <v>4265960</v>
      </c>
    </row>
    <row r="10099" spans="1:4" x14ac:dyDescent="0.25">
      <c r="A10099" t="str">
        <f>T("   230990")</f>
        <v xml:space="preserve">   230990</v>
      </c>
      <c r="B10099" t="str">
        <f>T("   AUTRES")</f>
        <v xml:space="preserve">   AUTRES</v>
      </c>
      <c r="C10099" s="4">
        <v>82150</v>
      </c>
      <c r="D10099" s="4">
        <v>21331732</v>
      </c>
    </row>
    <row r="10100" spans="1:4" x14ac:dyDescent="0.25">
      <c r="A10100" t="str">
        <f>T("   240220")</f>
        <v xml:space="preserve">   240220</v>
      </c>
      <c r="B10100" t="str">
        <f>T("   Cigarettes contenant du tabac")</f>
        <v xml:space="preserve">   Cigarettes contenant du tabac</v>
      </c>
      <c r="C10100" s="4">
        <v>55100</v>
      </c>
      <c r="D10100" s="4">
        <v>23385000</v>
      </c>
    </row>
    <row r="10101" spans="1:4" x14ac:dyDescent="0.25">
      <c r="A10101" t="str">
        <f>T("   240290")</f>
        <v xml:space="preserve">   240290</v>
      </c>
      <c r="B10101" t="str">
        <f>T("   AUTRES")</f>
        <v xml:space="preserve">   AUTRES</v>
      </c>
      <c r="C10101" s="4">
        <v>8400</v>
      </c>
      <c r="D10101" s="4">
        <v>7791000</v>
      </c>
    </row>
    <row r="10102" spans="1:4" x14ac:dyDescent="0.25">
      <c r="A10102" t="str">
        <f>T("   250100")</f>
        <v xml:space="preserve">   250100</v>
      </c>
      <c r="B10102" t="str">
        <f>T("   SEL (Y COMPRIS LE SEL PREPARE POUR LA TABLE ET LE SEL DENATURE) ET CHLORURE DE SODIUM P")</f>
        <v xml:space="preserve">   SEL (Y COMPRIS LE SEL PREPARE POUR LA TABLE ET LE SEL DENATURE) ET CHLORURE DE SODIUM P</v>
      </c>
      <c r="C10102" s="4">
        <v>2931685</v>
      </c>
      <c r="D10102" s="4">
        <v>103325336</v>
      </c>
    </row>
    <row r="10103" spans="1:4" x14ac:dyDescent="0.25">
      <c r="A10103" t="str">
        <f>T("   250810")</f>
        <v xml:space="preserve">   250810</v>
      </c>
      <c r="B10103" t="str">
        <f>T("   BENTONITE")</f>
        <v xml:space="preserve">   BENTONITE</v>
      </c>
      <c r="C10103" s="4">
        <v>1500</v>
      </c>
      <c r="D10103" s="4">
        <v>105539</v>
      </c>
    </row>
    <row r="10104" spans="1:4" x14ac:dyDescent="0.25">
      <c r="A10104" t="str">
        <f>T("   251512")</f>
        <v xml:space="preserve">   251512</v>
      </c>
      <c r="B10104" t="str">
        <f>T("   SIMPLEMENT DEBITES, PAR SCIAGE OU AUTREMENT, EN BLOCS OU EN PLAQUES DE FORME CARREE")</f>
        <v xml:space="preserve">   SIMPLEMENT DEBITES, PAR SCIAGE OU AUTREMENT, EN BLOCS OU EN PLAQUES DE FORME CARREE</v>
      </c>
      <c r="C10104" s="4">
        <v>200</v>
      </c>
      <c r="D10104" s="4">
        <v>35180</v>
      </c>
    </row>
    <row r="10105" spans="1:4" x14ac:dyDescent="0.25">
      <c r="A10105" t="str">
        <f>T("   251611")</f>
        <v xml:space="preserve">   251611</v>
      </c>
      <c r="B10105" t="str">
        <f>T("   BRUT OU DEGROSSI")</f>
        <v xml:space="preserve">   BRUT OU DEGROSSI</v>
      </c>
      <c r="C10105" s="4">
        <v>10000</v>
      </c>
      <c r="D10105" s="4">
        <v>123134</v>
      </c>
    </row>
    <row r="10106" spans="1:4" x14ac:dyDescent="0.25">
      <c r="A10106" t="str">
        <f>T("   251690")</f>
        <v xml:space="preserve">   251690</v>
      </c>
      <c r="B10106" t="str">
        <f>T("   AUTRES PIERRES DE TAILLE OU DE CONSTRUCTION")</f>
        <v xml:space="preserve">   AUTRES PIERRES DE TAILLE OU DE CONSTRUCTION</v>
      </c>
      <c r="C10106" s="4">
        <v>1500</v>
      </c>
      <c r="D10106" s="4">
        <v>393912</v>
      </c>
    </row>
    <row r="10107" spans="1:4" x14ac:dyDescent="0.25">
      <c r="A10107" t="str">
        <f>T("   251710")</f>
        <v xml:space="preserve">   251710</v>
      </c>
      <c r="B10107" t="str">
        <f>T("   CAILLOUX, GRAVIERS, PIERRES CONCASSEES, DES TYPES GENERALEMENT UTILISES POUR LE BETON")</f>
        <v xml:space="preserve">   CAILLOUX, GRAVIERS, PIERRES CONCASSEES, DES TYPES GENERALEMENT UTILISES POUR LE BETON</v>
      </c>
      <c r="C10107" s="4">
        <v>685020</v>
      </c>
      <c r="D10107" s="4">
        <v>1383130</v>
      </c>
    </row>
    <row r="10108" spans="1:4" x14ac:dyDescent="0.25">
      <c r="A10108" t="str">
        <f>T("   251749")</f>
        <v xml:space="preserve">   251749</v>
      </c>
      <c r="B10108" t="str">
        <f>T("   AUTRES")</f>
        <v xml:space="preserve">   AUTRES</v>
      </c>
      <c r="C10108" s="4">
        <v>1000</v>
      </c>
      <c r="D10108" s="4">
        <v>214861</v>
      </c>
    </row>
    <row r="10109" spans="1:4" x14ac:dyDescent="0.25">
      <c r="A10109" t="str">
        <f>T("   252310")</f>
        <v xml:space="preserve">   252310</v>
      </c>
      <c r="B10109" t="str">
        <f>T("   CIMENTS NON PULVERISES DITS «CLINKERS»")</f>
        <v xml:space="preserve">   CIMENTS NON PULVERISES DITS «CLINKERS»</v>
      </c>
      <c r="C10109" s="4">
        <v>3161933.31</v>
      </c>
      <c r="D10109" s="4">
        <v>110667665</v>
      </c>
    </row>
    <row r="10110" spans="1:4" x14ac:dyDescent="0.25">
      <c r="A10110" t="str">
        <f>T("   252329")</f>
        <v xml:space="preserve">   252329</v>
      </c>
      <c r="B10110" t="str">
        <f>T("   AUTRES")</f>
        <v xml:space="preserve">   AUTRES</v>
      </c>
      <c r="C10110" s="4">
        <v>11970000</v>
      </c>
      <c r="D10110" s="4">
        <v>718200000</v>
      </c>
    </row>
    <row r="10111" spans="1:4" x14ac:dyDescent="0.25">
      <c r="A10111" t="str">
        <f>T("   252390")</f>
        <v xml:space="preserve">   252390</v>
      </c>
      <c r="B10111" t="str">
        <f>T("   AUTRES CIMENTS HYDRAULIQUES")</f>
        <v xml:space="preserve">   AUTRES CIMENTS HYDRAULIQUES</v>
      </c>
      <c r="C10111" s="4">
        <v>1500</v>
      </c>
      <c r="D10111" s="4">
        <v>500000</v>
      </c>
    </row>
    <row r="10112" spans="1:4" x14ac:dyDescent="0.25">
      <c r="A10112" t="str">
        <f>T("   253090")</f>
        <v xml:space="preserve">   253090</v>
      </c>
      <c r="B10112" t="str">
        <f>T("   AUTRES")</f>
        <v xml:space="preserve">   AUTRES</v>
      </c>
      <c r="C10112" s="4">
        <v>3175</v>
      </c>
      <c r="D10112" s="4">
        <v>1214051</v>
      </c>
    </row>
    <row r="10113" spans="1:4" x14ac:dyDescent="0.25">
      <c r="A10113" t="str">
        <f>T("   270119")</f>
        <v xml:space="preserve">   270119</v>
      </c>
      <c r="B10113" t="str">
        <f>T("   AUTRES HOUILLES")</f>
        <v xml:space="preserve">   AUTRES HOUILLES</v>
      </c>
      <c r="C10113" s="4">
        <v>32320</v>
      </c>
      <c r="D10113" s="4">
        <v>42294186</v>
      </c>
    </row>
    <row r="10114" spans="1:4" x14ac:dyDescent="0.25">
      <c r="A10114" t="str">
        <f>T("   271011")</f>
        <v xml:space="preserve">   271011</v>
      </c>
      <c r="B10114" t="str">
        <f>T("   HUILLES DE PETROLE OU D'ESSENCE")</f>
        <v xml:space="preserve">   HUILLES DE PETROLE OU D'ESSENCE</v>
      </c>
      <c r="C10114" s="4">
        <v>2792329</v>
      </c>
      <c r="D10114" s="4">
        <v>865473646</v>
      </c>
    </row>
    <row r="10115" spans="1:4" x14ac:dyDescent="0.25">
      <c r="A10115" t="str">
        <f>T("   271019")</f>
        <v xml:space="preserve">   271019</v>
      </c>
      <c r="B10115" t="str">
        <f>T("   AUTRES")</f>
        <v xml:space="preserve">   AUTRES</v>
      </c>
      <c r="C10115" s="4">
        <v>31400909</v>
      </c>
      <c r="D10115" s="4">
        <v>11230552195</v>
      </c>
    </row>
    <row r="10116" spans="1:4" x14ac:dyDescent="0.25">
      <c r="A10116" t="str">
        <f>T("   271112")</f>
        <v xml:space="preserve">   271112</v>
      </c>
      <c r="B10116" t="str">
        <f>T("   PROPANE")</f>
        <v xml:space="preserve">   PROPANE</v>
      </c>
      <c r="C10116" s="4">
        <v>1157</v>
      </c>
      <c r="D10116" s="4">
        <v>6008990</v>
      </c>
    </row>
    <row r="10117" spans="1:4" x14ac:dyDescent="0.25">
      <c r="A10117" t="str">
        <f>T("   271113")</f>
        <v xml:space="preserve">   271113</v>
      </c>
      <c r="B10117" t="str">
        <f>T("   BUTANES")</f>
        <v xml:space="preserve">   BUTANES</v>
      </c>
      <c r="C10117" s="4">
        <v>1069991</v>
      </c>
      <c r="D10117" s="4">
        <v>374496850</v>
      </c>
    </row>
    <row r="10118" spans="1:4" x14ac:dyDescent="0.25">
      <c r="A10118" t="str">
        <f>T("   271119")</f>
        <v xml:space="preserve">   271119</v>
      </c>
      <c r="B10118" t="str">
        <f>T("   AUTRES")</f>
        <v xml:space="preserve">   AUTRES</v>
      </c>
      <c r="C10118" s="4">
        <v>6570</v>
      </c>
      <c r="D10118" s="4">
        <v>1846969</v>
      </c>
    </row>
    <row r="10119" spans="1:4" x14ac:dyDescent="0.25">
      <c r="A10119" t="str">
        <f>T("   271129")</f>
        <v xml:space="preserve">   271129</v>
      </c>
      <c r="B10119" t="str">
        <f>T("   AUTRES")</f>
        <v xml:space="preserve">   AUTRES</v>
      </c>
      <c r="C10119" s="4">
        <v>888</v>
      </c>
      <c r="D10119" s="4">
        <v>622073</v>
      </c>
    </row>
    <row r="10120" spans="1:4" x14ac:dyDescent="0.25">
      <c r="A10120" t="str">
        <f>T("   271320")</f>
        <v xml:space="preserve">   271320</v>
      </c>
      <c r="B10120" t="str">
        <f>T("   BITUME DE PETROLE")</f>
        <v xml:space="preserve">   BITUME DE PETROLE</v>
      </c>
      <c r="C10120" s="4">
        <v>4073260</v>
      </c>
      <c r="D10120" s="4">
        <v>1608954943</v>
      </c>
    </row>
    <row r="10121" spans="1:4" x14ac:dyDescent="0.25">
      <c r="A10121" t="str">
        <f>T("   271600")</f>
        <v xml:space="preserve">   271600</v>
      </c>
      <c r="B10121" t="str">
        <f>T("   ENERGIE ELECTRIQUE. (POSITION FACULTATIVE)")</f>
        <v xml:space="preserve">   ENERGIE ELECTRIQUE. (POSITION FACULTATIVE)</v>
      </c>
      <c r="C10121" s="4">
        <v>0</v>
      </c>
      <c r="D10121" s="4">
        <v>67125162978</v>
      </c>
    </row>
    <row r="10122" spans="1:4" x14ac:dyDescent="0.25">
      <c r="A10122" t="str">
        <f>T("   280410")</f>
        <v xml:space="preserve">   280410</v>
      </c>
      <c r="B10122" t="str">
        <f>T("   HYDROGENE")</f>
        <v xml:space="preserve">   HYDROGENE</v>
      </c>
      <c r="C10122" s="4">
        <v>1856</v>
      </c>
      <c r="D10122" s="4">
        <v>1475662</v>
      </c>
    </row>
    <row r="10123" spans="1:4" x14ac:dyDescent="0.25">
      <c r="A10123" t="str">
        <f>T("   280429")</f>
        <v xml:space="preserve">   280429</v>
      </c>
      <c r="B10123" t="str">
        <f>T("   AUTRES")</f>
        <v xml:space="preserve">   AUTRES</v>
      </c>
      <c r="C10123" s="4">
        <v>2169</v>
      </c>
      <c r="D10123" s="4">
        <v>1586433</v>
      </c>
    </row>
    <row r="10124" spans="1:4" x14ac:dyDescent="0.25">
      <c r="A10124" t="str">
        <f>T("   280430")</f>
        <v xml:space="preserve">   280430</v>
      </c>
      <c r="B10124" t="str">
        <f>T("   Azote")</f>
        <v xml:space="preserve">   Azote</v>
      </c>
      <c r="C10124" s="4">
        <v>13289</v>
      </c>
      <c r="D10124" s="4">
        <v>11500191</v>
      </c>
    </row>
    <row r="10125" spans="1:4" x14ac:dyDescent="0.25">
      <c r="A10125" t="str">
        <f>T("   280440")</f>
        <v xml:space="preserve">   280440</v>
      </c>
      <c r="B10125" t="str">
        <f>T("   OXYGENE")</f>
        <v xml:space="preserve">   OXYGENE</v>
      </c>
      <c r="C10125" s="4">
        <v>16539</v>
      </c>
      <c r="D10125" s="4">
        <v>3568036</v>
      </c>
    </row>
    <row r="10126" spans="1:4" x14ac:dyDescent="0.25">
      <c r="A10126" t="str">
        <f>T("   280469")</f>
        <v xml:space="preserve">   280469</v>
      </c>
      <c r="B10126" t="str">
        <f>T("   AUTRE")</f>
        <v xml:space="preserve">   AUTRE</v>
      </c>
      <c r="C10126" s="4">
        <v>54922</v>
      </c>
      <c r="D10126" s="4">
        <v>25150952</v>
      </c>
    </row>
    <row r="10127" spans="1:4" x14ac:dyDescent="0.25">
      <c r="A10127" t="str">
        <f>T("   280610")</f>
        <v xml:space="preserve">   280610</v>
      </c>
      <c r="B10127" t="str">
        <f>T("   CHLORURE D'HYDROGENE (ACIDE CHLORHYDRIQUE)")</f>
        <v xml:space="preserve">   CHLORURE D'HYDROGENE (ACIDE CHLORHYDRIQUE)</v>
      </c>
      <c r="C10127" s="4">
        <v>3756</v>
      </c>
      <c r="D10127" s="4">
        <v>833577</v>
      </c>
    </row>
    <row r="10128" spans="1:4" x14ac:dyDescent="0.25">
      <c r="A10128" t="str">
        <f>T("   281511")</f>
        <v xml:space="preserve">   281511</v>
      </c>
      <c r="B10128" t="str">
        <f>T("   SOLIDE")</f>
        <v xml:space="preserve">   SOLIDE</v>
      </c>
      <c r="C10128" s="4">
        <v>500</v>
      </c>
      <c r="D10128" s="4">
        <v>66215</v>
      </c>
    </row>
    <row r="10129" spans="1:4" x14ac:dyDescent="0.25">
      <c r="A10129" t="str">
        <f>T("   282810")</f>
        <v xml:space="preserve">   282810</v>
      </c>
      <c r="B10129" t="str">
        <f>T("   Hypochlorite de calcium du commerce et autres hypochlorites de calcium")</f>
        <v xml:space="preserve">   Hypochlorite de calcium du commerce et autres hypochlorites de calcium</v>
      </c>
      <c r="C10129" s="4">
        <v>1125</v>
      </c>
      <c r="D10129" s="4">
        <v>540533</v>
      </c>
    </row>
    <row r="10130" spans="1:4" x14ac:dyDescent="0.25">
      <c r="A10130" t="str">
        <f>T("   282890")</f>
        <v xml:space="preserve">   282890</v>
      </c>
      <c r="B10130" t="str">
        <f>T("   AUTRES")</f>
        <v xml:space="preserve">   AUTRES</v>
      </c>
      <c r="C10130" s="4">
        <v>54290</v>
      </c>
      <c r="D10130" s="4">
        <v>12020184</v>
      </c>
    </row>
    <row r="10131" spans="1:4" x14ac:dyDescent="0.25">
      <c r="A10131" t="str">
        <f>T("   283329")</f>
        <v xml:space="preserve">   283329</v>
      </c>
      <c r="B10131" t="str">
        <f>T("   AUTRES")</f>
        <v xml:space="preserve">   AUTRES</v>
      </c>
      <c r="C10131" s="4">
        <v>69200</v>
      </c>
      <c r="D10131" s="4">
        <v>3100000</v>
      </c>
    </row>
    <row r="10132" spans="1:4" x14ac:dyDescent="0.25">
      <c r="A10132" t="str">
        <f>T("   283699")</f>
        <v xml:space="preserve">   283699</v>
      </c>
      <c r="B10132" t="str">
        <f>T("   AUTRES")</f>
        <v xml:space="preserve">   AUTRES</v>
      </c>
      <c r="C10132" s="4">
        <v>1696</v>
      </c>
      <c r="D10132" s="4">
        <v>336661</v>
      </c>
    </row>
    <row r="10133" spans="1:4" x14ac:dyDescent="0.25">
      <c r="A10133" t="str">
        <f>T("   284290")</f>
        <v xml:space="preserve">   284290</v>
      </c>
      <c r="B10133" t="str">
        <f>T("   AUTRES")</f>
        <v xml:space="preserve">   AUTRES</v>
      </c>
      <c r="C10133" s="4">
        <v>425</v>
      </c>
      <c r="D10133" s="4">
        <v>145000</v>
      </c>
    </row>
    <row r="10134" spans="1:4" x14ac:dyDescent="0.25">
      <c r="A10134" t="str">
        <f>T("   284910")</f>
        <v xml:space="preserve">   284910</v>
      </c>
      <c r="B10134" t="str">
        <f>T("   DE CALCIUM")</f>
        <v xml:space="preserve">   DE CALCIUM</v>
      </c>
      <c r="C10134" s="4">
        <v>41650</v>
      </c>
      <c r="D10134" s="4">
        <v>9811997</v>
      </c>
    </row>
    <row r="10135" spans="1:4" x14ac:dyDescent="0.25">
      <c r="A10135" t="str">
        <f>T("   284990")</f>
        <v xml:space="preserve">   284990</v>
      </c>
      <c r="B10135" t="str">
        <f>T("   AUTRES")</f>
        <v xml:space="preserve">   AUTRES</v>
      </c>
      <c r="C10135" s="4">
        <v>2000</v>
      </c>
      <c r="D10135" s="4">
        <v>250671</v>
      </c>
    </row>
    <row r="10136" spans="1:4" x14ac:dyDescent="0.25">
      <c r="A10136" t="str">
        <f>T("   290110")</f>
        <v xml:space="preserve">   290110</v>
      </c>
      <c r="B10136" t="str">
        <f>T("   SATURES")</f>
        <v xml:space="preserve">   SATURES</v>
      </c>
      <c r="C10136" s="4">
        <v>20</v>
      </c>
      <c r="D10136" s="4">
        <v>16940</v>
      </c>
    </row>
    <row r="10137" spans="1:4" x14ac:dyDescent="0.25">
      <c r="A10137" t="str">
        <f>T("   290519")</f>
        <v xml:space="preserve">   290519</v>
      </c>
      <c r="B10137" t="str">
        <f>T("   AUTRES")</f>
        <v xml:space="preserve">   AUTRES</v>
      </c>
      <c r="C10137" s="4">
        <v>805</v>
      </c>
      <c r="D10137" s="4">
        <v>261415</v>
      </c>
    </row>
    <row r="10138" spans="1:4" x14ac:dyDescent="0.25">
      <c r="A10138" t="str">
        <f>T("   290532")</f>
        <v xml:space="preserve">   290532</v>
      </c>
      <c r="B10138" t="str">
        <f>T("   PROPYLENE GLYCOL (PROPANE1,2DIOL)")</f>
        <v xml:space="preserve">   PROPYLENE GLYCOL (PROPANE1,2DIOL)</v>
      </c>
      <c r="C10138" s="4">
        <v>100</v>
      </c>
      <c r="D10138" s="4">
        <v>6426634</v>
      </c>
    </row>
    <row r="10139" spans="1:4" x14ac:dyDescent="0.25">
      <c r="A10139" t="str">
        <f>T("   290545")</f>
        <v xml:space="preserve">   290545</v>
      </c>
      <c r="B10139" t="str">
        <f>T("   GLYCEROL")</f>
        <v xml:space="preserve">   GLYCEROL</v>
      </c>
      <c r="C10139" s="4">
        <v>2834</v>
      </c>
      <c r="D10139" s="4">
        <v>794899</v>
      </c>
    </row>
    <row r="10140" spans="1:4" x14ac:dyDescent="0.25">
      <c r="A10140" t="str">
        <f>T("   290549")</f>
        <v xml:space="preserve">   290549</v>
      </c>
      <c r="B10140" t="str">
        <f>T("   AUTRES")</f>
        <v xml:space="preserve">   AUTRES</v>
      </c>
      <c r="C10140" s="4">
        <v>7460</v>
      </c>
      <c r="D10140" s="4">
        <v>1821723</v>
      </c>
    </row>
    <row r="10141" spans="1:4" x14ac:dyDescent="0.25">
      <c r="A10141" t="str">
        <f>T("   291411")</f>
        <v xml:space="preserve">   291411</v>
      </c>
      <c r="B10141" t="str">
        <f>T("   ACETONE")</f>
        <v xml:space="preserve">   ACETONE</v>
      </c>
      <c r="C10141" s="4">
        <v>602</v>
      </c>
      <c r="D10141" s="4">
        <v>946161</v>
      </c>
    </row>
    <row r="10142" spans="1:4" x14ac:dyDescent="0.25">
      <c r="A10142" t="str">
        <f>T("   291440")</f>
        <v xml:space="preserve">   291440</v>
      </c>
      <c r="B10142" t="str">
        <f>T("   CETONESALCOOLS ET CETONESALDEHYDES")</f>
        <v xml:space="preserve">   CETONESALCOOLS ET CETONESALDEHYDES</v>
      </c>
      <c r="C10142" s="4">
        <v>730</v>
      </c>
      <c r="D10142" s="4">
        <v>1604780</v>
      </c>
    </row>
    <row r="10143" spans="1:4" x14ac:dyDescent="0.25">
      <c r="A10143" t="str">
        <f>T("   291511")</f>
        <v xml:space="preserve">   291511</v>
      </c>
      <c r="B10143" t="str">
        <f>T("   Acide formique")</f>
        <v xml:space="preserve">   Acide formique</v>
      </c>
      <c r="C10143" s="4">
        <v>6047</v>
      </c>
      <c r="D10143" s="4">
        <v>1264378</v>
      </c>
    </row>
    <row r="10144" spans="1:4" x14ac:dyDescent="0.25">
      <c r="A10144" t="str">
        <f>T("   291521")</f>
        <v xml:space="preserve">   291521</v>
      </c>
      <c r="B10144" t="str">
        <f>T("   ACIDE ACETIQUE")</f>
        <v xml:space="preserve">   ACIDE ACETIQUE</v>
      </c>
      <c r="C10144" s="4">
        <v>595</v>
      </c>
      <c r="D10144" s="4">
        <v>167500</v>
      </c>
    </row>
    <row r="10145" spans="1:4" x14ac:dyDescent="0.25">
      <c r="A10145" t="str">
        <f>T("   292242")</f>
        <v xml:space="preserve">   292242</v>
      </c>
      <c r="B10145" t="str">
        <f>T("   Acide glutamique et ses sels")</f>
        <v xml:space="preserve">   Acide glutamique et ses sels</v>
      </c>
      <c r="C10145" s="4">
        <v>362400</v>
      </c>
      <c r="D10145" s="4">
        <v>42256022</v>
      </c>
    </row>
    <row r="10146" spans="1:4" x14ac:dyDescent="0.25">
      <c r="A10146" t="str">
        <f>T("   293690")</f>
        <v xml:space="preserve">   293690</v>
      </c>
      <c r="B10146" t="str">
        <f>T("   AUTRES, Y COMPRIS LES CONCENTRATS NATURELS")</f>
        <v xml:space="preserve">   AUTRES, Y COMPRIS LES CONCENTRATS NATURELS</v>
      </c>
      <c r="C10146" s="4">
        <v>80</v>
      </c>
      <c r="D10146" s="4">
        <v>233252</v>
      </c>
    </row>
    <row r="10147" spans="1:4" x14ac:dyDescent="0.25">
      <c r="A10147" t="str">
        <f>T("   300420")</f>
        <v xml:space="preserve">   300420</v>
      </c>
      <c r="B10147" t="str">
        <f>T("   CONTENANT D'AUTRES ANTIBIOTIQUES")</f>
        <v xml:space="preserve">   CONTENANT D'AUTRES ANTIBIOTIQUES</v>
      </c>
      <c r="C10147" s="4">
        <v>3183487.3</v>
      </c>
      <c r="D10147" s="4">
        <v>496366900</v>
      </c>
    </row>
    <row r="10148" spans="1:4" x14ac:dyDescent="0.25">
      <c r="A10148" t="str">
        <f>T("   300432")</f>
        <v xml:space="preserve">   300432</v>
      </c>
      <c r="B10148" t="str">
        <f>T("   CONTENANT DES HORMONES CORTICOSTEROIDES, LEURS DERIVES OU ANALOGUES STRUCTURELS")</f>
        <v xml:space="preserve">   CONTENANT DES HORMONES CORTICOSTEROIDES, LEURS DERIVES OU ANALOGUES STRUCTURELS</v>
      </c>
      <c r="C10148" s="4">
        <v>10000</v>
      </c>
      <c r="D10148" s="4">
        <v>1699438</v>
      </c>
    </row>
    <row r="10149" spans="1:4" x14ac:dyDescent="0.25">
      <c r="A10149" t="str">
        <f>T("   300439")</f>
        <v xml:space="preserve">   300439</v>
      </c>
      <c r="B10149" t="str">
        <f>T("   AUTRES")</f>
        <v xml:space="preserve">   AUTRES</v>
      </c>
      <c r="C10149" s="4">
        <v>564053.13</v>
      </c>
      <c r="D10149" s="4">
        <v>104605723</v>
      </c>
    </row>
    <row r="10150" spans="1:4" x14ac:dyDescent="0.25">
      <c r="A10150" t="str">
        <f>T("   300450")</f>
        <v xml:space="preserve">   300450</v>
      </c>
      <c r="B10150" t="str">
        <f>T("   AUTRES MEDICAMENTS CONTENANT DES VITAMINES OU D'AUTRES PRODUITS DU N° 29.36")</f>
        <v xml:space="preserve">   AUTRES MEDICAMENTS CONTENANT DES VITAMINES OU D'AUTRES PRODUITS DU N° 29.36</v>
      </c>
      <c r="C10150" s="4">
        <v>61987.18</v>
      </c>
      <c r="D10150" s="4">
        <v>8392712</v>
      </c>
    </row>
    <row r="10151" spans="1:4" x14ac:dyDescent="0.25">
      <c r="A10151" t="str">
        <f>T("   300490")</f>
        <v xml:space="preserve">   300490</v>
      </c>
      <c r="B10151" t="str">
        <f>T("   AUTRES")</f>
        <v xml:space="preserve">   AUTRES</v>
      </c>
      <c r="C10151" s="4">
        <v>191135.48</v>
      </c>
      <c r="D10151" s="4">
        <v>139284103</v>
      </c>
    </row>
    <row r="10152" spans="1:4" x14ac:dyDescent="0.25">
      <c r="A10152" t="str">
        <f>T("   300510")</f>
        <v xml:space="preserve">   300510</v>
      </c>
      <c r="B10152" t="str">
        <f>T("   PANSEMENTS ADHESIFS ET AUTRES ARTICLES AYANT UNE COUCHE ADHESIVE")</f>
        <v xml:space="preserve">   PANSEMENTS ADHESIFS ET AUTRES ARTICLES AYANT UNE COUCHE ADHESIVE</v>
      </c>
      <c r="C10152" s="4">
        <v>238680</v>
      </c>
      <c r="D10152" s="4">
        <v>24048000</v>
      </c>
    </row>
    <row r="10153" spans="1:4" x14ac:dyDescent="0.25">
      <c r="A10153" t="str">
        <f>T("   300590")</f>
        <v xml:space="preserve">   300590</v>
      </c>
      <c r="B10153" t="str">
        <f>T("   AUTRES")</f>
        <v xml:space="preserve">   AUTRES</v>
      </c>
      <c r="C10153" s="4">
        <v>35699260</v>
      </c>
      <c r="D10153" s="4">
        <v>21514951</v>
      </c>
    </row>
    <row r="10154" spans="1:4" x14ac:dyDescent="0.25">
      <c r="A10154" t="str">
        <f>T("   300610")</f>
        <v xml:space="preserve">   300610</v>
      </c>
      <c r="B10154" t="str">
        <f>T("   CATGUTS STERILES, LIGATURES STERILES SIMILAIRES POUR SUTURES CHIRURGICALES (Y COMPRIS")</f>
        <v xml:space="preserve">   CATGUTS STERILES, LIGATURES STERILES SIMILAIRES POUR SUTURES CHIRURGICALES (Y COMPRIS</v>
      </c>
      <c r="C10154" s="4">
        <v>22</v>
      </c>
      <c r="D10154" s="4">
        <v>320000</v>
      </c>
    </row>
    <row r="10155" spans="1:4" x14ac:dyDescent="0.25">
      <c r="A10155" t="str">
        <f>T("   320300")</f>
        <v xml:space="preserve">   320300</v>
      </c>
      <c r="B10155" t="str">
        <f>T("   MATIERES COLORANTES D'ORIGINE VEGETALE OU ANIMALE (Y COMPRIS LES EXTRAITS TINCTORIAUX M")</f>
        <v xml:space="preserve">   MATIERES COLORANTES D'ORIGINE VEGETALE OU ANIMALE (Y COMPRIS LES EXTRAITS TINCTORIAUX M</v>
      </c>
      <c r="C10155" s="4">
        <v>110</v>
      </c>
      <c r="D10155" s="4">
        <v>35810</v>
      </c>
    </row>
    <row r="10156" spans="1:4" x14ac:dyDescent="0.25">
      <c r="A10156" t="str">
        <f>T("   320411")</f>
        <v xml:space="preserve">   320411</v>
      </c>
      <c r="B10156" t="str">
        <f>T("   Colorants disperses et preparations a base de ces colorants")</f>
        <v xml:space="preserve">   Colorants disperses et preparations a base de ces colorants</v>
      </c>
      <c r="C10156" s="4">
        <v>160</v>
      </c>
      <c r="D10156" s="4">
        <v>17905</v>
      </c>
    </row>
    <row r="10157" spans="1:4" x14ac:dyDescent="0.25">
      <c r="A10157" t="str">
        <f>T("   320412")</f>
        <v xml:space="preserve">   320412</v>
      </c>
      <c r="B10157" t="str">
        <f>T("   COLORANTS ACIDES, MEME METALLISES, ET PREPARATIONS A BASE DE CES COLORANTS; COLORANT")</f>
        <v xml:space="preserve">   COLORANTS ACIDES, MEME METALLISES, ET PREPARATIONS A BASE DE CES COLORANTS; COLORANT</v>
      </c>
      <c r="C10157" s="4">
        <v>285</v>
      </c>
      <c r="D10157" s="4">
        <v>71620</v>
      </c>
    </row>
    <row r="10158" spans="1:4" x14ac:dyDescent="0.25">
      <c r="A10158" t="str">
        <f>T("   320414")</f>
        <v xml:space="preserve">   320414</v>
      </c>
      <c r="B10158" t="str">
        <f>T("   Colorants directs et preparations a base de ces colorants")</f>
        <v xml:space="preserve">   Colorants directs et preparations a base de ces colorants</v>
      </c>
      <c r="C10158" s="4">
        <v>510</v>
      </c>
      <c r="D10158" s="4">
        <v>189795</v>
      </c>
    </row>
    <row r="10159" spans="1:4" x14ac:dyDescent="0.25">
      <c r="A10159" t="str">
        <f>T("   320416")</f>
        <v xml:space="preserve">   320416</v>
      </c>
      <c r="B10159" t="str">
        <f>T("   Colorants reactifs et preparations a base de ces colorants")</f>
        <v xml:space="preserve">   Colorants reactifs et preparations a base de ces colorants</v>
      </c>
      <c r="C10159" s="4">
        <v>1200</v>
      </c>
      <c r="D10159" s="4">
        <v>279433</v>
      </c>
    </row>
    <row r="10160" spans="1:4" x14ac:dyDescent="0.25">
      <c r="A10160" t="str">
        <f>T("   320490")</f>
        <v xml:space="preserve">   320490</v>
      </c>
      <c r="B10160" t="str">
        <f>T("   AUTRES")</f>
        <v xml:space="preserve">   AUTRES</v>
      </c>
      <c r="C10160" s="4">
        <v>15000</v>
      </c>
      <c r="D10160" s="4">
        <v>4936115</v>
      </c>
    </row>
    <row r="10161" spans="1:4" x14ac:dyDescent="0.25">
      <c r="A10161" t="str">
        <f>T("   320810")</f>
        <v xml:space="preserve">   320810</v>
      </c>
      <c r="B10161" t="str">
        <f>T("   A BASE DE POLYESTERS")</f>
        <v xml:space="preserve">   A BASE DE POLYESTERS</v>
      </c>
      <c r="C10161" s="4">
        <v>10488</v>
      </c>
      <c r="D10161" s="4">
        <v>4590500</v>
      </c>
    </row>
    <row r="10162" spans="1:4" x14ac:dyDescent="0.25">
      <c r="A10162" t="str">
        <f>T("   320820")</f>
        <v xml:space="preserve">   320820</v>
      </c>
      <c r="B10162" t="str">
        <f>T("   A BASE DE POLYMERES ACRYLIQUES OU VINYLIQUES")</f>
        <v xml:space="preserve">   A BASE DE POLYMERES ACRYLIQUES OU VINYLIQUES</v>
      </c>
      <c r="C10162" s="4">
        <v>1165590</v>
      </c>
      <c r="D10162" s="4">
        <v>240642113</v>
      </c>
    </row>
    <row r="10163" spans="1:4" x14ac:dyDescent="0.25">
      <c r="A10163" t="str">
        <f>T("   320890")</f>
        <v xml:space="preserve">   320890</v>
      </c>
      <c r="B10163" t="str">
        <f>T("   AUTRES")</f>
        <v xml:space="preserve">   AUTRES</v>
      </c>
      <c r="C10163" s="4">
        <v>34310</v>
      </c>
      <c r="D10163" s="4">
        <v>7636191</v>
      </c>
    </row>
    <row r="10164" spans="1:4" x14ac:dyDescent="0.25">
      <c r="A10164" t="str">
        <f>T("   320910")</f>
        <v xml:space="preserve">   320910</v>
      </c>
      <c r="B10164" t="str">
        <f>T("   A BASE DE POLYMERES ACRYLIQUES OU VINYLIQUES")</f>
        <v xml:space="preserve">   A BASE DE POLYMERES ACRYLIQUES OU VINYLIQUES</v>
      </c>
      <c r="C10164" s="4">
        <v>382943</v>
      </c>
      <c r="D10164" s="4">
        <v>69226667</v>
      </c>
    </row>
    <row r="10165" spans="1:4" x14ac:dyDescent="0.25">
      <c r="A10165" t="str">
        <f>T("   320990")</f>
        <v xml:space="preserve">   320990</v>
      </c>
      <c r="B10165" t="str">
        <f>T("   AUTRES")</f>
        <v xml:space="preserve">   AUTRES</v>
      </c>
      <c r="C10165" s="4">
        <v>15</v>
      </c>
      <c r="D10165" s="4">
        <v>79650</v>
      </c>
    </row>
    <row r="10166" spans="1:4" x14ac:dyDescent="0.25">
      <c r="A10166" t="str">
        <f>T("   321000")</f>
        <v xml:space="preserve">   321000</v>
      </c>
      <c r="B10166" t="str">
        <f>T("   AUTRES PEINTURES ET VERNIS; PIGMENTS A L'EAU PREPARES DES TYPES UTILISES POUR LE FINISS")</f>
        <v xml:space="preserve">   AUTRES PEINTURES ET VERNIS; PIGMENTS A L'EAU PREPARES DES TYPES UTILISES POUR LE FINISS</v>
      </c>
      <c r="C10166" s="4">
        <v>1105</v>
      </c>
      <c r="D10166" s="4">
        <v>1000000</v>
      </c>
    </row>
    <row r="10167" spans="1:4" x14ac:dyDescent="0.25">
      <c r="A10167" t="str">
        <f>T("   321590")</f>
        <v xml:space="preserve">   321590</v>
      </c>
      <c r="B10167" t="str">
        <f>T("   AUTRES")</f>
        <v xml:space="preserve">   AUTRES</v>
      </c>
      <c r="C10167" s="4">
        <v>15415</v>
      </c>
      <c r="D10167" s="4">
        <v>15099151</v>
      </c>
    </row>
    <row r="10168" spans="1:4" x14ac:dyDescent="0.25">
      <c r="A10168" t="str">
        <f>T("   330129")</f>
        <v xml:space="preserve">   330129</v>
      </c>
      <c r="B10168" t="str">
        <f>T("   AUTRES")</f>
        <v xml:space="preserve">   AUTRES</v>
      </c>
      <c r="C10168" s="4">
        <v>1924</v>
      </c>
      <c r="D10168" s="4">
        <v>440155</v>
      </c>
    </row>
    <row r="10169" spans="1:4" x14ac:dyDescent="0.25">
      <c r="A10169" t="str">
        <f>T("   330190")</f>
        <v xml:space="preserve">   330190</v>
      </c>
      <c r="B10169" t="str">
        <f>T("   AUTRES")</f>
        <v xml:space="preserve">   AUTRES</v>
      </c>
      <c r="C10169" s="4">
        <v>200</v>
      </c>
      <c r="D10169" s="4">
        <v>57146</v>
      </c>
    </row>
    <row r="10170" spans="1:4" x14ac:dyDescent="0.25">
      <c r="A10170" t="str">
        <f>T("   330300")</f>
        <v xml:space="preserve">   330300</v>
      </c>
      <c r="B10170" t="str">
        <f>T("   PARFUMS ET EAUX DE TOILETTE.")</f>
        <v xml:space="preserve">   PARFUMS ET EAUX DE TOILETTE.</v>
      </c>
      <c r="C10170" s="4">
        <v>24200</v>
      </c>
      <c r="D10170" s="4">
        <v>8267815</v>
      </c>
    </row>
    <row r="10171" spans="1:4" x14ac:dyDescent="0.25">
      <c r="A10171" t="str">
        <f>T("   330410")</f>
        <v xml:space="preserve">   330410</v>
      </c>
      <c r="B10171" t="str">
        <f>T("   Produits de maquillage pour les levres")</f>
        <v xml:space="preserve">   Produits de maquillage pour les levres</v>
      </c>
      <c r="C10171" s="4">
        <v>14000</v>
      </c>
      <c r="D10171" s="4">
        <v>2724771</v>
      </c>
    </row>
    <row r="10172" spans="1:4" x14ac:dyDescent="0.25">
      <c r="A10172" t="str">
        <f>T("   330420")</f>
        <v xml:space="preserve">   330420</v>
      </c>
      <c r="B10172" t="str">
        <f>T("   Produits de maquillage pour les yeux")</f>
        <v xml:space="preserve">   Produits de maquillage pour les yeux</v>
      </c>
      <c r="C10172" s="4">
        <v>2700</v>
      </c>
      <c r="D10172" s="4">
        <v>724692</v>
      </c>
    </row>
    <row r="10173" spans="1:4" x14ac:dyDescent="0.25">
      <c r="A10173" t="str">
        <f>T("   330430")</f>
        <v xml:space="preserve">   330430</v>
      </c>
      <c r="B10173" t="str">
        <f>T("   Preparations pour manucures ou pedicures")</f>
        <v xml:space="preserve">   Preparations pour manucures ou pedicures</v>
      </c>
      <c r="C10173" s="4">
        <v>900</v>
      </c>
      <c r="D10173" s="4">
        <v>400000</v>
      </c>
    </row>
    <row r="10174" spans="1:4" x14ac:dyDescent="0.25">
      <c r="A10174" t="str">
        <f>T("   330491")</f>
        <v xml:space="preserve">   330491</v>
      </c>
      <c r="B10174" t="str">
        <f>T("   POUDRES, Y COMPRIS LES POUDRES COMPACTES")</f>
        <v xml:space="preserve">   POUDRES, Y COMPRIS LES POUDRES COMPACTES</v>
      </c>
      <c r="C10174" s="4">
        <v>444</v>
      </c>
      <c r="D10174" s="4">
        <v>92839</v>
      </c>
    </row>
    <row r="10175" spans="1:4" x14ac:dyDescent="0.25">
      <c r="A10175" t="str">
        <f>T("   330499")</f>
        <v xml:space="preserve">   330499</v>
      </c>
      <c r="B10175" t="str">
        <f>T("   AUTRES")</f>
        <v xml:space="preserve">   AUTRES</v>
      </c>
      <c r="C10175" s="4">
        <v>2417530</v>
      </c>
      <c r="D10175" s="4">
        <v>620084253</v>
      </c>
    </row>
    <row r="10176" spans="1:4" x14ac:dyDescent="0.25">
      <c r="A10176" t="str">
        <f>T("   330510")</f>
        <v xml:space="preserve">   330510</v>
      </c>
      <c r="B10176" t="str">
        <f>T("   Shampooings")</f>
        <v xml:space="preserve">   Shampooings</v>
      </c>
      <c r="C10176" s="4">
        <v>4480</v>
      </c>
      <c r="D10176" s="4">
        <v>568701</v>
      </c>
    </row>
    <row r="10177" spans="1:4" x14ac:dyDescent="0.25">
      <c r="A10177" t="str">
        <f>T("   330520")</f>
        <v xml:space="preserve">   330520</v>
      </c>
      <c r="B10177" t="str">
        <f>T("   PREPARATIONS POUR L'ONDULATION OU LE DEFRISAGE PERMANENT")</f>
        <v xml:space="preserve">   PREPARATIONS POUR L'ONDULATION OU LE DEFRISAGE PERMANENT</v>
      </c>
      <c r="C10177" s="4">
        <v>2000</v>
      </c>
      <c r="D10177" s="4">
        <v>500000</v>
      </c>
    </row>
    <row r="10178" spans="1:4" x14ac:dyDescent="0.25">
      <c r="A10178" t="str">
        <f>T("   330590")</f>
        <v xml:space="preserve">   330590</v>
      </c>
      <c r="B10178" t="str">
        <f>T("   AUTRES")</f>
        <v xml:space="preserve">   AUTRES</v>
      </c>
      <c r="C10178" s="4">
        <v>5000</v>
      </c>
      <c r="D10178" s="4">
        <v>1416450</v>
      </c>
    </row>
    <row r="10179" spans="1:4" x14ac:dyDescent="0.25">
      <c r="A10179" t="str">
        <f>T("   330610")</f>
        <v xml:space="preserve">   330610</v>
      </c>
      <c r="B10179" t="str">
        <f>T("   Dentifrices")</f>
        <v xml:space="preserve">   Dentifrices</v>
      </c>
      <c r="C10179" s="4">
        <v>441021</v>
      </c>
      <c r="D10179" s="4">
        <v>85086625</v>
      </c>
    </row>
    <row r="10180" spans="1:4" x14ac:dyDescent="0.25">
      <c r="A10180" t="str">
        <f>T("   330690")</f>
        <v xml:space="preserve">   330690</v>
      </c>
      <c r="B10180" t="str">
        <f>T("   AUTRES")</f>
        <v xml:space="preserve">   AUTRES</v>
      </c>
      <c r="C10180" s="4">
        <v>13400</v>
      </c>
      <c r="D10180" s="4">
        <v>3277000</v>
      </c>
    </row>
    <row r="10181" spans="1:4" x14ac:dyDescent="0.25">
      <c r="A10181" t="str">
        <f>T("   330720")</f>
        <v xml:space="preserve">   330720</v>
      </c>
      <c r="B10181" t="str">
        <f>T("   Desodorisants corporels et antisudoraux")</f>
        <v xml:space="preserve">   Desodorisants corporels et antisudoraux</v>
      </c>
      <c r="C10181" s="4">
        <v>11240</v>
      </c>
      <c r="D10181" s="4">
        <v>2083562</v>
      </c>
    </row>
    <row r="10182" spans="1:4" x14ac:dyDescent="0.25">
      <c r="A10182" t="str">
        <f>T("   330749")</f>
        <v xml:space="preserve">   330749</v>
      </c>
      <c r="B10182" t="str">
        <f>T("   AUTRES")</f>
        <v xml:space="preserve">   AUTRES</v>
      </c>
      <c r="C10182" s="4">
        <v>3600</v>
      </c>
      <c r="D10182" s="4">
        <v>286000</v>
      </c>
    </row>
    <row r="10183" spans="1:4" x14ac:dyDescent="0.25">
      <c r="A10183" t="str">
        <f>T("   330790")</f>
        <v xml:space="preserve">   330790</v>
      </c>
      <c r="B10183" t="str">
        <f>T("   AUTRES")</f>
        <v xml:space="preserve">   AUTRES</v>
      </c>
      <c r="C10183" s="4">
        <v>1178</v>
      </c>
      <c r="D10183" s="4">
        <v>477016</v>
      </c>
    </row>
    <row r="10184" spans="1:4" x14ac:dyDescent="0.25">
      <c r="A10184" t="str">
        <f>T("   340111")</f>
        <v xml:space="preserve">   340111</v>
      </c>
      <c r="B10184" t="str">
        <f>T("   DE TOILETTE (Y COMPRIS CEUX A USAGES MEDICAUX)")</f>
        <v xml:space="preserve">   DE TOILETTE (Y COMPRIS CEUX A USAGES MEDICAUX)</v>
      </c>
      <c r="C10184" s="4">
        <v>305302</v>
      </c>
      <c r="D10184" s="4">
        <v>83099165</v>
      </c>
    </row>
    <row r="10185" spans="1:4" x14ac:dyDescent="0.25">
      <c r="A10185" t="str">
        <f>T("   340119")</f>
        <v xml:space="preserve">   340119</v>
      </c>
      <c r="B10185" t="str">
        <f>T("   AUTRES")</f>
        <v xml:space="preserve">   AUTRES</v>
      </c>
      <c r="C10185" s="4">
        <v>2112477</v>
      </c>
      <c r="D10185" s="4">
        <v>920653512</v>
      </c>
    </row>
    <row r="10186" spans="1:4" x14ac:dyDescent="0.25">
      <c r="A10186" t="str">
        <f>T("   340120")</f>
        <v xml:space="preserve">   340120</v>
      </c>
      <c r="B10186" t="str">
        <f>T("   SAVONS SOUS AUTRES FORMES")</f>
        <v xml:space="preserve">   SAVONS SOUS AUTRES FORMES</v>
      </c>
      <c r="C10186" s="4">
        <v>69136</v>
      </c>
      <c r="D10186" s="4">
        <v>9415358</v>
      </c>
    </row>
    <row r="10187" spans="1:4" x14ac:dyDescent="0.25">
      <c r="A10187" t="str">
        <f>T("   340130")</f>
        <v xml:space="preserve">   340130</v>
      </c>
      <c r="B10187" t="str">
        <f>T("   PRODUITS ET PREPARATIONS ORGANIQUES TENSIOACTIFS DESTINES AU LAVAGE DE LA PEAU, SOUS")</f>
        <v xml:space="preserve">   PRODUITS ET PREPARATIONS ORGANIQUES TENSIOACTIFS DESTINES AU LAVAGE DE LA PEAU, SOUS</v>
      </c>
      <c r="C10187" s="4">
        <v>1707</v>
      </c>
      <c r="D10187" s="4">
        <v>262152</v>
      </c>
    </row>
    <row r="10188" spans="1:4" x14ac:dyDescent="0.25">
      <c r="A10188" t="str">
        <f>T("   340220")</f>
        <v xml:space="preserve">   340220</v>
      </c>
      <c r="B10188" t="str">
        <f>T("   PREPARATIONS CONDITIONNEES POUR LA VENTE AU DETAIL")</f>
        <v xml:space="preserve">   PREPARATIONS CONDITIONNEES POUR LA VENTE AU DETAIL</v>
      </c>
      <c r="C10188" s="4">
        <v>236367</v>
      </c>
      <c r="D10188" s="4">
        <v>172872726</v>
      </c>
    </row>
    <row r="10189" spans="1:4" x14ac:dyDescent="0.25">
      <c r="A10189" t="str">
        <f>T("   340290")</f>
        <v xml:space="preserve">   340290</v>
      </c>
      <c r="B10189" t="str">
        <f>T("   AUTRES")</f>
        <v xml:space="preserve">   AUTRES</v>
      </c>
      <c r="C10189" s="4">
        <v>1224015</v>
      </c>
      <c r="D10189" s="4">
        <v>286758175</v>
      </c>
    </row>
    <row r="10190" spans="1:4" x14ac:dyDescent="0.25">
      <c r="A10190" t="str">
        <f>T("   340399")</f>
        <v xml:space="preserve">   340399</v>
      </c>
      <c r="B10190" t="str">
        <f>T("   AUTRES")</f>
        <v xml:space="preserve">   AUTRES</v>
      </c>
      <c r="C10190" s="4">
        <v>5860</v>
      </c>
      <c r="D10190" s="4">
        <v>786517</v>
      </c>
    </row>
    <row r="10191" spans="1:4" x14ac:dyDescent="0.25">
      <c r="A10191" t="str">
        <f>T("   340510")</f>
        <v xml:space="preserve">   340510</v>
      </c>
      <c r="B10191" t="str">
        <f>T("   CIRAGES, CREMES ET PREPARATIONS SIMILAIRES POUR CHAUSSURES OU POUR CUIR")</f>
        <v xml:space="preserve">   CIRAGES, CREMES ET PREPARATIONS SIMILAIRES POUR CHAUSSURES OU POUR CUIR</v>
      </c>
      <c r="C10191" s="4">
        <v>100</v>
      </c>
      <c r="D10191" s="4">
        <v>21846</v>
      </c>
    </row>
    <row r="10192" spans="1:4" x14ac:dyDescent="0.25">
      <c r="A10192" t="str">
        <f>T("   340600")</f>
        <v xml:space="preserve">   340600</v>
      </c>
      <c r="B10192" t="str">
        <f>T("   BOUGIES, CHANDELLES, CIERGES ET ARTICLES SIMILAIRES.")</f>
        <v xml:space="preserve">   BOUGIES, CHANDELLES, CIERGES ET ARTICLES SIMILAIRES.</v>
      </c>
      <c r="C10192" s="4">
        <v>92655</v>
      </c>
      <c r="D10192" s="4">
        <v>21449683</v>
      </c>
    </row>
    <row r="10193" spans="1:4" x14ac:dyDescent="0.25">
      <c r="A10193" t="str">
        <f>T("   350190")</f>
        <v xml:space="preserve">   350190</v>
      </c>
      <c r="B10193" t="str">
        <f>T("   AUTRES")</f>
        <v xml:space="preserve">   AUTRES</v>
      </c>
      <c r="C10193" s="4">
        <v>27056</v>
      </c>
      <c r="D10193" s="4">
        <v>1394481</v>
      </c>
    </row>
    <row r="10194" spans="1:4" x14ac:dyDescent="0.25">
      <c r="A10194" t="str">
        <f>T("   350520")</f>
        <v xml:space="preserve">   350520</v>
      </c>
      <c r="B10194" t="str">
        <f>T("   Colles")</f>
        <v xml:space="preserve">   Colles</v>
      </c>
      <c r="C10194" s="4">
        <v>3000</v>
      </c>
      <c r="D10194" s="4">
        <v>995203</v>
      </c>
    </row>
    <row r="10195" spans="1:4" x14ac:dyDescent="0.25">
      <c r="A10195" t="str">
        <f>T("   350610")</f>
        <v xml:space="preserve">   350610</v>
      </c>
      <c r="B10195" t="str">
        <f>T("   PRODUITS DE TOUTE ESPECE A USAGE DE COLLES OU D'ADHESIFS, CONDITIONNES POUR LA VENTE")</f>
        <v xml:space="preserve">   PRODUITS DE TOUTE ESPECE A USAGE DE COLLES OU D'ADHESIFS, CONDITIONNES POUR LA VENTE</v>
      </c>
      <c r="C10195" s="4">
        <v>40446</v>
      </c>
      <c r="D10195" s="4">
        <v>6731644</v>
      </c>
    </row>
    <row r="10196" spans="1:4" x14ac:dyDescent="0.25">
      <c r="A10196" t="str">
        <f>T("   350691")</f>
        <v xml:space="preserve">   350691</v>
      </c>
      <c r="B10196" t="str">
        <f>T("   ADHESIFS A BASE DE POLYMERES DES N°S 39.01 A 39.13 OU DE CAOUTCHOUC")</f>
        <v xml:space="preserve">   ADHESIFS A BASE DE POLYMERES DES N°S 39.01 A 39.13 OU DE CAOUTCHOUC</v>
      </c>
      <c r="C10196" s="4">
        <v>300</v>
      </c>
      <c r="D10196" s="4">
        <v>1395000</v>
      </c>
    </row>
    <row r="10197" spans="1:4" x14ac:dyDescent="0.25">
      <c r="A10197" t="str">
        <f>T("   350699")</f>
        <v xml:space="preserve">   350699</v>
      </c>
      <c r="B10197" t="str">
        <f>T("   AUTRES")</f>
        <v xml:space="preserve">   AUTRES</v>
      </c>
      <c r="C10197" s="4">
        <v>1140</v>
      </c>
      <c r="D10197" s="4">
        <v>369003</v>
      </c>
    </row>
    <row r="10198" spans="1:4" x14ac:dyDescent="0.25">
      <c r="A10198" t="str">
        <f>T("   360490")</f>
        <v xml:space="preserve">   360490</v>
      </c>
      <c r="B10198" t="str">
        <f>T("   AUTRES")</f>
        <v xml:space="preserve">   AUTRES</v>
      </c>
      <c r="C10198" s="4">
        <v>400</v>
      </c>
      <c r="D10198" s="4">
        <v>300000</v>
      </c>
    </row>
    <row r="10199" spans="1:4" x14ac:dyDescent="0.25">
      <c r="A10199" t="str">
        <f>T("   360500")</f>
        <v xml:space="preserve">   360500</v>
      </c>
      <c r="B10199" t="str">
        <f>T("   ALLUMETTES, AUTRES QUE LES ARTICLES DE PYROTECHNIE DU N° 36.04.")</f>
        <v xml:space="preserve">   ALLUMETTES, AUTRES QUE LES ARTICLES DE PYROTECHNIE DU N° 36.04.</v>
      </c>
      <c r="C10199" s="4">
        <v>36470</v>
      </c>
      <c r="D10199" s="4">
        <v>9879063</v>
      </c>
    </row>
    <row r="10200" spans="1:4" x14ac:dyDescent="0.25">
      <c r="A10200" t="str">
        <f>T("   360690")</f>
        <v xml:space="preserve">   360690</v>
      </c>
      <c r="B10200" t="str">
        <f>T("   AUTRES")</f>
        <v xml:space="preserve">   AUTRES</v>
      </c>
      <c r="C10200" s="4">
        <v>11560</v>
      </c>
      <c r="D10200" s="4">
        <v>688148</v>
      </c>
    </row>
    <row r="10201" spans="1:4" x14ac:dyDescent="0.25">
      <c r="A10201" t="str">
        <f>T("   370120")</f>
        <v xml:space="preserve">   370120</v>
      </c>
      <c r="B10201" t="str">
        <f>T("   FILMS A DEVELOPPEMENT ET TIRAGE INSTANTANES")</f>
        <v xml:space="preserve">   FILMS A DEVELOPPEMENT ET TIRAGE INSTANTANES</v>
      </c>
      <c r="C10201" s="4">
        <v>4540</v>
      </c>
      <c r="D10201" s="4">
        <v>351076</v>
      </c>
    </row>
    <row r="10202" spans="1:4" x14ac:dyDescent="0.25">
      <c r="A10202" t="str">
        <f>T("   370320")</f>
        <v xml:space="preserve">   370320</v>
      </c>
      <c r="B10202" t="str">
        <f>T("   AUTRES, POUR LA PHOTOGRAPHIE EN COULEURS (POLYCHROME)")</f>
        <v xml:space="preserve">   AUTRES, POUR LA PHOTOGRAPHIE EN COULEURS (POLYCHROME)</v>
      </c>
      <c r="C10202" s="4">
        <v>7290</v>
      </c>
      <c r="D10202" s="4">
        <v>1580146</v>
      </c>
    </row>
    <row r="10203" spans="1:4" x14ac:dyDescent="0.25">
      <c r="A10203" t="str">
        <f>T("   380190")</f>
        <v xml:space="preserve">   380190</v>
      </c>
      <c r="B10203" t="str">
        <f>T("   AUTRES")</f>
        <v xml:space="preserve">   AUTRES</v>
      </c>
      <c r="C10203" s="4">
        <v>4400</v>
      </c>
      <c r="D10203" s="4">
        <v>538181</v>
      </c>
    </row>
    <row r="10204" spans="1:4" x14ac:dyDescent="0.25">
      <c r="A10204" t="str">
        <f>T("   380510")</f>
        <v xml:space="preserve">   380510</v>
      </c>
      <c r="B10204" t="str">
        <f>T("   ESSENCES DE TEREBENTHINE, DE BOIS DE PIN OU DE PAPETERIE AU SULFATE")</f>
        <v xml:space="preserve">   ESSENCES DE TEREBENTHINE, DE BOIS DE PIN OU DE PAPETERIE AU SULFATE</v>
      </c>
      <c r="C10204" s="4">
        <v>280</v>
      </c>
      <c r="D10204" s="4">
        <v>43639</v>
      </c>
    </row>
    <row r="10205" spans="1:4" x14ac:dyDescent="0.25">
      <c r="A10205" t="str">
        <f>T("   380620")</f>
        <v xml:space="preserve">   380620</v>
      </c>
      <c r="B10205" t="str">
        <f>T("   SELS DE COLOPHANES, D'ACIDES RESINIQUES OU DE DERIVES DE COLOPHANES OU D'ACIDES RESIN")</f>
        <v xml:space="preserve">   SELS DE COLOPHANES, D'ACIDES RESINIQUES OU DE DERIVES DE COLOPHANES OU D'ACIDES RESIN</v>
      </c>
      <c r="C10205" s="4">
        <v>70</v>
      </c>
      <c r="D10205" s="4">
        <v>43638</v>
      </c>
    </row>
    <row r="10206" spans="1:4" x14ac:dyDescent="0.25">
      <c r="A10206" t="str">
        <f>T("   380850")</f>
        <v xml:space="preserve">   380850</v>
      </c>
      <c r="B10206" t="str">
        <f>T("   MARCHANDISES MENTIONNEES DANS LA NOTE 1 DE SOUSPOSITIONS DU PRESENT CHAPITRE")</f>
        <v xml:space="preserve">   MARCHANDISES MENTIONNEES DANS LA NOTE 1 DE SOUSPOSITIONS DU PRESENT CHAPITRE</v>
      </c>
      <c r="C10206" s="4">
        <v>188441</v>
      </c>
      <c r="D10206" s="4">
        <v>34767762</v>
      </c>
    </row>
    <row r="10207" spans="1:4" x14ac:dyDescent="0.25">
      <c r="A10207" t="str">
        <f>T("   380891")</f>
        <v xml:space="preserve">   380891</v>
      </c>
      <c r="B10207" t="str">
        <f>T("   INSECTICIDES")</f>
        <v xml:space="preserve">   INSECTICIDES</v>
      </c>
      <c r="C10207" s="4">
        <v>13901</v>
      </c>
      <c r="D10207" s="4">
        <v>3024149</v>
      </c>
    </row>
    <row r="10208" spans="1:4" x14ac:dyDescent="0.25">
      <c r="A10208" t="str">
        <f>T("   380893")</f>
        <v xml:space="preserve">   380893</v>
      </c>
      <c r="B10208" t="str">
        <f>T("   HERBICIDES, INHIBITEURS DE GERMINATION ET REGULATEURS DE CROISSANCE POUR PLANTES")</f>
        <v xml:space="preserve">   HERBICIDES, INHIBITEURS DE GERMINATION ET REGULATEURS DE CROISSANCE POUR PLANTES</v>
      </c>
      <c r="C10208" s="4">
        <v>2000</v>
      </c>
      <c r="D10208" s="4">
        <v>335496</v>
      </c>
    </row>
    <row r="10209" spans="1:4" x14ac:dyDescent="0.25">
      <c r="A10209" t="str">
        <f>T("   381090")</f>
        <v xml:space="preserve">   381090</v>
      </c>
      <c r="B10209" t="str">
        <f>T("   AUTRES")</f>
        <v xml:space="preserve">   AUTRES</v>
      </c>
      <c r="C10209" s="4">
        <v>100</v>
      </c>
      <c r="D10209" s="4">
        <v>145457</v>
      </c>
    </row>
    <row r="10210" spans="1:4" x14ac:dyDescent="0.25">
      <c r="A10210" t="str">
        <f>T("   381400")</f>
        <v xml:space="preserve">   381400</v>
      </c>
      <c r="B10210" t="str">
        <f>T("   SOLVANTS ET DILUANTS ORGANIQUES COMPOSITES, NON DENOMMES NI COMPRIS AILLEURS; PREPARATI")</f>
        <v xml:space="preserve">   SOLVANTS ET DILUANTS ORGANIQUES COMPOSITES, NON DENOMMES NI COMPRIS AILLEURS; PREPARATI</v>
      </c>
      <c r="C10210" s="4">
        <v>162030</v>
      </c>
      <c r="D10210" s="4">
        <v>39065417</v>
      </c>
    </row>
    <row r="10211" spans="1:4" x14ac:dyDescent="0.25">
      <c r="A10211" t="str">
        <f>T("   381900")</f>
        <v xml:space="preserve">   381900</v>
      </c>
      <c r="B10211" t="str">
        <f>T("   LIQUIDES POUR FREINS HYDRAULIQUES ET AUTRES LIQUIDES PREPARES POUR TRANSMISSIONS HYDRAU")</f>
        <v xml:space="preserve">   LIQUIDES POUR FREINS HYDRAULIQUES ET AUTRES LIQUIDES PREPARES POUR TRANSMISSIONS HYDRAU</v>
      </c>
      <c r="C10211" s="4">
        <v>3000</v>
      </c>
      <c r="D10211" s="4">
        <v>900000</v>
      </c>
    </row>
    <row r="10212" spans="1:4" x14ac:dyDescent="0.25">
      <c r="A10212" t="str">
        <f>T("   382200")</f>
        <v xml:space="preserve">   382200</v>
      </c>
      <c r="B10212" t="str">
        <f>T("   REACTIFS DE DIAGNOSTIC OU DE LABORATOIRE SUR TOUT SUPPORT ET REACTIFS DE DIAGNOSTIC OU")</f>
        <v xml:space="preserve">   REACTIFS DE DIAGNOSTIC OU DE LABORATOIRE SUR TOUT SUPPORT ET REACTIFS DE DIAGNOSTIC OU</v>
      </c>
      <c r="C10212" s="4">
        <v>59</v>
      </c>
      <c r="D10212" s="4">
        <v>255000</v>
      </c>
    </row>
    <row r="10213" spans="1:4" x14ac:dyDescent="0.25">
      <c r="A10213" t="str">
        <f>T("   382319")</f>
        <v xml:space="preserve">   382319</v>
      </c>
      <c r="B10213" t="str">
        <f>T("   AUTRES")</f>
        <v xml:space="preserve">   AUTRES</v>
      </c>
      <c r="C10213" s="4">
        <v>80000</v>
      </c>
      <c r="D10213" s="4">
        <v>12000000</v>
      </c>
    </row>
    <row r="10214" spans="1:4" x14ac:dyDescent="0.25">
      <c r="A10214" t="str">
        <f>T("   390290")</f>
        <v xml:space="preserve">   390290</v>
      </c>
      <c r="B10214" t="str">
        <f>T("   AUTRES")</f>
        <v xml:space="preserve">   AUTRES</v>
      </c>
      <c r="C10214" s="4">
        <v>750</v>
      </c>
      <c r="D10214" s="4">
        <v>281442</v>
      </c>
    </row>
    <row r="10215" spans="1:4" x14ac:dyDescent="0.25">
      <c r="A10215" t="str">
        <f>T("   390319")</f>
        <v xml:space="preserve">   390319</v>
      </c>
      <c r="B10215" t="str">
        <f>T("   AUTRES")</f>
        <v xml:space="preserve">   AUTRES</v>
      </c>
      <c r="C10215" s="4">
        <v>8929</v>
      </c>
      <c r="D10215" s="4">
        <v>2050959</v>
      </c>
    </row>
    <row r="10216" spans="1:4" x14ac:dyDescent="0.25">
      <c r="A10216" t="str">
        <f>T("   390410")</f>
        <v xml:space="preserve">   390410</v>
      </c>
      <c r="B10216" t="str">
        <f>T("   POLY(CHLORURE DE VINYLE), NON MELANGE A D'AUTRES SUBSTANCES")</f>
        <v xml:space="preserve">   POLY(CHLORURE DE VINYLE), NON MELANGE A D'AUTRES SUBSTANCES</v>
      </c>
      <c r="C10216" s="4">
        <v>136200</v>
      </c>
      <c r="D10216" s="4">
        <v>11663388</v>
      </c>
    </row>
    <row r="10217" spans="1:4" x14ac:dyDescent="0.25">
      <c r="A10217" t="str">
        <f>T("   391721")</f>
        <v xml:space="preserve">   391721</v>
      </c>
      <c r="B10217" t="str">
        <f>T("   EN POLYMERES DE L'ETHYLENE")</f>
        <v xml:space="preserve">   EN POLYMERES DE L'ETHYLENE</v>
      </c>
      <c r="C10217" s="4">
        <v>126655</v>
      </c>
      <c r="D10217" s="4">
        <v>64740284</v>
      </c>
    </row>
    <row r="10218" spans="1:4" x14ac:dyDescent="0.25">
      <c r="A10218" t="str">
        <f>T("   391723")</f>
        <v xml:space="preserve">   391723</v>
      </c>
      <c r="B10218" t="str">
        <f>T("   EN POLYMERES DU CHLORURE DE VINYLE")</f>
        <v xml:space="preserve">   EN POLYMERES DU CHLORURE DE VINYLE</v>
      </c>
      <c r="C10218" s="4">
        <v>377613</v>
      </c>
      <c r="D10218" s="4">
        <v>113456372</v>
      </c>
    </row>
    <row r="10219" spans="1:4" x14ac:dyDescent="0.25">
      <c r="A10219" t="str">
        <f>T("   391729")</f>
        <v xml:space="preserve">   391729</v>
      </c>
      <c r="B10219" t="str">
        <f>T("   EN AUTRES MATIERES PLASTIQUES")</f>
        <v xml:space="preserve">   EN AUTRES MATIERES PLASTIQUES</v>
      </c>
      <c r="C10219" s="4">
        <v>143202</v>
      </c>
      <c r="D10219" s="4">
        <v>36191492</v>
      </c>
    </row>
    <row r="10220" spans="1:4" x14ac:dyDescent="0.25">
      <c r="A10220" t="str">
        <f>T("   391731")</f>
        <v xml:space="preserve">   391731</v>
      </c>
      <c r="B10220" t="str">
        <f>T("   TUBES ET TUYAUX SOUPLES POUVANT SUPPORTER AU MINIMUM UNE PRESSION DE 27,6 MPA")</f>
        <v xml:space="preserve">   TUBES ET TUYAUX SOUPLES POUVANT SUPPORTER AU MINIMUM UNE PRESSION DE 27,6 MPA</v>
      </c>
      <c r="C10220" s="4">
        <v>12080</v>
      </c>
      <c r="D10220" s="4">
        <v>14406179</v>
      </c>
    </row>
    <row r="10221" spans="1:4" x14ac:dyDescent="0.25">
      <c r="A10221" t="str">
        <f>T("   391739")</f>
        <v xml:space="preserve">   391739</v>
      </c>
      <c r="B10221" t="str">
        <f>T("   AUTRES")</f>
        <v xml:space="preserve">   AUTRES</v>
      </c>
      <c r="C10221" s="4">
        <v>33941</v>
      </c>
      <c r="D10221" s="4">
        <v>10000000</v>
      </c>
    </row>
    <row r="10222" spans="1:4" x14ac:dyDescent="0.25">
      <c r="A10222" t="str">
        <f>T("   391740")</f>
        <v xml:space="preserve">   391740</v>
      </c>
      <c r="B10222" t="str">
        <f>T("   ACCESSOIRES")</f>
        <v xml:space="preserve">   ACCESSOIRES</v>
      </c>
      <c r="C10222" s="4">
        <v>71621</v>
      </c>
      <c r="D10222" s="4">
        <v>32409589</v>
      </c>
    </row>
    <row r="10223" spans="1:4" x14ac:dyDescent="0.25">
      <c r="A10223" t="str">
        <f>T("   391890")</f>
        <v xml:space="preserve">   391890</v>
      </c>
      <c r="B10223" t="str">
        <f>T("   EN AUTRES MATIERES PLASTIQUES")</f>
        <v xml:space="preserve">   EN AUTRES MATIERES PLASTIQUES</v>
      </c>
      <c r="C10223" s="4">
        <v>3000</v>
      </c>
      <c r="D10223" s="4">
        <v>648298</v>
      </c>
    </row>
    <row r="10224" spans="1:4" x14ac:dyDescent="0.25">
      <c r="A10224" t="str">
        <f>T("   391990")</f>
        <v xml:space="preserve">   391990</v>
      </c>
      <c r="B10224" t="str">
        <f>T("   AUTRES")</f>
        <v xml:space="preserve">   AUTRES</v>
      </c>
      <c r="C10224" s="4">
        <v>15697</v>
      </c>
      <c r="D10224" s="4">
        <v>2604624</v>
      </c>
    </row>
    <row r="10225" spans="1:4" x14ac:dyDescent="0.25">
      <c r="A10225" t="str">
        <f>T("   392010")</f>
        <v xml:space="preserve">   392010</v>
      </c>
      <c r="B10225" t="str">
        <f>T("   EN POLYMERES DE L'ETHYLENE")</f>
        <v xml:space="preserve">   EN POLYMERES DE L'ETHYLENE</v>
      </c>
      <c r="C10225" s="4">
        <v>8855</v>
      </c>
      <c r="D10225" s="4">
        <v>88008073</v>
      </c>
    </row>
    <row r="10226" spans="1:4" x14ac:dyDescent="0.25">
      <c r="A10226" t="str">
        <f>T("   392049")</f>
        <v xml:space="preserve">   392049</v>
      </c>
      <c r="B10226" t="str">
        <f>T("   AUTRES")</f>
        <v xml:space="preserve">   AUTRES</v>
      </c>
      <c r="C10226" s="4">
        <v>18984</v>
      </c>
      <c r="D10226" s="4">
        <v>4212500</v>
      </c>
    </row>
    <row r="10227" spans="1:4" x14ac:dyDescent="0.25">
      <c r="A10227" t="str">
        <f>T("   392062")</f>
        <v xml:space="preserve">   392062</v>
      </c>
      <c r="B10227" t="str">
        <f>T("   EN POLY(ETHYLENE TEREPHTALATE)")</f>
        <v xml:space="preserve">   EN POLY(ETHYLENE TEREPHTALATE)</v>
      </c>
      <c r="C10227" s="4">
        <v>350</v>
      </c>
      <c r="D10227" s="4">
        <v>58179</v>
      </c>
    </row>
    <row r="10228" spans="1:4" x14ac:dyDescent="0.25">
      <c r="A10228" t="str">
        <f>T("   392290")</f>
        <v xml:space="preserve">   392290</v>
      </c>
      <c r="B10228" t="str">
        <f>T("   AUTRES")</f>
        <v xml:space="preserve">   AUTRES</v>
      </c>
      <c r="C10228" s="4">
        <v>2500</v>
      </c>
      <c r="D10228" s="4">
        <v>664511</v>
      </c>
    </row>
    <row r="10229" spans="1:4" x14ac:dyDescent="0.25">
      <c r="A10229" t="str">
        <f>T("   392310")</f>
        <v xml:space="preserve">   392310</v>
      </c>
      <c r="B10229" t="str">
        <f>T("   BOITES, CAISSES, CASIERS ET ARTICLES SIMILAIRES")</f>
        <v xml:space="preserve">   BOITES, CAISSES, CASIERS ET ARTICLES SIMILAIRES</v>
      </c>
      <c r="C10229" s="4">
        <v>1917013</v>
      </c>
      <c r="D10229" s="4">
        <v>2245966792</v>
      </c>
    </row>
    <row r="10230" spans="1:4" x14ac:dyDescent="0.25">
      <c r="A10230" t="str">
        <f>T("   392321")</f>
        <v xml:space="preserve">   392321</v>
      </c>
      <c r="B10230" t="str">
        <f>T("   EN POLYMERES DE L'ETHYLENE")</f>
        <v xml:space="preserve">   EN POLYMERES DE L'ETHYLENE</v>
      </c>
      <c r="C10230" s="4">
        <v>990553</v>
      </c>
      <c r="D10230" s="4">
        <v>150125499</v>
      </c>
    </row>
    <row r="10231" spans="1:4" x14ac:dyDescent="0.25">
      <c r="A10231" t="str">
        <f>T("   392329")</f>
        <v xml:space="preserve">   392329</v>
      </c>
      <c r="B10231" t="str">
        <f>T("   EN AUTRES MATIERES PLASTIQUES")</f>
        <v xml:space="preserve">   EN AUTRES MATIERES PLASTIQUES</v>
      </c>
      <c r="C10231" s="4">
        <v>7716780.7699999996</v>
      </c>
      <c r="D10231" s="4">
        <v>1254127399</v>
      </c>
    </row>
    <row r="10232" spans="1:4" x14ac:dyDescent="0.25">
      <c r="A10232" t="str">
        <f>T("   392330")</f>
        <v xml:space="preserve">   392330</v>
      </c>
      <c r="B10232" t="str">
        <f>T("   BONBONNES, BOUTEILLES, FLACONS ET ARTICLES SIMILAIRES")</f>
        <v xml:space="preserve">   BONBONNES, BOUTEILLES, FLACONS ET ARTICLES SIMILAIRES</v>
      </c>
      <c r="C10232" s="4">
        <v>41878</v>
      </c>
      <c r="D10232" s="4">
        <v>45250601</v>
      </c>
    </row>
    <row r="10233" spans="1:4" x14ac:dyDescent="0.25">
      <c r="A10233" t="str">
        <f>T("   392390")</f>
        <v xml:space="preserve">   392390</v>
      </c>
      <c r="B10233" t="str">
        <f>T("   AUTRES")</f>
        <v xml:space="preserve">   AUTRES</v>
      </c>
      <c r="C10233" s="4">
        <v>64924</v>
      </c>
      <c r="D10233" s="4">
        <v>13618252</v>
      </c>
    </row>
    <row r="10234" spans="1:4" x14ac:dyDescent="0.25">
      <c r="A10234" t="str">
        <f>T("   392410")</f>
        <v xml:space="preserve">   392410</v>
      </c>
      <c r="B10234" t="str">
        <f>T("   VAISSELLE ET AUTRES ARTICLES POUR LE SERVICE DE LA TABLE OU DE LA CUISINE")</f>
        <v xml:space="preserve">   VAISSELLE ET AUTRES ARTICLES POUR LE SERVICE DE LA TABLE OU DE LA CUISINE</v>
      </c>
      <c r="C10234" s="4">
        <v>32896</v>
      </c>
      <c r="D10234" s="4">
        <v>14261501</v>
      </c>
    </row>
    <row r="10235" spans="1:4" x14ac:dyDescent="0.25">
      <c r="A10235" t="str">
        <f>T("   392490")</f>
        <v xml:space="preserve">   392490</v>
      </c>
      <c r="B10235" t="str">
        <f>T("   AUTRES")</f>
        <v xml:space="preserve">   AUTRES</v>
      </c>
      <c r="C10235" s="4">
        <v>123002</v>
      </c>
      <c r="D10235" s="4">
        <v>45253404</v>
      </c>
    </row>
    <row r="10236" spans="1:4" x14ac:dyDescent="0.25">
      <c r="A10236" t="str">
        <f>T("   392510")</f>
        <v xml:space="preserve">   392510</v>
      </c>
      <c r="B10236" t="str">
        <f>T("   RESERVOIRS, FOUDRES, CUVES ET RECIPIENTS ANALOGUES, D'UNE CONTENANCE EXCEDANT 300 L")</f>
        <v xml:space="preserve">   RESERVOIRS, FOUDRES, CUVES ET RECIPIENTS ANALOGUES, D'UNE CONTENANCE EXCEDANT 300 L</v>
      </c>
      <c r="C10236" s="4">
        <v>1284</v>
      </c>
      <c r="D10236" s="4">
        <v>659023</v>
      </c>
    </row>
    <row r="10237" spans="1:4" x14ac:dyDescent="0.25">
      <c r="A10237" t="str">
        <f>T("   392590")</f>
        <v xml:space="preserve">   392590</v>
      </c>
      <c r="B10237" t="str">
        <f>T("   AUTRES")</f>
        <v xml:space="preserve">   AUTRES</v>
      </c>
      <c r="C10237" s="4">
        <v>2220</v>
      </c>
      <c r="D10237" s="4">
        <v>356559</v>
      </c>
    </row>
    <row r="10238" spans="1:4" x14ac:dyDescent="0.25">
      <c r="A10238" t="str">
        <f>T("   392610")</f>
        <v xml:space="preserve">   392610</v>
      </c>
      <c r="B10238" t="str">
        <f>T("   ARTICLES DE BUREAU ET ARTICLES SCOLAIRES")</f>
        <v xml:space="preserve">   ARTICLES DE BUREAU ET ARTICLES SCOLAIRES</v>
      </c>
      <c r="C10238" s="4">
        <v>12580</v>
      </c>
      <c r="D10238" s="4">
        <v>2763816</v>
      </c>
    </row>
    <row r="10239" spans="1:4" x14ac:dyDescent="0.25">
      <c r="A10239" t="str">
        <f>T("   392640")</f>
        <v xml:space="preserve">   392640</v>
      </c>
      <c r="B10239" t="str">
        <f>T("   STATUETTES ET AUTRES OBJETS D'ORNEMENTATION")</f>
        <v xml:space="preserve">   STATUETTES ET AUTRES OBJETS D'ORNEMENTATION</v>
      </c>
      <c r="C10239" s="4">
        <v>480</v>
      </c>
      <c r="D10239" s="4">
        <v>108050</v>
      </c>
    </row>
    <row r="10240" spans="1:4" x14ac:dyDescent="0.25">
      <c r="A10240" t="str">
        <f>T("   392690")</f>
        <v xml:space="preserve">   392690</v>
      </c>
      <c r="B10240" t="str">
        <f>T("   AUTRES")</f>
        <v xml:space="preserve">   AUTRES</v>
      </c>
      <c r="C10240" s="4">
        <v>521724</v>
      </c>
      <c r="D10240" s="4">
        <v>91672975</v>
      </c>
    </row>
    <row r="10241" spans="1:4" x14ac:dyDescent="0.25">
      <c r="A10241" t="str">
        <f>T("   400129")</f>
        <v xml:space="preserve">   400129</v>
      </c>
      <c r="B10241" t="str">
        <f>T("   AUTRES")</f>
        <v xml:space="preserve">   AUTRES</v>
      </c>
      <c r="C10241" s="4">
        <v>2500</v>
      </c>
      <c r="D10241" s="4">
        <v>880260</v>
      </c>
    </row>
    <row r="10242" spans="1:4" x14ac:dyDescent="0.25">
      <c r="A10242" t="str">
        <f>T("   400700")</f>
        <v xml:space="preserve">   400700</v>
      </c>
      <c r="B10242" t="str">
        <f>T("   FILS ET CORDES DE CAOUTCHOUC VULCANISE.")</f>
        <v xml:space="preserve">   FILS ET CORDES DE CAOUTCHOUC VULCANISE.</v>
      </c>
      <c r="C10242" s="4">
        <v>2500</v>
      </c>
      <c r="D10242" s="4">
        <v>438364</v>
      </c>
    </row>
    <row r="10243" spans="1:4" x14ac:dyDescent="0.25">
      <c r="A10243" t="str">
        <f>T("   400821")</f>
        <v xml:space="preserve">   400821</v>
      </c>
      <c r="B10243" t="str">
        <f>T("   PLAQUES, FEUILLES ET BANDES")</f>
        <v xml:space="preserve">   PLAQUES, FEUILLES ET BANDES</v>
      </c>
      <c r="C10243" s="4">
        <v>1200</v>
      </c>
      <c r="D10243" s="4">
        <v>872725</v>
      </c>
    </row>
    <row r="10244" spans="1:4" x14ac:dyDescent="0.25">
      <c r="A10244" t="str">
        <f>T("   400829")</f>
        <v xml:space="preserve">   400829</v>
      </c>
      <c r="B10244" t="str">
        <f>T("   AUTRES")</f>
        <v xml:space="preserve">   AUTRES</v>
      </c>
      <c r="C10244" s="4">
        <v>1600</v>
      </c>
      <c r="D10244" s="4">
        <v>288565</v>
      </c>
    </row>
    <row r="10245" spans="1:4" x14ac:dyDescent="0.25">
      <c r="A10245" t="str">
        <f>T("   400931")</f>
        <v xml:space="preserve">   400931</v>
      </c>
      <c r="B10245" t="str">
        <f>T("   SANS ACCESSOIRES")</f>
        <v xml:space="preserve">   SANS ACCESSOIRES</v>
      </c>
      <c r="C10245" s="4">
        <v>43</v>
      </c>
      <c r="D10245" s="4">
        <v>760472</v>
      </c>
    </row>
    <row r="10246" spans="1:4" x14ac:dyDescent="0.25">
      <c r="A10246" t="str">
        <f>T("   401110")</f>
        <v xml:space="preserve">   401110</v>
      </c>
      <c r="B10246" t="str">
        <f>T("   DES TYPES UTILISES POUR LES VOITURES DE TOURISME (Y COMPRIS LES VOITURES DU TYPE «BRE")</f>
        <v xml:space="preserve">   DES TYPES UTILISES POUR LES VOITURES DE TOURISME (Y COMPRIS LES VOITURES DU TYPE «BRE</v>
      </c>
      <c r="C10246" s="4">
        <v>18716</v>
      </c>
      <c r="D10246" s="4">
        <v>29203601</v>
      </c>
    </row>
    <row r="10247" spans="1:4" x14ac:dyDescent="0.25">
      <c r="A10247" t="str">
        <f>T("   401120")</f>
        <v xml:space="preserve">   401120</v>
      </c>
      <c r="B10247" t="str">
        <f>T("   DES TYPES UTILISES POUR AUTOBUS OU CAMIONS")</f>
        <v xml:space="preserve">   DES TYPES UTILISES POUR AUTOBUS OU CAMIONS</v>
      </c>
      <c r="C10247" s="4">
        <v>475289</v>
      </c>
      <c r="D10247" s="4">
        <v>288975613</v>
      </c>
    </row>
    <row r="10248" spans="1:4" x14ac:dyDescent="0.25">
      <c r="A10248" t="str">
        <f>T("   401140")</f>
        <v xml:space="preserve">   401140</v>
      </c>
      <c r="B10248" t="str">
        <f>T("   DES TYPES UTILISES POUR MOTOCYCLES")</f>
        <v xml:space="preserve">   DES TYPES UTILISES POUR MOTOCYCLES</v>
      </c>
      <c r="C10248" s="4">
        <v>166242</v>
      </c>
      <c r="D10248" s="4">
        <v>42327370</v>
      </c>
    </row>
    <row r="10249" spans="1:4" x14ac:dyDescent="0.25">
      <c r="A10249" t="str">
        <f>T("   401150")</f>
        <v xml:space="preserve">   401150</v>
      </c>
      <c r="B10249" t="str">
        <f>T("   DES TYPES UTILISES POUR BICYCLETTES")</f>
        <v xml:space="preserve">   DES TYPES UTILISES POUR BICYCLETTES</v>
      </c>
      <c r="C10249" s="4">
        <v>6191</v>
      </c>
      <c r="D10249" s="4">
        <v>4620527</v>
      </c>
    </row>
    <row r="10250" spans="1:4" x14ac:dyDescent="0.25">
      <c r="A10250" t="str">
        <f>T("   401199")</f>
        <v xml:space="preserve">   401199</v>
      </c>
      <c r="B10250" t="str">
        <f>T("   AUTRES")</f>
        <v xml:space="preserve">   AUTRES</v>
      </c>
      <c r="C10250" s="4">
        <v>90</v>
      </c>
      <c r="D10250" s="4">
        <v>769225</v>
      </c>
    </row>
    <row r="10251" spans="1:4" x14ac:dyDescent="0.25">
      <c r="A10251" t="str">
        <f>T("   401212")</f>
        <v xml:space="preserve">   401212</v>
      </c>
      <c r="B10251" t="str">
        <f>T("   DES TYPES UTILISES POUR AUTOBUS OU CAMIONS")</f>
        <v xml:space="preserve">   DES TYPES UTILISES POUR AUTOBUS OU CAMIONS</v>
      </c>
      <c r="C10251" s="4">
        <v>11946</v>
      </c>
      <c r="D10251" s="4">
        <v>2724825</v>
      </c>
    </row>
    <row r="10252" spans="1:4" x14ac:dyDescent="0.25">
      <c r="A10252" t="str">
        <f>T("   401219")</f>
        <v xml:space="preserve">   401219</v>
      </c>
      <c r="B10252" t="str">
        <f>T("   AUTRES")</f>
        <v xml:space="preserve">   AUTRES</v>
      </c>
      <c r="C10252" s="4">
        <v>750</v>
      </c>
      <c r="D10252" s="4">
        <v>937709</v>
      </c>
    </row>
    <row r="10253" spans="1:4" x14ac:dyDescent="0.25">
      <c r="A10253" t="str">
        <f>T("   401220")</f>
        <v xml:space="preserve">   401220</v>
      </c>
      <c r="B10253" t="str">
        <f>T("   PNEUMATIQUES USAGES")</f>
        <v xml:space="preserve">   PNEUMATIQUES USAGES</v>
      </c>
      <c r="C10253" s="4">
        <v>2000</v>
      </c>
      <c r="D10253" s="4">
        <v>800000</v>
      </c>
    </row>
    <row r="10254" spans="1:4" x14ac:dyDescent="0.25">
      <c r="A10254" t="str">
        <f>T("   401290")</f>
        <v xml:space="preserve">   401290</v>
      </c>
      <c r="B10254" t="str">
        <f>T("   AUTRES")</f>
        <v xml:space="preserve">   AUTRES</v>
      </c>
      <c r="C10254" s="4">
        <v>8820</v>
      </c>
      <c r="D10254" s="4">
        <v>2034674</v>
      </c>
    </row>
    <row r="10255" spans="1:4" x14ac:dyDescent="0.25">
      <c r="A10255" t="str">
        <f>T("   401320")</f>
        <v xml:space="preserve">   401320</v>
      </c>
      <c r="B10255" t="str">
        <f>T("   DES TYPES UTILISES POUR BICYCLETTES")</f>
        <v xml:space="preserve">   DES TYPES UTILISES POUR BICYCLETTES</v>
      </c>
      <c r="C10255" s="4">
        <v>12191</v>
      </c>
      <c r="D10255" s="4">
        <v>4253698</v>
      </c>
    </row>
    <row r="10256" spans="1:4" x14ac:dyDescent="0.25">
      <c r="A10256" t="str">
        <f>T("   401390")</f>
        <v xml:space="preserve">   401390</v>
      </c>
      <c r="B10256" t="str">
        <f>T("   AUTRES")</f>
        <v xml:space="preserve">   AUTRES</v>
      </c>
      <c r="C10256" s="4">
        <v>154481.51999999999</v>
      </c>
      <c r="D10256" s="4">
        <v>33171273</v>
      </c>
    </row>
    <row r="10257" spans="1:4" x14ac:dyDescent="0.25">
      <c r="A10257" t="str">
        <f>T("   401511")</f>
        <v xml:space="preserve">   401511</v>
      </c>
      <c r="B10257" t="str">
        <f>T("   POUR CHIRURGIE")</f>
        <v xml:space="preserve">   POUR CHIRURGIE</v>
      </c>
      <c r="C10257" s="4">
        <v>10000</v>
      </c>
      <c r="D10257" s="4">
        <v>2656680</v>
      </c>
    </row>
    <row r="10258" spans="1:4" x14ac:dyDescent="0.25">
      <c r="A10258" t="str">
        <f>T("   410121")</f>
        <v xml:space="preserve">   410121</v>
      </c>
      <c r="B10258" t="str">
        <f>T("   PEAUX ENTIERES DE BOVINS FRAICHES OU SALEES VERTES")</f>
        <v xml:space="preserve">   PEAUX ENTIERES DE BOVINS FRAICHES OU SALEES VERTES</v>
      </c>
      <c r="C10258" s="4">
        <v>600</v>
      </c>
      <c r="D10258" s="4">
        <v>358100</v>
      </c>
    </row>
    <row r="10259" spans="1:4" x14ac:dyDescent="0.25">
      <c r="A10259" t="str">
        <f>T("   410130")</f>
        <v xml:space="preserve">   410130</v>
      </c>
      <c r="B10259" t="str">
        <f>T("   AUTRES PEAUX DE BOVINS AUTREMENT CONSERVEES")</f>
        <v xml:space="preserve">   AUTRES PEAUX DE BOVINS AUTREMENT CONSERVEES</v>
      </c>
      <c r="C10259" s="4">
        <v>20780</v>
      </c>
      <c r="D10259" s="4">
        <v>214862</v>
      </c>
    </row>
    <row r="10260" spans="1:4" x14ac:dyDescent="0.25">
      <c r="A10260" t="str">
        <f>T("   410150")</f>
        <v xml:space="preserve">   410150</v>
      </c>
      <c r="B10260" t="str">
        <f>T("   CUIRS ET PEAUX BRUTS ENTIERS, D’UN POIDS UNITAIRE EXCEDANT 16 KG")</f>
        <v xml:space="preserve">   CUIRS ET PEAUX BRUTS ENTIERS, D’UN POIDS UNITAIRE EXCEDANT 16 KG</v>
      </c>
      <c r="C10260" s="4">
        <v>68060</v>
      </c>
      <c r="D10260" s="4">
        <v>376057</v>
      </c>
    </row>
    <row r="10261" spans="1:4" x14ac:dyDescent="0.25">
      <c r="A10261" t="str">
        <f>T("   410390")</f>
        <v xml:space="preserve">   410390</v>
      </c>
      <c r="B10261" t="str">
        <f>T("   AUTRES")</f>
        <v xml:space="preserve">   AUTRES</v>
      </c>
      <c r="C10261" s="4">
        <v>25620</v>
      </c>
      <c r="D10261" s="4">
        <v>286473</v>
      </c>
    </row>
    <row r="10262" spans="1:4" x14ac:dyDescent="0.25">
      <c r="A10262" t="str">
        <f>T("   420211")</f>
        <v xml:space="preserve">   420211</v>
      </c>
      <c r="B10262" t="str">
        <f>T("   A SURFACE EXTERIEURE EN CUIR NATUREL OU EN CUIR RECONSTITUE")</f>
        <v xml:space="preserve">   A SURFACE EXTERIEURE EN CUIR NATUREL OU EN CUIR RECONSTITUE</v>
      </c>
      <c r="C10262" s="4">
        <v>1920</v>
      </c>
      <c r="D10262" s="4">
        <v>827690</v>
      </c>
    </row>
    <row r="10263" spans="1:4" x14ac:dyDescent="0.25">
      <c r="A10263" t="str">
        <f>T("   420212")</f>
        <v xml:space="preserve">   420212</v>
      </c>
      <c r="B10263" t="str">
        <f>T("   A SURFACE EXTERIEURE EN MATIERES PLASTIQUES OU EN MATIERES TEXTILES")</f>
        <v xml:space="preserve">   A SURFACE EXTERIEURE EN MATIERES PLASTIQUES OU EN MATIERES TEXTILES</v>
      </c>
      <c r="C10263" s="4">
        <v>3323</v>
      </c>
      <c r="D10263" s="4">
        <v>943694</v>
      </c>
    </row>
    <row r="10264" spans="1:4" x14ac:dyDescent="0.25">
      <c r="A10264" t="str">
        <f>T("   420219")</f>
        <v xml:space="preserve">   420219</v>
      </c>
      <c r="B10264" t="str">
        <f>T("   AUTRES")</f>
        <v xml:space="preserve">   AUTRES</v>
      </c>
      <c r="C10264" s="4">
        <v>11880</v>
      </c>
      <c r="D10264" s="4">
        <v>3046513</v>
      </c>
    </row>
    <row r="10265" spans="1:4" x14ac:dyDescent="0.25">
      <c r="A10265" t="str">
        <f>T("   420221")</f>
        <v xml:space="preserve">   420221</v>
      </c>
      <c r="B10265" t="str">
        <f>T("   A SURFACE EXTERIEURE EN CUIR NATUREL OU EN CUIR RECONSTITUE")</f>
        <v xml:space="preserve">   A SURFACE EXTERIEURE EN CUIR NATUREL OU EN CUIR RECONSTITUE</v>
      </c>
      <c r="C10265" s="4">
        <v>21440</v>
      </c>
      <c r="D10265" s="4">
        <v>4759230</v>
      </c>
    </row>
    <row r="10266" spans="1:4" x14ac:dyDescent="0.25">
      <c r="A10266" t="str">
        <f>T("   420222")</f>
        <v xml:space="preserve">   420222</v>
      </c>
      <c r="B10266" t="str">
        <f>T("   A SURFACE EXTERIEURE EN FEUILLES DE MATIERES PLASTIQUES OU EN MATIERES TEXTILES")</f>
        <v xml:space="preserve">   A SURFACE EXTERIEURE EN FEUILLES DE MATIERES PLASTIQUES OU EN MATIERES TEXTILES</v>
      </c>
      <c r="C10266" s="4">
        <v>57353</v>
      </c>
      <c r="D10266" s="4">
        <v>22545890</v>
      </c>
    </row>
    <row r="10267" spans="1:4" x14ac:dyDescent="0.25">
      <c r="A10267" t="str">
        <f>T("   420229")</f>
        <v xml:space="preserve">   420229</v>
      </c>
      <c r="B10267" t="str">
        <f>T("   AUTRES")</f>
        <v xml:space="preserve">   AUTRES</v>
      </c>
      <c r="C10267" s="4">
        <v>79875</v>
      </c>
      <c r="D10267" s="4">
        <v>18828762</v>
      </c>
    </row>
    <row r="10268" spans="1:4" x14ac:dyDescent="0.25">
      <c r="A10268" t="str">
        <f>T("   420239")</f>
        <v xml:space="preserve">   420239</v>
      </c>
      <c r="B10268" t="str">
        <f>T("   AUTRES")</f>
        <v xml:space="preserve">   AUTRES</v>
      </c>
      <c r="C10268" s="4">
        <v>29209</v>
      </c>
      <c r="D10268" s="4">
        <v>30072769</v>
      </c>
    </row>
    <row r="10269" spans="1:4" x14ac:dyDescent="0.25">
      <c r="A10269" t="str">
        <f>T("   420291")</f>
        <v xml:space="preserve">   420291</v>
      </c>
      <c r="B10269" t="str">
        <f>T("   A SURFACE EXTERIEURE EN CUIR NATUREL OU EN CUIR RECONSTITUE")</f>
        <v xml:space="preserve">   A SURFACE EXTERIEURE EN CUIR NATUREL OU EN CUIR RECONSTITUE</v>
      </c>
      <c r="C10269" s="4">
        <v>100</v>
      </c>
      <c r="D10269" s="4">
        <v>65538</v>
      </c>
    </row>
    <row r="10270" spans="1:4" x14ac:dyDescent="0.25">
      <c r="A10270" t="str">
        <f>T("   420292")</f>
        <v xml:space="preserve">   420292</v>
      </c>
      <c r="B10270" t="str">
        <f>T("   A SURFACE EXTERIEURE EN FEUILLES DE MATIERES PLASTIQUES OU EN MATIERES TEXTILES")</f>
        <v xml:space="preserve">   A SURFACE EXTERIEURE EN FEUILLES DE MATIERES PLASTIQUES OU EN MATIERES TEXTILES</v>
      </c>
      <c r="C10270" s="4">
        <v>33294</v>
      </c>
      <c r="D10270" s="4">
        <v>8175471</v>
      </c>
    </row>
    <row r="10271" spans="1:4" x14ac:dyDescent="0.25">
      <c r="A10271" t="str">
        <f>T("   420299")</f>
        <v xml:space="preserve">   420299</v>
      </c>
      <c r="B10271" t="str">
        <f>T("   AUTRES")</f>
        <v xml:space="preserve">   AUTRES</v>
      </c>
      <c r="C10271" s="4">
        <v>275608</v>
      </c>
      <c r="D10271" s="4">
        <v>92790107</v>
      </c>
    </row>
    <row r="10272" spans="1:4" x14ac:dyDescent="0.25">
      <c r="A10272" t="str">
        <f>T("   420329")</f>
        <v xml:space="preserve">   420329</v>
      </c>
      <c r="B10272" t="str">
        <f>T("   AUTRES")</f>
        <v xml:space="preserve">   AUTRES</v>
      </c>
      <c r="C10272" s="4">
        <v>2000</v>
      </c>
      <c r="D10272" s="4">
        <v>436919</v>
      </c>
    </row>
    <row r="10273" spans="1:4" x14ac:dyDescent="0.25">
      <c r="A10273" t="str">
        <f>T("   420330")</f>
        <v xml:space="preserve">   420330</v>
      </c>
      <c r="B10273" t="str">
        <f>T("   CEINTURES, CEINTURONS ET BAUDRIERS")</f>
        <v xml:space="preserve">   CEINTURES, CEINTURONS ET BAUDRIERS</v>
      </c>
      <c r="C10273" s="4">
        <v>5080</v>
      </c>
      <c r="D10273" s="4">
        <v>521846</v>
      </c>
    </row>
    <row r="10274" spans="1:4" x14ac:dyDescent="0.25">
      <c r="A10274" t="str">
        <f>T("   440290")</f>
        <v xml:space="preserve">   440290</v>
      </c>
      <c r="B10274" t="str">
        <f>T("   AUTRES")</f>
        <v xml:space="preserve">   AUTRES</v>
      </c>
      <c r="C10274" s="4">
        <v>54940</v>
      </c>
      <c r="D10274" s="4">
        <v>680394</v>
      </c>
    </row>
    <row r="10275" spans="1:4" x14ac:dyDescent="0.25">
      <c r="A10275" t="str">
        <f>T("   440890")</f>
        <v xml:space="preserve">   440890</v>
      </c>
      <c r="B10275" t="str">
        <f>T("   AUTRES")</f>
        <v xml:space="preserve">   AUTRES</v>
      </c>
      <c r="C10275" s="4">
        <v>40000</v>
      </c>
      <c r="D10275" s="4">
        <v>14000000</v>
      </c>
    </row>
    <row r="10276" spans="1:4" x14ac:dyDescent="0.25">
      <c r="A10276" t="str">
        <f>T("   441231")</f>
        <v xml:space="preserve">   441231</v>
      </c>
      <c r="B10276" t="str">
        <f>T("   AYANT AU MOINS UN PLI EXTERIEUR EN BOIS TROPICAUX VISES A LA NOTE 2 DE SOUSPOSITION")</f>
        <v xml:space="preserve">   AYANT AU MOINS UN PLI EXTERIEUR EN BOIS TROPICAUX VISES A LA NOTE 2 DE SOUSPOSITION</v>
      </c>
      <c r="C10276" s="4">
        <v>220800</v>
      </c>
      <c r="D10276" s="4">
        <v>67000000</v>
      </c>
    </row>
    <row r="10277" spans="1:4" x14ac:dyDescent="0.25">
      <c r="A10277" t="str">
        <f>T("   441232")</f>
        <v xml:space="preserve">   441232</v>
      </c>
      <c r="B10277" t="str">
        <f>T("   AUTRES, AYANT AU MOINS UN PLI EXTERIEUR EN BOIS AUTRES QUE DE CONIFERES")</f>
        <v xml:space="preserve">   AUTRES, AYANT AU MOINS UN PLI EXTERIEUR EN BOIS AUTRES QUE DE CONIFERES</v>
      </c>
      <c r="C10277" s="4">
        <v>128980</v>
      </c>
      <c r="D10277" s="4">
        <v>38154301</v>
      </c>
    </row>
    <row r="10278" spans="1:4" x14ac:dyDescent="0.25">
      <c r="A10278" t="str">
        <f>T("   441239")</f>
        <v xml:space="preserve">   441239</v>
      </c>
      <c r="B10278" t="str">
        <f>T("   AUTRES")</f>
        <v xml:space="preserve">   AUTRES</v>
      </c>
      <c r="C10278" s="4">
        <v>61190</v>
      </c>
      <c r="D10278" s="4">
        <v>20087996</v>
      </c>
    </row>
    <row r="10279" spans="1:4" x14ac:dyDescent="0.25">
      <c r="A10279" t="str">
        <f>T("   441299")</f>
        <v xml:space="preserve">   441299</v>
      </c>
      <c r="B10279" t="str">
        <f>T("   AUTRES")</f>
        <v xml:space="preserve">   AUTRES</v>
      </c>
      <c r="C10279" s="4">
        <v>900</v>
      </c>
      <c r="D10279" s="4">
        <v>481199</v>
      </c>
    </row>
    <row r="10280" spans="1:4" x14ac:dyDescent="0.25">
      <c r="A10280" t="str">
        <f>T("   441520")</f>
        <v xml:space="preserve">   441520</v>
      </c>
      <c r="B10280" t="str">
        <f>T("   PALETTES SIMPLES, PALETTESCAISSES ET AUTRES PLATEAUX DE CHARGEMENT; REHAUSSES DE PAL")</f>
        <v xml:space="preserve">   PALETTES SIMPLES, PALETTESCAISSES ET AUTRES PLATEAUX DE CHARGEMENT; REHAUSSES DE PAL</v>
      </c>
      <c r="C10280" s="4">
        <v>12000</v>
      </c>
      <c r="D10280" s="4">
        <v>1500000</v>
      </c>
    </row>
    <row r="10281" spans="1:4" x14ac:dyDescent="0.25">
      <c r="A10281" t="str">
        <f>T("   441810")</f>
        <v xml:space="preserve">   441810</v>
      </c>
      <c r="B10281" t="str">
        <f>T("   FENETRES, PORTESFENETRES ET LEURS CADRES ET CHAMBRANLES")</f>
        <v xml:space="preserve">   FENETRES, PORTESFENETRES ET LEURS CADRES ET CHAMBRANLES</v>
      </c>
      <c r="C10281" s="4">
        <v>83990</v>
      </c>
      <c r="D10281" s="4">
        <v>1310691</v>
      </c>
    </row>
    <row r="10282" spans="1:4" x14ac:dyDescent="0.25">
      <c r="A10282" t="str">
        <f>T("   441820")</f>
        <v xml:space="preserve">   441820</v>
      </c>
      <c r="B10282" t="str">
        <f>T("   PORTES ET LEURS CADRES, CHAMBRANLES ET SEUILS")</f>
        <v xml:space="preserve">   PORTES ET LEURS CADRES, CHAMBRANLES ET SEUILS</v>
      </c>
      <c r="C10282" s="4">
        <v>950</v>
      </c>
      <c r="D10282" s="4">
        <v>502456</v>
      </c>
    </row>
    <row r="10283" spans="1:4" x14ac:dyDescent="0.25">
      <c r="A10283" t="str">
        <f>T("   441890")</f>
        <v xml:space="preserve">   441890</v>
      </c>
      <c r="B10283" t="str">
        <f>T("   AUTRES")</f>
        <v xml:space="preserve">   AUTRES</v>
      </c>
      <c r="C10283" s="4">
        <v>25620</v>
      </c>
      <c r="D10283" s="4">
        <v>587384</v>
      </c>
    </row>
    <row r="10284" spans="1:4" x14ac:dyDescent="0.25">
      <c r="A10284" t="str">
        <f>T("   442010")</f>
        <v xml:space="preserve">   442010</v>
      </c>
      <c r="B10284" t="str">
        <f>T("   STATUETTES ET AUTRES OBJETS D'ORNEMENT, EN BOIS")</f>
        <v xml:space="preserve">   STATUETTES ET AUTRES OBJETS D'ORNEMENT, EN BOIS</v>
      </c>
      <c r="C10284" s="4">
        <v>90</v>
      </c>
      <c r="D10284" s="4">
        <v>21846</v>
      </c>
    </row>
    <row r="10285" spans="1:4" x14ac:dyDescent="0.25">
      <c r="A10285" t="str">
        <f>T("   442090")</f>
        <v xml:space="preserve">   442090</v>
      </c>
      <c r="B10285" t="str">
        <f>T("   AUTRES")</f>
        <v xml:space="preserve">   AUTRES</v>
      </c>
      <c r="C10285" s="4">
        <v>1305</v>
      </c>
      <c r="D10285" s="4">
        <v>109230</v>
      </c>
    </row>
    <row r="10286" spans="1:4" x14ac:dyDescent="0.25">
      <c r="A10286" t="str">
        <f>T("   442190")</f>
        <v xml:space="preserve">   442190</v>
      </c>
      <c r="B10286" t="str">
        <f>T("   AUTRES")</f>
        <v xml:space="preserve">   AUTRES</v>
      </c>
      <c r="C10286" s="4">
        <v>169</v>
      </c>
      <c r="D10286" s="4">
        <v>822624</v>
      </c>
    </row>
    <row r="10287" spans="1:4" x14ac:dyDescent="0.25">
      <c r="A10287" t="str">
        <f>T("   460199")</f>
        <v xml:space="preserve">   460199</v>
      </c>
      <c r="B10287" t="str">
        <f>T("   AUTRES")</f>
        <v xml:space="preserve">   AUTRES</v>
      </c>
      <c r="C10287" s="4">
        <v>260141</v>
      </c>
      <c r="D10287" s="4">
        <v>71660957</v>
      </c>
    </row>
    <row r="10288" spans="1:4" x14ac:dyDescent="0.25">
      <c r="A10288" t="str">
        <f>T("   470790")</f>
        <v xml:space="preserve">   470790</v>
      </c>
      <c r="B10288" t="str">
        <f>T("   AUTRES, Y COMPRIS LES DECHETS ET REBUTS NON TRIES")</f>
        <v xml:space="preserve">   AUTRES, Y COMPRIS LES DECHETS ET REBUTS NON TRIES</v>
      </c>
      <c r="C10288" s="4">
        <v>68800</v>
      </c>
      <c r="D10288" s="4">
        <v>4482900</v>
      </c>
    </row>
    <row r="10289" spans="1:4" x14ac:dyDescent="0.25">
      <c r="A10289" t="str">
        <f>T("   480220")</f>
        <v xml:space="preserve">   480220</v>
      </c>
      <c r="B10289" t="str">
        <f>T("   PAPIERS ET CARTONS SUPPORTS POUR PAPIERS OU CARTONS PHOTOSENSIBLES, SENSIBLES A LA CH")</f>
        <v xml:space="preserve">   PAPIERS ET CARTONS SUPPORTS POUR PAPIERS OU CARTONS PHOTOSENSIBLES, SENSIBLES A LA CH</v>
      </c>
      <c r="C10289" s="4">
        <v>150</v>
      </c>
      <c r="D10289" s="4">
        <v>17907</v>
      </c>
    </row>
    <row r="10290" spans="1:4" x14ac:dyDescent="0.25">
      <c r="A10290" t="str">
        <f>T("   480300")</f>
        <v xml:space="preserve">   480300</v>
      </c>
      <c r="B10290" t="str">
        <f>T("   PAPIERS DES TYPES UTILISES POUR PAPIERS DE TOILETTE, POUR SERVIETTES A DEMAQUILLER, POU")</f>
        <v xml:space="preserve">   PAPIERS DES TYPES UTILISES POUR PAPIERS DE TOILETTE, POUR SERVIETTES A DEMAQUILLER, POU</v>
      </c>
      <c r="C10290" s="4">
        <v>7578</v>
      </c>
      <c r="D10290" s="4">
        <v>2173778</v>
      </c>
    </row>
    <row r="10291" spans="1:4" x14ac:dyDescent="0.25">
      <c r="A10291" t="str">
        <f>T("   480530")</f>
        <v xml:space="preserve">   480530</v>
      </c>
      <c r="B10291" t="str">
        <f>T("   PAPIER SULFITE D'EMBALLAGE")</f>
        <v xml:space="preserve">   PAPIER SULFITE D'EMBALLAGE</v>
      </c>
      <c r="C10291" s="4">
        <v>2500</v>
      </c>
      <c r="D10291" s="4">
        <v>895245</v>
      </c>
    </row>
    <row r="10292" spans="1:4" x14ac:dyDescent="0.25">
      <c r="A10292" t="str">
        <f>T("   481159")</f>
        <v xml:space="preserve">   481159</v>
      </c>
      <c r="B10292" t="str">
        <f>T("   AUTRES")</f>
        <v xml:space="preserve">   AUTRES</v>
      </c>
      <c r="C10292" s="4">
        <v>275</v>
      </c>
      <c r="D10292" s="4">
        <v>51368</v>
      </c>
    </row>
    <row r="10293" spans="1:4" x14ac:dyDescent="0.25">
      <c r="A10293" t="str">
        <f>T("   481710")</f>
        <v xml:space="preserve">   481710</v>
      </c>
      <c r="B10293" t="str">
        <f>T("   Enveloppes")</f>
        <v xml:space="preserve">   Enveloppes</v>
      </c>
      <c r="C10293" s="4">
        <v>2500</v>
      </c>
      <c r="D10293" s="4">
        <v>327690</v>
      </c>
    </row>
    <row r="10294" spans="1:4" x14ac:dyDescent="0.25">
      <c r="A10294" t="str">
        <f>T("   481810")</f>
        <v xml:space="preserve">   481810</v>
      </c>
      <c r="B10294" t="str">
        <f>T("   Papier hygienique")</f>
        <v xml:space="preserve">   Papier hygienique</v>
      </c>
      <c r="C10294" s="4">
        <v>112346</v>
      </c>
      <c r="D10294" s="4">
        <v>22900116</v>
      </c>
    </row>
    <row r="10295" spans="1:4" x14ac:dyDescent="0.25">
      <c r="A10295" t="str">
        <f>T("   481820")</f>
        <v xml:space="preserve">   481820</v>
      </c>
      <c r="B10295" t="str">
        <f>T("   MOUCHOIRS, SERVIETTES A DEMAQUILLER ET ESSUIEMAINS")</f>
        <v xml:space="preserve">   MOUCHOIRS, SERVIETTES A DEMAQUILLER ET ESSUIEMAINS</v>
      </c>
      <c r="C10295" s="4">
        <v>16940</v>
      </c>
      <c r="D10295" s="4">
        <v>4535482</v>
      </c>
    </row>
    <row r="10296" spans="1:4" x14ac:dyDescent="0.25">
      <c r="A10296" t="str">
        <f>T("   481830")</f>
        <v xml:space="preserve">   481830</v>
      </c>
      <c r="B10296" t="str">
        <f>T("   NAPPES ET SERVIETTES DE TABLE")</f>
        <v xml:space="preserve">   NAPPES ET SERVIETTES DE TABLE</v>
      </c>
      <c r="C10296" s="4">
        <v>7200</v>
      </c>
      <c r="D10296" s="4">
        <v>2642150</v>
      </c>
    </row>
    <row r="10297" spans="1:4" x14ac:dyDescent="0.25">
      <c r="A10297" t="str">
        <f>T("   481840")</f>
        <v xml:space="preserve">   481840</v>
      </c>
      <c r="B10297" t="str">
        <f>T("   SERVIETTES,TAMPONS HYGIENIQUES,COUCHES POUR BEBES ET SIMILAIRES EN PAPIER")</f>
        <v xml:space="preserve">   SERVIETTES,TAMPONS HYGIENIQUES,COUCHES POUR BEBES ET SIMILAIRES EN PAPIER</v>
      </c>
      <c r="C10297" s="4">
        <v>471445</v>
      </c>
      <c r="D10297" s="4">
        <v>139070794</v>
      </c>
    </row>
    <row r="10298" spans="1:4" x14ac:dyDescent="0.25">
      <c r="A10298" t="str">
        <f>T("   481890")</f>
        <v xml:space="preserve">   481890</v>
      </c>
      <c r="B10298" t="str">
        <f>T("   AUTRES")</f>
        <v xml:space="preserve">   AUTRES</v>
      </c>
      <c r="C10298" s="4">
        <v>2014</v>
      </c>
      <c r="D10298" s="4">
        <v>800000</v>
      </c>
    </row>
    <row r="10299" spans="1:4" x14ac:dyDescent="0.25">
      <c r="A10299" t="str">
        <f>T("   481910")</f>
        <v xml:space="preserve">   481910</v>
      </c>
      <c r="B10299" t="str">
        <f>T("   BOITES ET CAISSES EN PAPIER OU CARTON ONDULE")</f>
        <v xml:space="preserve">   BOITES ET CAISSES EN PAPIER OU CARTON ONDULE</v>
      </c>
      <c r="C10299" s="4">
        <v>195083</v>
      </c>
      <c r="D10299" s="4">
        <v>85042907</v>
      </c>
    </row>
    <row r="10300" spans="1:4" x14ac:dyDescent="0.25">
      <c r="A10300" t="str">
        <f>T("   481920")</f>
        <v xml:space="preserve">   481920</v>
      </c>
      <c r="B10300" t="str">
        <f>T("   BOITES ET CARTONNAGES, PLIANTS, EN PAPIER OU CARTON NON ONDULE")</f>
        <v xml:space="preserve">   BOITES ET CARTONNAGES, PLIANTS, EN PAPIER OU CARTON NON ONDULE</v>
      </c>
      <c r="C10300" s="4">
        <v>45928</v>
      </c>
      <c r="D10300" s="4">
        <v>20415003</v>
      </c>
    </row>
    <row r="10301" spans="1:4" x14ac:dyDescent="0.25">
      <c r="A10301" t="str">
        <f>T("   481930")</f>
        <v xml:space="preserve">   481930</v>
      </c>
      <c r="B10301" t="str">
        <f>T("   SACS D'UNE LARGEUR A LA BASE DE 40 CM OU PLUS")</f>
        <v xml:space="preserve">   SACS D'UNE LARGEUR A LA BASE DE 40 CM OU PLUS</v>
      </c>
      <c r="C10301" s="4">
        <v>594134</v>
      </c>
      <c r="D10301" s="4">
        <v>458881515</v>
      </c>
    </row>
    <row r="10302" spans="1:4" x14ac:dyDescent="0.25">
      <c r="A10302" t="str">
        <f>T("   481940")</f>
        <v xml:space="preserve">   481940</v>
      </c>
      <c r="B10302" t="str">
        <f>T("   AUTRES SACS; SACHETS, POCHETTES (AUTRES QUE CELLES POUR DISQUES) ET CORNETS")</f>
        <v xml:space="preserve">   AUTRES SACS; SACHETS, POCHETTES (AUTRES QUE CELLES POUR DISQUES) ET CORNETS</v>
      </c>
      <c r="C10302" s="4">
        <v>5940</v>
      </c>
      <c r="D10302" s="4">
        <v>43692</v>
      </c>
    </row>
    <row r="10303" spans="1:4" x14ac:dyDescent="0.25">
      <c r="A10303" t="str">
        <f>T("   481960")</f>
        <v xml:space="preserve">   481960</v>
      </c>
      <c r="B10303" t="str">
        <f>T("   CARTONNAGES DE BUREAU, DE MAGASIN OU SIMILAIRES")</f>
        <v xml:space="preserve">   CARTONNAGES DE BUREAU, DE MAGASIN OU SIMILAIRES</v>
      </c>
      <c r="C10303" s="4">
        <v>451372</v>
      </c>
      <c r="D10303" s="4">
        <v>251276827</v>
      </c>
    </row>
    <row r="10304" spans="1:4" x14ac:dyDescent="0.25">
      <c r="A10304" t="str">
        <f>T("   482010")</f>
        <v xml:space="preserve">   482010</v>
      </c>
      <c r="B10304" t="str">
        <f>T("   REGISTRES, LIVRES COMPTABLES, CARNETS (DE NOTES, DE COMMANDES, DE QUITTANCES), BLOCS")</f>
        <v xml:space="preserve">   REGISTRES, LIVRES COMPTABLES, CARNETS (DE NOTES, DE COMMANDES, DE QUITTANCES), BLOCS</v>
      </c>
      <c r="C10304" s="4">
        <v>7503</v>
      </c>
      <c r="D10304" s="4">
        <v>1640326</v>
      </c>
    </row>
    <row r="10305" spans="1:4" x14ac:dyDescent="0.25">
      <c r="A10305" t="str">
        <f>T("   482020")</f>
        <v xml:space="preserve">   482020</v>
      </c>
      <c r="B10305" t="str">
        <f>T("   Cahiers")</f>
        <v xml:space="preserve">   Cahiers</v>
      </c>
      <c r="C10305" s="4">
        <v>164106</v>
      </c>
      <c r="D10305" s="4">
        <v>14699485</v>
      </c>
    </row>
    <row r="10306" spans="1:4" x14ac:dyDescent="0.25">
      <c r="A10306" t="str">
        <f>T("   482030")</f>
        <v xml:space="preserve">   482030</v>
      </c>
      <c r="B10306" t="str">
        <f>T("   CLASSEURS, RELIURES (AUTRES QUE LES COUVERTURES POUR LIVRES), CHEMISES ET COUVERTURES")</f>
        <v xml:space="preserve">   CLASSEURS, RELIURES (AUTRES QUE LES COUVERTURES POUR LIVRES), CHEMISES ET COUVERTURES</v>
      </c>
      <c r="C10306" s="4">
        <v>36393</v>
      </c>
      <c r="D10306" s="4">
        <v>15039358</v>
      </c>
    </row>
    <row r="10307" spans="1:4" x14ac:dyDescent="0.25">
      <c r="A10307" t="str">
        <f>T("   482040")</f>
        <v xml:space="preserve">   482040</v>
      </c>
      <c r="B10307" t="str">
        <f>T("   LIASSES ET CARNETS MANIFOLD, MEME COMPORTANT DES FEUILLES DE PAPIER CARBONE")</f>
        <v xml:space="preserve">   LIASSES ET CARNETS MANIFOLD, MEME COMPORTANT DES FEUILLES DE PAPIER CARBONE</v>
      </c>
      <c r="C10307" s="4">
        <v>648</v>
      </c>
      <c r="D10307" s="4">
        <v>602776</v>
      </c>
    </row>
    <row r="10308" spans="1:4" x14ac:dyDescent="0.25">
      <c r="A10308" t="str">
        <f>T("   482110")</f>
        <v xml:space="preserve">   482110</v>
      </c>
      <c r="B10308" t="str">
        <f>T("   IMPRIMEES")</f>
        <v xml:space="preserve">   IMPRIMEES</v>
      </c>
      <c r="C10308" s="4">
        <v>192</v>
      </c>
      <c r="D10308" s="4">
        <v>1314844</v>
      </c>
    </row>
    <row r="10309" spans="1:4" x14ac:dyDescent="0.25">
      <c r="A10309" t="str">
        <f>T("   482340")</f>
        <v xml:space="preserve">   482340</v>
      </c>
      <c r="B10309" t="str">
        <f>T("   PAPIERS A DIAGRAMMES POUR APPAREILS ENREGISTREURS, EN BOBINES, EN FEUILLES OU EN DISQ")</f>
        <v xml:space="preserve">   PAPIERS A DIAGRAMMES POUR APPAREILS ENREGISTREURS, EN BOBINES, EN FEUILLES OU EN DISQ</v>
      </c>
      <c r="C10309" s="4">
        <v>500</v>
      </c>
      <c r="D10309" s="4">
        <v>65540</v>
      </c>
    </row>
    <row r="10310" spans="1:4" x14ac:dyDescent="0.25">
      <c r="A10310" t="str">
        <f>T("   490191")</f>
        <v xml:space="preserve">   490191</v>
      </c>
      <c r="B10310" t="str">
        <f>T("   DICTIONNAIRES ET ENCYCLOPEDIES, MEME EN FASCICULES")</f>
        <v xml:space="preserve">   DICTIONNAIRES ET ENCYCLOPEDIES, MEME EN FASCICULES</v>
      </c>
      <c r="C10310" s="4">
        <v>400</v>
      </c>
      <c r="D10310" s="4">
        <v>141844</v>
      </c>
    </row>
    <row r="10311" spans="1:4" x14ac:dyDescent="0.25">
      <c r="A10311" t="str">
        <f>T("   490199")</f>
        <v xml:space="preserve">   490199</v>
      </c>
      <c r="B10311" t="str">
        <f>T("   AUTRES")</f>
        <v xml:space="preserve">   AUTRES</v>
      </c>
      <c r="C10311" s="4">
        <v>18090</v>
      </c>
      <c r="D10311" s="4">
        <v>2576072</v>
      </c>
    </row>
    <row r="10312" spans="1:4" x14ac:dyDescent="0.25">
      <c r="A10312" t="str">
        <f>T("   490510")</f>
        <v xml:space="preserve">   490510</v>
      </c>
      <c r="B10312" t="str">
        <f>T("   Globes")</f>
        <v xml:space="preserve">   Globes</v>
      </c>
      <c r="C10312" s="4">
        <v>500</v>
      </c>
      <c r="D10312" s="4">
        <v>400000</v>
      </c>
    </row>
    <row r="10313" spans="1:4" x14ac:dyDescent="0.25">
      <c r="A10313" t="str">
        <f>T("   490700")</f>
        <v xml:space="preserve">   490700</v>
      </c>
      <c r="B10313" t="str">
        <f>T("   TIMBRESPOSTE, TIMBRES FISCAUX ET ANALOGUES, NON OBLITERES, AYANT COURS OU DESTINES A A")</f>
        <v xml:space="preserve">   TIMBRESPOSTE, TIMBRES FISCAUX ET ANALOGUES, NON OBLITERES, AYANT COURS OU DESTINES A A</v>
      </c>
      <c r="C10313" s="4">
        <v>70</v>
      </c>
      <c r="D10313" s="4">
        <v>318544</v>
      </c>
    </row>
    <row r="10314" spans="1:4" x14ac:dyDescent="0.25">
      <c r="A10314" t="str">
        <f>T("   491000")</f>
        <v xml:space="preserve">   491000</v>
      </c>
      <c r="B10314" t="str">
        <f>T("   CALENDRIERS DE TOUS GENRES, IMPRIMES, Y COMPRIS LES BLOCS DE CALENDRIERS A EFFEUILLER.")</f>
        <v xml:space="preserve">   CALENDRIERS DE TOUS GENRES, IMPRIMES, Y COMPRIS LES BLOCS DE CALENDRIERS A EFFEUILLER.</v>
      </c>
      <c r="C10314" s="4">
        <v>2060</v>
      </c>
      <c r="D10314" s="4">
        <v>4475598</v>
      </c>
    </row>
    <row r="10315" spans="1:4" x14ac:dyDescent="0.25">
      <c r="A10315" t="str">
        <f>T("   491110")</f>
        <v xml:space="preserve">   491110</v>
      </c>
      <c r="B10315" t="str">
        <f>T("   IMPRIMES PUBLICITAIRES, CATALOGUES COMMERCIAUX ET SIMILAIRES")</f>
        <v xml:space="preserve">   IMPRIMES PUBLICITAIRES, CATALOGUES COMMERCIAUX ET SIMILAIRES</v>
      </c>
      <c r="C10315" s="4">
        <v>71.349999999999994</v>
      </c>
      <c r="D10315" s="4">
        <v>1024935</v>
      </c>
    </row>
    <row r="10316" spans="1:4" x14ac:dyDescent="0.25">
      <c r="A10316" t="str">
        <f>T("   511119")</f>
        <v xml:space="preserve">   511119</v>
      </c>
      <c r="B10316" t="str">
        <f>T("   AUTRES")</f>
        <v xml:space="preserve">   AUTRES</v>
      </c>
      <c r="C10316" s="4">
        <v>7500</v>
      </c>
      <c r="D10316" s="4">
        <v>8725505</v>
      </c>
    </row>
    <row r="10317" spans="1:4" x14ac:dyDescent="0.25">
      <c r="A10317" t="str">
        <f>T("   511211")</f>
        <v xml:space="preserve">   511211</v>
      </c>
      <c r="B10317" t="str">
        <f>T("   D'UN POIDS N'EXCEDANT PAS 200 G/M²")</f>
        <v xml:space="preserve">   D'UN POIDS N'EXCEDANT PAS 200 G/M²</v>
      </c>
      <c r="C10317" s="4">
        <v>9700</v>
      </c>
      <c r="D10317" s="4">
        <v>2684599</v>
      </c>
    </row>
    <row r="10318" spans="1:4" x14ac:dyDescent="0.25">
      <c r="A10318" t="str">
        <f>T("   511219")</f>
        <v xml:space="preserve">   511219</v>
      </c>
      <c r="B10318" t="str">
        <f>T("   AUTRES")</f>
        <v xml:space="preserve">   AUTRES</v>
      </c>
      <c r="C10318" s="4">
        <v>3000</v>
      </c>
      <c r="D10318" s="4">
        <v>1400000</v>
      </c>
    </row>
    <row r="10319" spans="1:4" x14ac:dyDescent="0.25">
      <c r="A10319" t="str">
        <f>T("   511220")</f>
        <v xml:space="preserve">   511220</v>
      </c>
      <c r="B10319" t="str">
        <f>T("   AUTRES, MELANGES PRINCIPALEMENT OU UNIQUEMENT AVEC DES FILAMENTS SYNTHETIQUES OU ARTI")</f>
        <v xml:space="preserve">   AUTRES, MELANGES PRINCIPALEMENT OU UNIQUEMENT AVEC DES FILAMENTS SYNTHETIQUES OU ARTI</v>
      </c>
      <c r="C10319" s="4">
        <v>2000</v>
      </c>
      <c r="D10319" s="4">
        <v>500000</v>
      </c>
    </row>
    <row r="10320" spans="1:4" x14ac:dyDescent="0.25">
      <c r="A10320" t="str">
        <f>T("   511230")</f>
        <v xml:space="preserve">   511230</v>
      </c>
      <c r="B10320" t="str">
        <f>T("   AUTRES, MELANGES PRINCIPALEMENT OU UNIQUEMENT AVEC DES FIBRES SYNTHETIQUES OU ARTIFIC")</f>
        <v xml:space="preserve">   AUTRES, MELANGES PRINCIPALEMENT OU UNIQUEMENT AVEC DES FIBRES SYNTHETIQUES OU ARTIFIC</v>
      </c>
      <c r="C10320" s="4">
        <v>31720</v>
      </c>
      <c r="D10320" s="4">
        <v>8250807</v>
      </c>
    </row>
    <row r="10321" spans="1:4" x14ac:dyDescent="0.25">
      <c r="A10321" t="str">
        <f>T("   511290")</f>
        <v xml:space="preserve">   511290</v>
      </c>
      <c r="B10321" t="str">
        <f>T("   AUTRES")</f>
        <v xml:space="preserve">   AUTRES</v>
      </c>
      <c r="C10321" s="4">
        <v>2203</v>
      </c>
      <c r="D10321" s="4">
        <v>577358</v>
      </c>
    </row>
    <row r="10322" spans="1:4" x14ac:dyDescent="0.25">
      <c r="A10322" t="str">
        <f>T("   520100")</f>
        <v xml:space="preserve">   520100</v>
      </c>
      <c r="B10322" t="str">
        <f>T("   COTON, NON CARDE NI PEIGNE.")</f>
        <v xml:space="preserve">   COTON, NON CARDE NI PEIGNE.</v>
      </c>
      <c r="C10322" s="4">
        <v>4100</v>
      </c>
      <c r="D10322" s="4">
        <v>700000</v>
      </c>
    </row>
    <row r="10323" spans="1:4" x14ac:dyDescent="0.25">
      <c r="A10323" t="str">
        <f>T("   520210")</f>
        <v xml:space="preserve">   520210</v>
      </c>
      <c r="B10323" t="str">
        <f>T("   DECHETS DE FILS")</f>
        <v xml:space="preserve">   DECHETS DE FILS</v>
      </c>
      <c r="C10323" s="4">
        <v>8400</v>
      </c>
      <c r="D10323" s="4">
        <v>1291068</v>
      </c>
    </row>
    <row r="10324" spans="1:4" x14ac:dyDescent="0.25">
      <c r="A10324" t="str">
        <f>T("   520299")</f>
        <v xml:space="preserve">   520299</v>
      </c>
      <c r="B10324" t="str">
        <f>T("   AUTRES")</f>
        <v xml:space="preserve">   AUTRES</v>
      </c>
      <c r="C10324" s="4">
        <v>9697</v>
      </c>
      <c r="D10324" s="4">
        <v>3771931</v>
      </c>
    </row>
    <row r="10325" spans="1:4" x14ac:dyDescent="0.25">
      <c r="A10325" t="str">
        <f>T("   520300")</f>
        <v xml:space="preserve">   520300</v>
      </c>
      <c r="B10325" t="str">
        <f>T("   COTON, CARDE OU PEIGNE.")</f>
        <v xml:space="preserve">   COTON, CARDE OU PEIGNE.</v>
      </c>
      <c r="C10325" s="4">
        <v>7210</v>
      </c>
      <c r="D10325" s="4">
        <v>3425525</v>
      </c>
    </row>
    <row r="10326" spans="1:4" x14ac:dyDescent="0.25">
      <c r="A10326" t="str">
        <f>T("   520419")</f>
        <v xml:space="preserve">   520419</v>
      </c>
      <c r="B10326" t="str">
        <f>T("   AUTRES")</f>
        <v xml:space="preserve">   AUTRES</v>
      </c>
      <c r="C10326" s="4">
        <v>21640</v>
      </c>
      <c r="D10326" s="4">
        <v>4224654</v>
      </c>
    </row>
    <row r="10327" spans="1:4" x14ac:dyDescent="0.25">
      <c r="A10327" t="str">
        <f>T("   520420")</f>
        <v xml:space="preserve">   520420</v>
      </c>
      <c r="B10327" t="str">
        <f>T("   CONDITIONNES POUR LA VENTE AU DETAIL")</f>
        <v xml:space="preserve">   CONDITIONNES POUR LA VENTE AU DETAIL</v>
      </c>
      <c r="C10327" s="4">
        <v>200</v>
      </c>
      <c r="D10327" s="4">
        <v>300000</v>
      </c>
    </row>
    <row r="10328" spans="1:4" x14ac:dyDescent="0.25">
      <c r="A10328" t="str">
        <f>T("   520829")</f>
        <v xml:space="preserve">   520829</v>
      </c>
      <c r="B10328" t="str">
        <f>T("   AUTRES TISSUS")</f>
        <v xml:space="preserve">   AUTRES TISSUS</v>
      </c>
      <c r="C10328" s="4">
        <v>2082677</v>
      </c>
      <c r="D10328" s="4">
        <v>891708738</v>
      </c>
    </row>
    <row r="10329" spans="1:4" x14ac:dyDescent="0.25">
      <c r="A10329" t="str">
        <f>T("   520839")</f>
        <v xml:space="preserve">   520839</v>
      </c>
      <c r="B10329" t="str">
        <f>T("   AUTRES TISSUS")</f>
        <v xml:space="preserve">   AUTRES TISSUS</v>
      </c>
      <c r="C10329" s="4">
        <v>481395</v>
      </c>
      <c r="D10329" s="4">
        <v>197154629</v>
      </c>
    </row>
    <row r="10330" spans="1:4" x14ac:dyDescent="0.25">
      <c r="A10330" t="str">
        <f>T("   520849")</f>
        <v xml:space="preserve">   520849</v>
      </c>
      <c r="B10330" t="str">
        <f>T("   AUTRES TISSUS")</f>
        <v xml:space="preserve">   AUTRES TISSUS</v>
      </c>
      <c r="C10330" s="4">
        <v>1161201</v>
      </c>
      <c r="D10330" s="4">
        <v>529904997</v>
      </c>
    </row>
    <row r="10331" spans="1:4" x14ac:dyDescent="0.25">
      <c r="A10331" t="str">
        <f>T("   520852")</f>
        <v xml:space="preserve">   520852</v>
      </c>
      <c r="B10331" t="str">
        <f>T("   A ARMURE TOILE, D'UN POIDS EXCEDANT 100 G/M²")</f>
        <v xml:space="preserve">   A ARMURE TOILE, D'UN POIDS EXCEDANT 100 G/M²</v>
      </c>
      <c r="C10331" s="4">
        <v>232173</v>
      </c>
      <c r="D10331" s="4">
        <v>219373159</v>
      </c>
    </row>
    <row r="10332" spans="1:4" x14ac:dyDescent="0.25">
      <c r="A10332" t="str">
        <f>T("   520859")</f>
        <v xml:space="preserve">   520859</v>
      </c>
      <c r="B10332" t="str">
        <f>T("   AUTRES TISSUS")</f>
        <v xml:space="preserve">   AUTRES TISSUS</v>
      </c>
      <c r="C10332" s="4">
        <v>291559</v>
      </c>
      <c r="D10332" s="4">
        <v>174722371</v>
      </c>
    </row>
    <row r="10333" spans="1:4" x14ac:dyDescent="0.25">
      <c r="A10333" t="str">
        <f>T("   520929")</f>
        <v xml:space="preserve">   520929</v>
      </c>
      <c r="B10333" t="str">
        <f>T("   AUTRES TISSUS")</f>
        <v xml:space="preserve">   AUTRES TISSUS</v>
      </c>
      <c r="C10333" s="4">
        <v>219772</v>
      </c>
      <c r="D10333" s="4">
        <v>81621579</v>
      </c>
    </row>
    <row r="10334" spans="1:4" x14ac:dyDescent="0.25">
      <c r="A10334" t="str">
        <f>T("   520939")</f>
        <v xml:space="preserve">   520939</v>
      </c>
      <c r="B10334" t="str">
        <f>T("   AUTRES TISSUS")</f>
        <v xml:space="preserve">   AUTRES TISSUS</v>
      </c>
      <c r="C10334" s="4">
        <v>28612</v>
      </c>
      <c r="D10334" s="4">
        <v>5542000</v>
      </c>
    </row>
    <row r="10335" spans="1:4" x14ac:dyDescent="0.25">
      <c r="A10335" t="str">
        <f>T("   520951")</f>
        <v xml:space="preserve">   520951</v>
      </c>
      <c r="B10335" t="str">
        <f>T("   A ARMURE TOILE")</f>
        <v xml:space="preserve">   A ARMURE TOILE</v>
      </c>
      <c r="C10335" s="4">
        <v>20575.5</v>
      </c>
      <c r="D10335" s="4">
        <v>9703051</v>
      </c>
    </row>
    <row r="10336" spans="1:4" x14ac:dyDescent="0.25">
      <c r="A10336" t="str">
        <f>T("   520959")</f>
        <v xml:space="preserve">   520959</v>
      </c>
      <c r="B10336" t="str">
        <f>T("   AUTRES TISSUS")</f>
        <v xml:space="preserve">   AUTRES TISSUS</v>
      </c>
      <c r="C10336" s="4">
        <v>16977</v>
      </c>
      <c r="D10336" s="4">
        <v>8278460</v>
      </c>
    </row>
    <row r="10337" spans="1:4" x14ac:dyDescent="0.25">
      <c r="A10337" t="str">
        <f>T("   521051")</f>
        <v xml:space="preserve">   521051</v>
      </c>
      <c r="B10337" t="str">
        <f>T("   A ARMURE TOILE")</f>
        <v xml:space="preserve">   A ARMURE TOILE</v>
      </c>
      <c r="C10337" s="4">
        <v>30</v>
      </c>
      <c r="D10337" s="4">
        <v>43792</v>
      </c>
    </row>
    <row r="10338" spans="1:4" x14ac:dyDescent="0.25">
      <c r="A10338" t="str">
        <f>T("   521059")</f>
        <v xml:space="preserve">   521059</v>
      </c>
      <c r="B10338" t="str">
        <f>T("   AUTRES TISSUS")</f>
        <v xml:space="preserve">   AUTRES TISSUS</v>
      </c>
      <c r="C10338" s="4">
        <v>680</v>
      </c>
      <c r="D10338" s="4">
        <v>131076</v>
      </c>
    </row>
    <row r="10339" spans="1:4" x14ac:dyDescent="0.25">
      <c r="A10339" t="str">
        <f>T("   521159")</f>
        <v xml:space="preserve">   521159</v>
      </c>
      <c r="B10339" t="str">
        <f>T("   AUTRES TISSUS")</f>
        <v xml:space="preserve">   AUTRES TISSUS</v>
      </c>
      <c r="C10339" s="4">
        <v>245018</v>
      </c>
      <c r="D10339" s="4">
        <v>98215706</v>
      </c>
    </row>
    <row r="10340" spans="1:4" x14ac:dyDescent="0.25">
      <c r="A10340" t="str">
        <f>T("   521211")</f>
        <v xml:space="preserve">   521211</v>
      </c>
      <c r="B10340" t="str">
        <f>T("   ECRUS")</f>
        <v xml:space="preserve">   ECRUS</v>
      </c>
      <c r="C10340" s="4">
        <v>450</v>
      </c>
      <c r="D10340" s="4">
        <v>295204</v>
      </c>
    </row>
    <row r="10341" spans="1:4" x14ac:dyDescent="0.25">
      <c r="A10341" t="str">
        <f>T("   521214")</f>
        <v xml:space="preserve">   521214</v>
      </c>
      <c r="B10341" t="str">
        <f>T("   EN FILS DE DIVERSES COULEURS")</f>
        <v xml:space="preserve">   EN FILS DE DIVERSES COULEURS</v>
      </c>
      <c r="C10341" s="4">
        <v>9675</v>
      </c>
      <c r="D10341" s="4">
        <v>2330220</v>
      </c>
    </row>
    <row r="10342" spans="1:4" x14ac:dyDescent="0.25">
      <c r="A10342" t="str">
        <f>T("   521215")</f>
        <v xml:space="preserve">   521215</v>
      </c>
      <c r="B10342" t="str">
        <f>T("   IMPRIMES")</f>
        <v xml:space="preserve">   IMPRIMES</v>
      </c>
      <c r="C10342" s="4">
        <v>150</v>
      </c>
      <c r="D10342" s="4">
        <v>10923</v>
      </c>
    </row>
    <row r="10343" spans="1:4" x14ac:dyDescent="0.25">
      <c r="A10343" t="str">
        <f>T("   521223")</f>
        <v xml:space="preserve">   521223</v>
      </c>
      <c r="B10343" t="str">
        <f>T("   TEINTS")</f>
        <v xml:space="preserve">   TEINTS</v>
      </c>
      <c r="C10343" s="4">
        <v>2055</v>
      </c>
      <c r="D10343" s="4">
        <v>2001093</v>
      </c>
    </row>
    <row r="10344" spans="1:4" x14ac:dyDescent="0.25">
      <c r="A10344" t="str">
        <f>T("   530919")</f>
        <v xml:space="preserve">   530919</v>
      </c>
      <c r="B10344" t="str">
        <f>T("   AUTRES")</f>
        <v xml:space="preserve">   AUTRES</v>
      </c>
      <c r="C10344" s="4">
        <v>17820</v>
      </c>
      <c r="D10344" s="4">
        <v>5532495</v>
      </c>
    </row>
    <row r="10345" spans="1:4" x14ac:dyDescent="0.25">
      <c r="A10345" t="str">
        <f>T("   530929")</f>
        <v xml:space="preserve">   530929</v>
      </c>
      <c r="B10345" t="str">
        <f>T("   AUTRES")</f>
        <v xml:space="preserve">   AUTRES</v>
      </c>
      <c r="C10345" s="4">
        <v>33432</v>
      </c>
      <c r="D10345" s="4">
        <v>13879652</v>
      </c>
    </row>
    <row r="10346" spans="1:4" x14ac:dyDescent="0.25">
      <c r="A10346" t="str">
        <f>T("   531090")</f>
        <v xml:space="preserve">   531090</v>
      </c>
      <c r="B10346" t="str">
        <f>T("   AUTRES")</f>
        <v xml:space="preserve">   AUTRES</v>
      </c>
      <c r="C10346" s="4">
        <v>1115</v>
      </c>
      <c r="D10346" s="4">
        <v>393228</v>
      </c>
    </row>
    <row r="10347" spans="1:4" x14ac:dyDescent="0.25">
      <c r="A10347" t="str">
        <f>T("   531100")</f>
        <v xml:space="preserve">   531100</v>
      </c>
      <c r="B10347" t="str">
        <f>T("   TISSUS D'AUTRES FIBRES TEXTILES VEGETALES; TISSUS DE FILS DE PAPIER.")</f>
        <v xml:space="preserve">   TISSUS D'AUTRES FIBRES TEXTILES VEGETALES; TISSUS DE FILS DE PAPIER.</v>
      </c>
      <c r="C10347" s="4">
        <v>1040</v>
      </c>
      <c r="D10347" s="4">
        <v>752214</v>
      </c>
    </row>
    <row r="10348" spans="1:4" x14ac:dyDescent="0.25">
      <c r="A10348" t="str">
        <f>T("   540239")</f>
        <v xml:space="preserve">   540239</v>
      </c>
      <c r="B10348" t="str">
        <f>T("   AUTRES")</f>
        <v xml:space="preserve">   AUTRES</v>
      </c>
      <c r="C10348" s="4">
        <v>1000</v>
      </c>
      <c r="D10348" s="4">
        <v>700000</v>
      </c>
    </row>
    <row r="10349" spans="1:4" x14ac:dyDescent="0.25">
      <c r="A10349" t="str">
        <f>T("   540490")</f>
        <v xml:space="preserve">   540490</v>
      </c>
      <c r="B10349" t="str">
        <f>T("   AUTRES")</f>
        <v xml:space="preserve">   AUTRES</v>
      </c>
      <c r="C10349" s="4">
        <v>1840</v>
      </c>
      <c r="D10349" s="4">
        <v>324721</v>
      </c>
    </row>
    <row r="10350" spans="1:4" x14ac:dyDescent="0.25">
      <c r="A10350" t="str">
        <f>T("   540834")</f>
        <v xml:space="preserve">   540834</v>
      </c>
      <c r="B10350" t="str">
        <f>T("   IMPRIMES")</f>
        <v xml:space="preserve">   IMPRIMES</v>
      </c>
      <c r="C10350" s="4">
        <v>327000</v>
      </c>
      <c r="D10350" s="4">
        <v>109750000</v>
      </c>
    </row>
    <row r="10351" spans="1:4" x14ac:dyDescent="0.25">
      <c r="A10351" t="str">
        <f>T("   550390")</f>
        <v xml:space="preserve">   550390</v>
      </c>
      <c r="B10351" t="str">
        <f>T("   AUTRES")</f>
        <v xml:space="preserve">   AUTRES</v>
      </c>
      <c r="C10351" s="4">
        <v>26320</v>
      </c>
      <c r="D10351" s="4">
        <v>5132080</v>
      </c>
    </row>
    <row r="10352" spans="1:4" x14ac:dyDescent="0.25">
      <c r="A10352" t="str">
        <f>T("   550490")</f>
        <v xml:space="preserve">   550490</v>
      </c>
      <c r="B10352" t="str">
        <f>T("   AUTRES")</f>
        <v xml:space="preserve">   AUTRES</v>
      </c>
      <c r="C10352" s="4">
        <v>1850</v>
      </c>
      <c r="D10352" s="4">
        <v>241719</v>
      </c>
    </row>
    <row r="10353" spans="1:4" x14ac:dyDescent="0.25">
      <c r="A10353" t="str">
        <f>T("   550620")</f>
        <v xml:space="preserve">   550620</v>
      </c>
      <c r="B10353" t="str">
        <f>T("   DE POLYESTERS")</f>
        <v xml:space="preserve">   DE POLYESTERS</v>
      </c>
      <c r="C10353" s="4">
        <v>2813</v>
      </c>
      <c r="D10353" s="4">
        <v>945904</v>
      </c>
    </row>
    <row r="10354" spans="1:4" x14ac:dyDescent="0.25">
      <c r="A10354" t="str">
        <f>T("   550690")</f>
        <v xml:space="preserve">   550690</v>
      </c>
      <c r="B10354" t="str">
        <f>T("   AUTRES")</f>
        <v xml:space="preserve">   AUTRES</v>
      </c>
      <c r="C10354" s="4">
        <v>1800</v>
      </c>
      <c r="D10354" s="4">
        <v>241719</v>
      </c>
    </row>
    <row r="10355" spans="1:4" x14ac:dyDescent="0.25">
      <c r="A10355" t="str">
        <f>T("   550810")</f>
        <v xml:space="preserve">   550810</v>
      </c>
      <c r="B10355" t="str">
        <f>T("   DE FIBRES SYNTHETIQUES DISCONTINUES")</f>
        <v xml:space="preserve">   DE FIBRES SYNTHETIQUES DISCONTINUES</v>
      </c>
      <c r="C10355" s="4">
        <v>5000</v>
      </c>
      <c r="D10355" s="4">
        <v>900000</v>
      </c>
    </row>
    <row r="10356" spans="1:4" x14ac:dyDescent="0.25">
      <c r="A10356" t="str">
        <f>T("   550820")</f>
        <v xml:space="preserve">   550820</v>
      </c>
      <c r="B10356" t="str">
        <f>T("   DE FIBRES ARTIFICIELLES DISCONTINUES")</f>
        <v xml:space="preserve">   DE FIBRES ARTIFICIELLES DISCONTINUES</v>
      </c>
      <c r="C10356" s="4">
        <v>1744</v>
      </c>
      <c r="D10356" s="4">
        <v>1425009</v>
      </c>
    </row>
    <row r="10357" spans="1:4" x14ac:dyDescent="0.25">
      <c r="A10357" t="str">
        <f>T("   550911")</f>
        <v xml:space="preserve">   550911</v>
      </c>
      <c r="B10357" t="str">
        <f>T("   SIMPLES")</f>
        <v xml:space="preserve">   SIMPLES</v>
      </c>
      <c r="C10357" s="4">
        <v>800</v>
      </c>
      <c r="D10357" s="4">
        <v>200000</v>
      </c>
    </row>
    <row r="10358" spans="1:4" x14ac:dyDescent="0.25">
      <c r="A10358" t="str">
        <f>T("   550952")</f>
        <v xml:space="preserve">   550952</v>
      </c>
      <c r="B10358" t="str">
        <f>T("   MELANGEES PRINCIPALEMENT OU UNIQUEMENT AVEC DE LA LAINE OU DES POILS FINS")</f>
        <v xml:space="preserve">   MELANGEES PRINCIPALEMENT OU UNIQUEMENT AVEC DE LA LAINE OU DES POILS FINS</v>
      </c>
      <c r="C10358" s="4">
        <v>1005</v>
      </c>
      <c r="D10358" s="4">
        <v>540516</v>
      </c>
    </row>
    <row r="10359" spans="1:4" x14ac:dyDescent="0.25">
      <c r="A10359" t="str">
        <f>T("   550959")</f>
        <v xml:space="preserve">   550959</v>
      </c>
      <c r="B10359" t="str">
        <f>T("   AUTRES")</f>
        <v xml:space="preserve">   AUTRES</v>
      </c>
      <c r="C10359" s="4">
        <v>2500</v>
      </c>
      <c r="D10359" s="4">
        <v>883390</v>
      </c>
    </row>
    <row r="10360" spans="1:4" x14ac:dyDescent="0.25">
      <c r="A10360" t="str">
        <f>T("   551110")</f>
        <v xml:space="preserve">   551110</v>
      </c>
      <c r="B10360" t="str">
        <f>T("   DE FIBRES SYNTHETIQUES DISCONTINUES, CONTENANT AU MOINS 85 % EN POIDS DE CES FIBRES")</f>
        <v xml:space="preserve">   DE FIBRES SYNTHETIQUES DISCONTINUES, CONTENANT AU MOINS 85 % EN POIDS DE CES FIBRES</v>
      </c>
      <c r="C10360" s="4">
        <v>1352</v>
      </c>
      <c r="D10360" s="4">
        <v>300000</v>
      </c>
    </row>
    <row r="10361" spans="1:4" x14ac:dyDescent="0.25">
      <c r="A10361" t="str">
        <f>T("   551211")</f>
        <v xml:space="preserve">   551211</v>
      </c>
      <c r="B10361" t="str">
        <f>T("   ECRUS OU BLANCHIS")</f>
        <v xml:space="preserve">   ECRUS OU BLANCHIS</v>
      </c>
      <c r="C10361" s="4">
        <v>5820</v>
      </c>
      <c r="D10361" s="4">
        <v>2059230</v>
      </c>
    </row>
    <row r="10362" spans="1:4" x14ac:dyDescent="0.25">
      <c r="A10362" t="str">
        <f>T("   551219")</f>
        <v xml:space="preserve">   551219</v>
      </c>
      <c r="B10362" t="str">
        <f>T("   AUTRES")</f>
        <v xml:space="preserve">   AUTRES</v>
      </c>
      <c r="C10362" s="4">
        <v>130325</v>
      </c>
      <c r="D10362" s="4">
        <v>52953346</v>
      </c>
    </row>
    <row r="10363" spans="1:4" x14ac:dyDescent="0.25">
      <c r="A10363" t="str">
        <f>T("   551291")</f>
        <v xml:space="preserve">   551291</v>
      </c>
      <c r="B10363" t="str">
        <f>T("   ECRUS OU BLANCHIS")</f>
        <v xml:space="preserve">   ECRUS OU BLANCHIS</v>
      </c>
      <c r="C10363" s="4">
        <v>400</v>
      </c>
      <c r="D10363" s="4">
        <v>65538</v>
      </c>
    </row>
    <row r="10364" spans="1:4" x14ac:dyDescent="0.25">
      <c r="A10364" t="str">
        <f>T("   551299")</f>
        <v xml:space="preserve">   551299</v>
      </c>
      <c r="B10364" t="str">
        <f>T("   AUTRES")</f>
        <v xml:space="preserve">   AUTRES</v>
      </c>
      <c r="C10364" s="4">
        <v>48020</v>
      </c>
      <c r="D10364" s="4">
        <v>21005348</v>
      </c>
    </row>
    <row r="10365" spans="1:4" x14ac:dyDescent="0.25">
      <c r="A10365" t="str">
        <f>T("   551313")</f>
        <v xml:space="preserve">   551313</v>
      </c>
      <c r="B10365" t="str">
        <f>T("   AUTRES TISSUS DE FIBRES DISCONTINUES DE POLYESTER")</f>
        <v xml:space="preserve">   AUTRES TISSUS DE FIBRES DISCONTINUES DE POLYESTER</v>
      </c>
      <c r="C10365" s="4">
        <v>589761</v>
      </c>
      <c r="D10365" s="4">
        <v>292925670</v>
      </c>
    </row>
    <row r="10366" spans="1:4" x14ac:dyDescent="0.25">
      <c r="A10366" t="str">
        <f>T("   551319")</f>
        <v xml:space="preserve">   551319</v>
      </c>
      <c r="B10366" t="str">
        <f>T("   AUTRES TISSUS")</f>
        <v xml:space="preserve">   AUTRES TISSUS</v>
      </c>
      <c r="C10366" s="4">
        <v>393480</v>
      </c>
      <c r="D10366" s="4">
        <v>138974676</v>
      </c>
    </row>
    <row r="10367" spans="1:4" x14ac:dyDescent="0.25">
      <c r="A10367" t="str">
        <f>T("   551329")</f>
        <v xml:space="preserve">   551329</v>
      </c>
      <c r="B10367" t="str">
        <f>T("   AUTRES TISSUS")</f>
        <v xml:space="preserve">   AUTRES TISSUS</v>
      </c>
      <c r="C10367" s="4">
        <v>28580</v>
      </c>
      <c r="D10367" s="4">
        <v>9043692</v>
      </c>
    </row>
    <row r="10368" spans="1:4" x14ac:dyDescent="0.25">
      <c r="A10368" t="str">
        <f>T("   551349")</f>
        <v xml:space="preserve">   551349</v>
      </c>
      <c r="B10368" t="str">
        <f>T("   AUTRES TISSUS")</f>
        <v xml:space="preserve">   AUTRES TISSUS</v>
      </c>
      <c r="C10368" s="4">
        <v>100</v>
      </c>
      <c r="D10368" s="4">
        <v>160000</v>
      </c>
    </row>
    <row r="10369" spans="1:4" x14ac:dyDescent="0.25">
      <c r="A10369" t="str">
        <f>T("   551512")</f>
        <v xml:space="preserve">   551512</v>
      </c>
      <c r="B10369" t="str">
        <f>T("   MELANGEES PRINCIPALEMENT OU UNIQUEMENT AVEC DES FILAMENTS SYNTHETIQUES OU ARTIFICIEL")</f>
        <v xml:space="preserve">   MELANGEES PRINCIPALEMENT OU UNIQUEMENT AVEC DES FILAMENTS SYNTHETIQUES OU ARTIFICIEL</v>
      </c>
      <c r="C10369" s="4">
        <v>946052</v>
      </c>
      <c r="D10369" s="4">
        <v>448477000</v>
      </c>
    </row>
    <row r="10370" spans="1:4" x14ac:dyDescent="0.25">
      <c r="A10370" t="str">
        <f>T("   551513")</f>
        <v xml:space="preserve">   551513</v>
      </c>
      <c r="B10370" t="str">
        <f>T("   MELANGEES PRINCIPALEMENT OU UNIQUEMENT AVEC DE LA LAINE OU DES POILS FINS")</f>
        <v xml:space="preserve">   MELANGEES PRINCIPALEMENT OU UNIQUEMENT AVEC DE LA LAINE OU DES POILS FINS</v>
      </c>
      <c r="C10370" s="4">
        <v>68884</v>
      </c>
      <c r="D10370" s="4">
        <v>23000000</v>
      </c>
    </row>
    <row r="10371" spans="1:4" x14ac:dyDescent="0.25">
      <c r="A10371" t="str">
        <f>T("   551519")</f>
        <v xml:space="preserve">   551519</v>
      </c>
      <c r="B10371" t="str">
        <f>T("   AUTRES")</f>
        <v xml:space="preserve">   AUTRES</v>
      </c>
      <c r="C10371" s="4">
        <v>87300</v>
      </c>
      <c r="D10371" s="4">
        <v>43500000</v>
      </c>
    </row>
    <row r="10372" spans="1:4" x14ac:dyDescent="0.25">
      <c r="A10372" t="str">
        <f>T("   551529")</f>
        <v xml:space="preserve">   551529</v>
      </c>
      <c r="B10372" t="str">
        <f>T("   AUTRES")</f>
        <v xml:space="preserve">   AUTRES</v>
      </c>
      <c r="C10372" s="4">
        <v>66940</v>
      </c>
      <c r="D10372" s="4">
        <v>31718458</v>
      </c>
    </row>
    <row r="10373" spans="1:4" x14ac:dyDescent="0.25">
      <c r="A10373" t="str">
        <f>T("   551591")</f>
        <v xml:space="preserve">   551591</v>
      </c>
      <c r="B10373" t="str">
        <f>T("   MELANGES PRINCIPALEMENT OU UNIQUEMENT AVEC DES FILAMENTS SYNTHETIQUES OU ARTIFICIELS")</f>
        <v xml:space="preserve">   MELANGES PRINCIPALEMENT OU UNIQUEMENT AVEC DES FILAMENTS SYNTHETIQUES OU ARTIFICIELS</v>
      </c>
      <c r="C10373" s="4">
        <v>86800</v>
      </c>
      <c r="D10373" s="4">
        <v>29000000</v>
      </c>
    </row>
    <row r="10374" spans="1:4" x14ac:dyDescent="0.25">
      <c r="A10374" t="str">
        <f>T("   551599")</f>
        <v xml:space="preserve">   551599</v>
      </c>
      <c r="B10374" t="str">
        <f>T("   AUTRES")</f>
        <v xml:space="preserve">   AUTRES</v>
      </c>
      <c r="C10374" s="4">
        <v>923169</v>
      </c>
      <c r="D10374" s="4">
        <v>386895807</v>
      </c>
    </row>
    <row r="10375" spans="1:4" x14ac:dyDescent="0.25">
      <c r="A10375" t="str">
        <f>T("   551694")</f>
        <v xml:space="preserve">   551694</v>
      </c>
      <c r="B10375" t="str">
        <f>T("   IMPRIMES")</f>
        <v xml:space="preserve">   IMPRIMES</v>
      </c>
      <c r="C10375" s="4">
        <v>96677</v>
      </c>
      <c r="D10375" s="4">
        <v>40250000</v>
      </c>
    </row>
    <row r="10376" spans="1:4" x14ac:dyDescent="0.25">
      <c r="A10376" t="str">
        <f>T("   560110")</f>
        <v xml:space="preserve">   560110</v>
      </c>
      <c r="B10376" t="str">
        <f>T("   SERVIETTES,TAMPONS HYGIENIQUES,COUCHES BEBES,ARTICLES D'HYGIENE EN OUATES")</f>
        <v xml:space="preserve">   SERVIETTES,TAMPONS HYGIENIQUES,COUCHES BEBES,ARTICLES D'HYGIENE EN OUATES</v>
      </c>
      <c r="C10376" s="4">
        <v>81788</v>
      </c>
      <c r="D10376" s="4">
        <v>17717058</v>
      </c>
    </row>
    <row r="10377" spans="1:4" x14ac:dyDescent="0.25">
      <c r="A10377" t="str">
        <f>T("   560121")</f>
        <v xml:space="preserve">   560121</v>
      </c>
      <c r="B10377" t="str">
        <f>T("   DE COTON")</f>
        <v xml:space="preserve">   DE COTON</v>
      </c>
      <c r="C10377" s="4">
        <v>9080</v>
      </c>
      <c r="D10377" s="4">
        <v>1703203</v>
      </c>
    </row>
    <row r="10378" spans="1:4" x14ac:dyDescent="0.25">
      <c r="A10378" t="str">
        <f>T("   560129")</f>
        <v xml:space="preserve">   560129</v>
      </c>
      <c r="B10378" t="str">
        <f>T("   AUTRES")</f>
        <v xml:space="preserve">   AUTRES</v>
      </c>
      <c r="C10378" s="4">
        <v>39682</v>
      </c>
      <c r="D10378" s="4">
        <v>18349536</v>
      </c>
    </row>
    <row r="10379" spans="1:4" x14ac:dyDescent="0.25">
      <c r="A10379" t="str">
        <f>T("   560490")</f>
        <v xml:space="preserve">   560490</v>
      </c>
      <c r="B10379" t="str">
        <f>T("   AUTRES")</f>
        <v xml:space="preserve">   AUTRES</v>
      </c>
      <c r="C10379" s="4">
        <v>3400</v>
      </c>
      <c r="D10379" s="4">
        <v>500000</v>
      </c>
    </row>
    <row r="10380" spans="1:4" x14ac:dyDescent="0.25">
      <c r="A10380" t="str">
        <f>T("   560500")</f>
        <v xml:space="preserve">   560500</v>
      </c>
      <c r="B10380" t="str">
        <f>T("   FILES METALLIQUES ET FILS METALLISES, MEME GUIPES, CONSTITUES PAR DES FILS TEXTILES, DE")</f>
        <v xml:space="preserve">   FILES METALLIQUES ET FILS METALLISES, MEME GUIPES, CONSTITUES PAR DES FILS TEXTILES, DE</v>
      </c>
      <c r="C10380" s="4">
        <v>480</v>
      </c>
      <c r="D10380" s="4">
        <v>118082</v>
      </c>
    </row>
    <row r="10381" spans="1:4" x14ac:dyDescent="0.25">
      <c r="A10381" t="str">
        <f>T("   560790")</f>
        <v xml:space="preserve">   560790</v>
      </c>
      <c r="B10381" t="str">
        <f>T("   AUTRES")</f>
        <v xml:space="preserve">   AUTRES</v>
      </c>
      <c r="C10381" s="4">
        <v>15185</v>
      </c>
      <c r="D10381" s="4">
        <v>3094084</v>
      </c>
    </row>
    <row r="10382" spans="1:4" x14ac:dyDescent="0.25">
      <c r="A10382" t="str">
        <f>T("   560811")</f>
        <v xml:space="preserve">   560811</v>
      </c>
      <c r="B10382" t="str">
        <f>T("   FILETS CONFECTIONNES POUR LA PECHE")</f>
        <v xml:space="preserve">   FILETS CONFECTIONNES POUR LA PECHE</v>
      </c>
      <c r="C10382" s="4">
        <v>113475</v>
      </c>
      <c r="D10382" s="4">
        <v>24417364</v>
      </c>
    </row>
    <row r="10383" spans="1:4" x14ac:dyDescent="0.25">
      <c r="A10383" t="str">
        <f>T("   560819")</f>
        <v xml:space="preserve">   560819</v>
      </c>
      <c r="B10383" t="str">
        <f>T("   AUTRES")</f>
        <v xml:space="preserve">   AUTRES</v>
      </c>
      <c r="C10383" s="4">
        <v>111350</v>
      </c>
      <c r="D10383" s="4">
        <v>14746000</v>
      </c>
    </row>
    <row r="10384" spans="1:4" x14ac:dyDescent="0.25">
      <c r="A10384" t="str">
        <f>T("   560890")</f>
        <v xml:space="preserve">   560890</v>
      </c>
      <c r="B10384" t="str">
        <f>T("   AUTRES")</f>
        <v xml:space="preserve">   AUTRES</v>
      </c>
      <c r="C10384" s="4">
        <v>20000</v>
      </c>
      <c r="D10384" s="4">
        <v>7567508</v>
      </c>
    </row>
    <row r="10385" spans="1:4" x14ac:dyDescent="0.25">
      <c r="A10385" t="str">
        <f>T("   560900")</f>
        <v xml:space="preserve">   560900</v>
      </c>
      <c r="B10385" t="str">
        <f>T("   ARTICLES EN FILS, LAMES OU FORMES SIMILAIRES DES N°S 54.04 OU 54.05, FICELLES, CORDES O")</f>
        <v xml:space="preserve">   ARTICLES EN FILS, LAMES OU FORMES SIMILAIRES DES N°S 54.04 OU 54.05, FICELLES, CORDES O</v>
      </c>
      <c r="C10385" s="4">
        <v>32213</v>
      </c>
      <c r="D10385" s="4">
        <v>5163326</v>
      </c>
    </row>
    <row r="10386" spans="1:4" x14ac:dyDescent="0.25">
      <c r="A10386" t="str">
        <f>T("   570110")</f>
        <v xml:space="preserve">   570110</v>
      </c>
      <c r="B10386" t="str">
        <f>T("   DE LAINE OU DE POILS FINS")</f>
        <v xml:space="preserve">   DE LAINE OU DE POILS FINS</v>
      </c>
      <c r="C10386" s="4">
        <v>1918</v>
      </c>
      <c r="D10386" s="4">
        <v>910000</v>
      </c>
    </row>
    <row r="10387" spans="1:4" x14ac:dyDescent="0.25">
      <c r="A10387" t="str">
        <f>T("   570500")</f>
        <v xml:space="preserve">   570500</v>
      </c>
      <c r="B10387" t="str">
        <f>T("   AUTRES TAPIS ET REVETEMENTS DE SOL EN MATIERES TEXTILES, MEME CONFECTIONNES.")</f>
        <v xml:space="preserve">   AUTRES TAPIS ET REVETEMENTS DE SOL EN MATIERES TEXTILES, MEME CONFECTIONNES.</v>
      </c>
      <c r="C10387" s="4">
        <v>70601</v>
      </c>
      <c r="D10387" s="4">
        <v>13032836</v>
      </c>
    </row>
    <row r="10388" spans="1:4" x14ac:dyDescent="0.25">
      <c r="A10388" t="str">
        <f>T("   580219")</f>
        <v xml:space="preserve">   580219</v>
      </c>
      <c r="B10388" t="str">
        <f>T("   AUTRES")</f>
        <v xml:space="preserve">   AUTRES</v>
      </c>
      <c r="C10388" s="4">
        <v>3729</v>
      </c>
      <c r="D10388" s="4">
        <v>400000</v>
      </c>
    </row>
    <row r="10389" spans="1:4" x14ac:dyDescent="0.25">
      <c r="A10389" t="str">
        <f>T("   580410")</f>
        <v xml:space="preserve">   580410</v>
      </c>
      <c r="B10389" t="str">
        <f>T("   TULLES, TULLESBOBINOTS ET TISSUS A MAILLES NOUEES")</f>
        <v xml:space="preserve">   TULLES, TULLESBOBINOTS ET TISSUS A MAILLES NOUEES</v>
      </c>
      <c r="C10389" s="4">
        <v>19980</v>
      </c>
      <c r="D10389" s="4">
        <v>10369197</v>
      </c>
    </row>
    <row r="10390" spans="1:4" x14ac:dyDescent="0.25">
      <c r="A10390" t="str">
        <f>T("   580429")</f>
        <v xml:space="preserve">   580429</v>
      </c>
      <c r="B10390" t="str">
        <f>T("   D'AUTRES MATIERES TEXTILES")</f>
        <v xml:space="preserve">   D'AUTRES MATIERES TEXTILES</v>
      </c>
      <c r="C10390" s="4">
        <v>25070</v>
      </c>
      <c r="D10390" s="4">
        <v>11000000</v>
      </c>
    </row>
    <row r="10391" spans="1:4" x14ac:dyDescent="0.25">
      <c r="A10391" t="str">
        <f>T("   580631")</f>
        <v xml:space="preserve">   580631</v>
      </c>
      <c r="B10391" t="str">
        <f>T("   DE COTON")</f>
        <v xml:space="preserve">   DE COTON</v>
      </c>
      <c r="C10391" s="4">
        <v>850</v>
      </c>
      <c r="D10391" s="4">
        <v>120000</v>
      </c>
    </row>
    <row r="10392" spans="1:4" x14ac:dyDescent="0.25">
      <c r="A10392" t="str">
        <f>T("   580639")</f>
        <v xml:space="preserve">   580639</v>
      </c>
      <c r="B10392" t="str">
        <f>T("   D'AUTRES MATIERES TEXTILES")</f>
        <v xml:space="preserve">   D'AUTRES MATIERES TEXTILES</v>
      </c>
      <c r="C10392" s="4">
        <v>1200</v>
      </c>
      <c r="D10392" s="4">
        <v>300221</v>
      </c>
    </row>
    <row r="10393" spans="1:4" x14ac:dyDescent="0.25">
      <c r="A10393" t="str">
        <f>T("   581099")</f>
        <v xml:space="preserve">   581099</v>
      </c>
      <c r="B10393" t="str">
        <f>T("   D'AUTRES MATIERES TEXTILES")</f>
        <v xml:space="preserve">   D'AUTRES MATIERES TEXTILES</v>
      </c>
      <c r="C10393" s="4">
        <v>677458</v>
      </c>
      <c r="D10393" s="4">
        <v>360575000</v>
      </c>
    </row>
    <row r="10394" spans="1:4" x14ac:dyDescent="0.25">
      <c r="A10394" t="str">
        <f>T("   590492")</f>
        <v xml:space="preserve">   590492</v>
      </c>
      <c r="B10394" t="str">
        <f>T("   REVETEMENT DE SOL AVEC UN AUTRE SUPPORT TEXTILE")</f>
        <v xml:space="preserve">   REVETEMENT DE SOL AVEC UN AUTRE SUPPORT TEXTILE</v>
      </c>
      <c r="C10394" s="4">
        <v>900</v>
      </c>
      <c r="D10394" s="4">
        <v>10920</v>
      </c>
    </row>
    <row r="10395" spans="1:4" x14ac:dyDescent="0.25">
      <c r="A10395" t="str">
        <f>T("   600522")</f>
        <v xml:space="preserve">   600522</v>
      </c>
      <c r="B10395" t="str">
        <f>T("   TEINTES")</f>
        <v xml:space="preserve">   TEINTES</v>
      </c>
      <c r="C10395" s="4">
        <v>1500</v>
      </c>
      <c r="D10395" s="4">
        <v>220000</v>
      </c>
    </row>
    <row r="10396" spans="1:4" x14ac:dyDescent="0.25">
      <c r="A10396" t="str">
        <f>T("   610120")</f>
        <v xml:space="preserve">   610120</v>
      </c>
      <c r="B10396" t="str">
        <f>T("   DE COTON")</f>
        <v xml:space="preserve">   DE COTON</v>
      </c>
      <c r="C10396" s="4">
        <v>3500</v>
      </c>
      <c r="D10396" s="4">
        <v>455380</v>
      </c>
    </row>
    <row r="10397" spans="1:4" x14ac:dyDescent="0.25">
      <c r="A10397" t="str">
        <f>T("   610190")</f>
        <v xml:space="preserve">   610190</v>
      </c>
      <c r="B10397" t="str">
        <f>T("   D'AUTRES MATIERES TEXTILES")</f>
        <v xml:space="preserve">   D'AUTRES MATIERES TEXTILES</v>
      </c>
      <c r="C10397" s="4">
        <v>1100</v>
      </c>
      <c r="D10397" s="4">
        <v>855380</v>
      </c>
    </row>
    <row r="10398" spans="1:4" x14ac:dyDescent="0.25">
      <c r="A10398" t="str">
        <f>T("   610210")</f>
        <v xml:space="preserve">   610210</v>
      </c>
      <c r="B10398" t="str">
        <f>T("   DE LAINE OU DE POILS FINS")</f>
        <v xml:space="preserve">   DE LAINE OU DE POILS FINS</v>
      </c>
      <c r="C10398" s="4">
        <v>3000</v>
      </c>
      <c r="D10398" s="4">
        <v>600000</v>
      </c>
    </row>
    <row r="10399" spans="1:4" x14ac:dyDescent="0.25">
      <c r="A10399" t="str">
        <f>T("   610220")</f>
        <v xml:space="preserve">   610220</v>
      </c>
      <c r="B10399" t="str">
        <f>T("   DE COTON")</f>
        <v xml:space="preserve">   DE COTON</v>
      </c>
      <c r="C10399" s="4">
        <v>2300</v>
      </c>
      <c r="D10399" s="4">
        <v>400000</v>
      </c>
    </row>
    <row r="10400" spans="1:4" x14ac:dyDescent="0.25">
      <c r="A10400" t="str">
        <f>T("   610290")</f>
        <v xml:space="preserve">   610290</v>
      </c>
      <c r="B10400" t="str">
        <f>T("   D'AUTRES MATIERES TEXTILES")</f>
        <v xml:space="preserve">   D'AUTRES MATIERES TEXTILES</v>
      </c>
      <c r="C10400" s="4">
        <v>4000</v>
      </c>
      <c r="D10400" s="4">
        <v>313557</v>
      </c>
    </row>
    <row r="10401" spans="1:4" x14ac:dyDescent="0.25">
      <c r="A10401" t="str">
        <f>T("   610910")</f>
        <v xml:space="preserve">   610910</v>
      </c>
      <c r="B10401" t="str">
        <f>T("   DE COTON")</f>
        <v xml:space="preserve">   DE COTON</v>
      </c>
      <c r="C10401" s="4">
        <v>40740</v>
      </c>
      <c r="D10401" s="4">
        <v>24353662</v>
      </c>
    </row>
    <row r="10402" spans="1:4" x14ac:dyDescent="0.25">
      <c r="A10402" t="str">
        <f>T("   610990")</f>
        <v xml:space="preserve">   610990</v>
      </c>
      <c r="B10402" t="str">
        <f>T("   D'AUTRES MATIERES TEXTILES")</f>
        <v xml:space="preserve">   D'AUTRES MATIERES TEXTILES</v>
      </c>
      <c r="C10402" s="4">
        <v>3308938</v>
      </c>
      <c r="D10402" s="4">
        <v>622002696</v>
      </c>
    </row>
    <row r="10403" spans="1:4" x14ac:dyDescent="0.25">
      <c r="A10403" t="str">
        <f>T("   611490")</f>
        <v xml:space="preserve">   611490</v>
      </c>
      <c r="B10403" t="str">
        <f>T("   D'AUTRES MATIERES TEXTILES")</f>
        <v xml:space="preserve">   D'AUTRES MATIERES TEXTILES</v>
      </c>
      <c r="C10403" s="4">
        <v>4060</v>
      </c>
      <c r="D10403" s="4">
        <v>3068585</v>
      </c>
    </row>
    <row r="10404" spans="1:4" x14ac:dyDescent="0.25">
      <c r="A10404" t="str">
        <f>T("   611780")</f>
        <v xml:space="preserve">   611780</v>
      </c>
      <c r="B10404" t="str">
        <f>T("   AUTRES ACCESSOIRES")</f>
        <v xml:space="preserve">   AUTRES ACCESSOIRES</v>
      </c>
      <c r="C10404" s="4">
        <v>2050</v>
      </c>
      <c r="D10404" s="4">
        <v>587468</v>
      </c>
    </row>
    <row r="10405" spans="1:4" x14ac:dyDescent="0.25">
      <c r="A10405" t="str">
        <f>T("   620113")</f>
        <v xml:space="preserve">   620113</v>
      </c>
      <c r="B10405" t="str">
        <f>T("   DE FIBRES SYNTHETIQUES OU ARTIFICIELLES")</f>
        <v xml:space="preserve">   DE FIBRES SYNTHETIQUES OU ARTIFICIELLES</v>
      </c>
      <c r="C10405" s="4">
        <v>250</v>
      </c>
      <c r="D10405" s="4">
        <v>21846</v>
      </c>
    </row>
    <row r="10406" spans="1:4" x14ac:dyDescent="0.25">
      <c r="A10406" t="str">
        <f>T("   620299")</f>
        <v xml:space="preserve">   620299</v>
      </c>
      <c r="B10406" t="str">
        <f>T("   D'AUTRES MATIERES TEXTILES")</f>
        <v xml:space="preserve">   D'AUTRES MATIERES TEXTILES</v>
      </c>
      <c r="C10406" s="4">
        <v>900</v>
      </c>
      <c r="D10406" s="4">
        <v>86440</v>
      </c>
    </row>
    <row r="10407" spans="1:4" x14ac:dyDescent="0.25">
      <c r="A10407" t="str">
        <f>T("   620322")</f>
        <v xml:space="preserve">   620322</v>
      </c>
      <c r="B10407" t="str">
        <f>T("   DE COTON")</f>
        <v xml:space="preserve">   DE COTON</v>
      </c>
      <c r="C10407" s="4">
        <v>21560</v>
      </c>
      <c r="D10407" s="4">
        <v>3000000</v>
      </c>
    </row>
    <row r="10408" spans="1:4" x14ac:dyDescent="0.25">
      <c r="A10408" t="str">
        <f>T("   620349")</f>
        <v xml:space="preserve">   620349</v>
      </c>
      <c r="B10408" t="str">
        <f>T("   D'AUTRES MATIERES TEXTILES")</f>
        <v xml:space="preserve">   D'AUTRES MATIERES TEXTILES</v>
      </c>
      <c r="C10408" s="4">
        <v>54025</v>
      </c>
      <c r="D10408" s="4">
        <v>54025</v>
      </c>
    </row>
    <row r="10409" spans="1:4" x14ac:dyDescent="0.25">
      <c r="A10409" t="str">
        <f>T("   620429")</f>
        <v xml:space="preserve">   620429</v>
      </c>
      <c r="B10409" t="str">
        <f>T("   D'AUTRES MATIERES TEXTILES")</f>
        <v xml:space="preserve">   D'AUTRES MATIERES TEXTILES</v>
      </c>
      <c r="C10409" s="4">
        <v>20</v>
      </c>
      <c r="D10409" s="4">
        <v>76461</v>
      </c>
    </row>
    <row r="10410" spans="1:4" x14ac:dyDescent="0.25">
      <c r="A10410" t="str">
        <f>T("   620520")</f>
        <v xml:space="preserve">   620520</v>
      </c>
      <c r="B10410" t="str">
        <f>T("   DE COTON")</f>
        <v xml:space="preserve">   DE COTON</v>
      </c>
      <c r="C10410" s="4">
        <v>12040</v>
      </c>
      <c r="D10410" s="4">
        <v>1600000</v>
      </c>
    </row>
    <row r="10411" spans="1:4" x14ac:dyDescent="0.25">
      <c r="A10411" t="str">
        <f>T("   620590")</f>
        <v xml:space="preserve">   620590</v>
      </c>
      <c r="B10411" t="str">
        <f>T("   D'AUTRES MATIERES TEXTILES")</f>
        <v xml:space="preserve">   D'AUTRES MATIERES TEXTILES</v>
      </c>
      <c r="C10411" s="4">
        <v>10647</v>
      </c>
      <c r="D10411" s="4">
        <v>1241999</v>
      </c>
    </row>
    <row r="10412" spans="1:4" x14ac:dyDescent="0.25">
      <c r="A10412" t="str">
        <f>T("   620811")</f>
        <v xml:space="preserve">   620811</v>
      </c>
      <c r="B10412" t="str">
        <f>T("   DE FIBRES SYNTHETIQUES OU ARTIFICIELLES")</f>
        <v xml:space="preserve">   DE FIBRES SYNTHETIQUES OU ARTIFICIELLES</v>
      </c>
      <c r="C10412" s="4">
        <v>7000</v>
      </c>
      <c r="D10412" s="4">
        <v>1966139</v>
      </c>
    </row>
    <row r="10413" spans="1:4" x14ac:dyDescent="0.25">
      <c r="A10413" t="str">
        <f>T("   621030")</f>
        <v xml:space="preserve">   621030</v>
      </c>
      <c r="B10413" t="str">
        <f>T("   AUTRES VETEMENTS, DES TYPES VISES DANS LES N°S 6202.11 A 6202.19")</f>
        <v xml:space="preserve">   AUTRES VETEMENTS, DES TYPES VISES DANS LES N°S 6202.11 A 6202.19</v>
      </c>
      <c r="C10413" s="4">
        <v>54885</v>
      </c>
      <c r="D10413" s="4">
        <v>15042090</v>
      </c>
    </row>
    <row r="10414" spans="1:4" x14ac:dyDescent="0.25">
      <c r="A10414" t="str">
        <f>T("   621050")</f>
        <v xml:space="preserve">   621050</v>
      </c>
      <c r="B10414" t="str">
        <f>T("   AUTRES VETEMENTS POUR FEMMES OU FILLETTES")</f>
        <v xml:space="preserve">   AUTRES VETEMENTS POUR FEMMES OU FILLETTES</v>
      </c>
      <c r="C10414" s="4">
        <v>34057</v>
      </c>
      <c r="D10414" s="4">
        <v>8999958</v>
      </c>
    </row>
    <row r="10415" spans="1:4" x14ac:dyDescent="0.25">
      <c r="A10415" t="str">
        <f>T("   621139")</f>
        <v xml:space="preserve">   621139</v>
      </c>
      <c r="B10415" t="str">
        <f>T("   D'AUTRES MATIERES TEXTILES")</f>
        <v xml:space="preserve">   D'AUTRES MATIERES TEXTILES</v>
      </c>
      <c r="C10415" s="4">
        <v>2</v>
      </c>
      <c r="D10415" s="4">
        <v>65000</v>
      </c>
    </row>
    <row r="10416" spans="1:4" x14ac:dyDescent="0.25">
      <c r="A10416" t="str">
        <f>T("   621710")</f>
        <v xml:space="preserve">   621710</v>
      </c>
      <c r="B10416" t="str">
        <f>T("   ACCESSOIRES")</f>
        <v xml:space="preserve">   ACCESSOIRES</v>
      </c>
      <c r="C10416" s="4">
        <v>336</v>
      </c>
      <c r="D10416" s="4">
        <v>1274563</v>
      </c>
    </row>
    <row r="10417" spans="1:4" x14ac:dyDescent="0.25">
      <c r="A10417" t="str">
        <f>T("   621790")</f>
        <v xml:space="preserve">   621790</v>
      </c>
      <c r="B10417" t="str">
        <f>T("   PARTIES")</f>
        <v xml:space="preserve">   PARTIES</v>
      </c>
      <c r="C10417" s="4">
        <v>1000</v>
      </c>
      <c r="D10417" s="4">
        <v>525000</v>
      </c>
    </row>
    <row r="10418" spans="1:4" x14ac:dyDescent="0.25">
      <c r="A10418" t="str">
        <f>T("   630319")</f>
        <v xml:space="preserve">   630319</v>
      </c>
      <c r="B10418" t="str">
        <f>T("   D'AUTRES MATIERES TEXTILES")</f>
        <v xml:space="preserve">   D'AUTRES MATIERES TEXTILES</v>
      </c>
      <c r="C10418" s="4">
        <v>3750</v>
      </c>
      <c r="D10418" s="4">
        <v>808065</v>
      </c>
    </row>
    <row r="10419" spans="1:4" x14ac:dyDescent="0.25">
      <c r="A10419" t="str">
        <f>T("   630493")</f>
        <v xml:space="preserve">   630493</v>
      </c>
      <c r="B10419" t="str">
        <f>T("   AUTRES QU'EN BONNETERIE, DE FIBRES SYNTHETIQUES")</f>
        <v xml:space="preserve">   AUTRES QU'EN BONNETERIE, DE FIBRES SYNTHETIQUES</v>
      </c>
      <c r="C10419" s="4">
        <v>10000</v>
      </c>
      <c r="D10419" s="4">
        <v>5461500</v>
      </c>
    </row>
    <row r="10420" spans="1:4" x14ac:dyDescent="0.25">
      <c r="A10420" t="str">
        <f>T("   630499")</f>
        <v xml:space="preserve">   630499</v>
      </c>
      <c r="B10420" t="str">
        <f>T("   AUTRES QU'EN BONNETERIE, D'AUTRES MATIERES TEXTILES")</f>
        <v xml:space="preserve">   AUTRES QU'EN BONNETERIE, D'AUTRES MATIERES TEXTILES</v>
      </c>
      <c r="C10420" s="4">
        <v>15800</v>
      </c>
      <c r="D10420" s="4">
        <v>3924510</v>
      </c>
    </row>
    <row r="10421" spans="1:4" x14ac:dyDescent="0.25">
      <c r="A10421" t="str">
        <f>T("   630510")</f>
        <v xml:space="preserve">   630510</v>
      </c>
      <c r="B10421" t="str">
        <f>T("   DE JUTE OU D'AUTRES FIBRES TEXTILES LIBERIENNES DU N° 53.03")</f>
        <v xml:space="preserve">   DE JUTE OU D'AUTRES FIBRES TEXTILES LIBERIENNES DU N° 53.03</v>
      </c>
      <c r="C10421" s="4">
        <v>706502</v>
      </c>
      <c r="D10421" s="4">
        <v>69396423</v>
      </c>
    </row>
    <row r="10422" spans="1:4" x14ac:dyDescent="0.25">
      <c r="A10422" t="str">
        <f>T("   630533")</f>
        <v xml:space="preserve">   630533</v>
      </c>
      <c r="B10422" t="str">
        <f>T("   AUTRES, OBTENUES A PARTIR DE LAMES OU FORMES SIMILAIRES DE POLYETHYLENE OU DE POLYPR")</f>
        <v xml:space="preserve">   AUTRES, OBTENUES A PARTIR DE LAMES OU FORMES SIMILAIRES DE POLYETHYLENE OU DE POLYPR</v>
      </c>
      <c r="C10422" s="4">
        <v>40314</v>
      </c>
      <c r="D10422" s="4">
        <v>68331076</v>
      </c>
    </row>
    <row r="10423" spans="1:4" x14ac:dyDescent="0.25">
      <c r="A10423" t="str">
        <f>T("   630539")</f>
        <v xml:space="preserve">   630539</v>
      </c>
      <c r="B10423" t="str">
        <f>T("   AUTRES")</f>
        <v xml:space="preserve">   AUTRES</v>
      </c>
      <c r="C10423" s="4">
        <v>19400</v>
      </c>
      <c r="D10423" s="4">
        <v>4434600</v>
      </c>
    </row>
    <row r="10424" spans="1:4" x14ac:dyDescent="0.25">
      <c r="A10424" t="str">
        <f>T("   630612")</f>
        <v xml:space="preserve">   630612</v>
      </c>
      <c r="B10424" t="str">
        <f>T("   DE FIBRES SYNTHETIQUES")</f>
        <v xml:space="preserve">   DE FIBRES SYNTHETIQUES</v>
      </c>
      <c r="C10424" s="4">
        <v>2503</v>
      </c>
      <c r="D10424" s="4">
        <v>11999051</v>
      </c>
    </row>
    <row r="10425" spans="1:4" x14ac:dyDescent="0.25">
      <c r="A10425" t="str">
        <f>T("   630629")</f>
        <v xml:space="preserve">   630629</v>
      </c>
      <c r="B10425" t="str">
        <f>T("   D'AUTRES MATIERES TEXTILES")</f>
        <v xml:space="preserve">   D'AUTRES MATIERES TEXTILES</v>
      </c>
      <c r="C10425" s="4">
        <v>150</v>
      </c>
      <c r="D10425" s="4">
        <v>10923</v>
      </c>
    </row>
    <row r="10426" spans="1:4" x14ac:dyDescent="0.25">
      <c r="A10426" t="str">
        <f>T("   630699")</f>
        <v xml:space="preserve">   630699</v>
      </c>
      <c r="B10426" t="str">
        <f>T("   AUTRES ARTICLES DU 63.06 D'AUTRES MATIERES TEXTILES")</f>
        <v xml:space="preserve">   AUTRES ARTICLES DU 63.06 D'AUTRES MATIERES TEXTILES</v>
      </c>
      <c r="C10426" s="4">
        <v>1000</v>
      </c>
      <c r="D10426" s="4">
        <v>764610</v>
      </c>
    </row>
    <row r="10427" spans="1:4" x14ac:dyDescent="0.25">
      <c r="A10427" t="str">
        <f>T("   630720")</f>
        <v xml:space="preserve">   630720</v>
      </c>
      <c r="B10427" t="str">
        <f>T("   CEINTURES ET GILETS DE SAUVETAGE")</f>
        <v xml:space="preserve">   CEINTURES ET GILETS DE SAUVETAGE</v>
      </c>
      <c r="C10427" s="4">
        <v>500</v>
      </c>
      <c r="D10427" s="4">
        <v>70361</v>
      </c>
    </row>
    <row r="10428" spans="1:4" x14ac:dyDescent="0.25">
      <c r="A10428" t="str">
        <f>T("   630900")</f>
        <v xml:space="preserve">   630900</v>
      </c>
      <c r="B10428" t="str">
        <f>T("   ARTICLES DE FRIPERIE.")</f>
        <v xml:space="preserve">   ARTICLES DE FRIPERIE.</v>
      </c>
      <c r="C10428" s="4">
        <v>3618119</v>
      </c>
      <c r="D10428" s="4">
        <v>941434633</v>
      </c>
    </row>
    <row r="10429" spans="1:4" x14ac:dyDescent="0.25">
      <c r="A10429" t="str">
        <f>T("   631010")</f>
        <v xml:space="preserve">   631010</v>
      </c>
      <c r="B10429" t="str">
        <f>T("   TRIES")</f>
        <v xml:space="preserve">   TRIES</v>
      </c>
      <c r="C10429" s="4">
        <v>11228</v>
      </c>
      <c r="D10429" s="4">
        <v>1933596</v>
      </c>
    </row>
    <row r="10430" spans="1:4" x14ac:dyDescent="0.25">
      <c r="A10430" t="str">
        <f>T("   631090")</f>
        <v xml:space="preserve">   631090</v>
      </c>
      <c r="B10430" t="str">
        <f>T("   AUTRES")</f>
        <v xml:space="preserve">   AUTRES</v>
      </c>
      <c r="C10430" s="4">
        <v>13282</v>
      </c>
      <c r="D10430" s="4">
        <v>2000000</v>
      </c>
    </row>
    <row r="10431" spans="1:4" x14ac:dyDescent="0.25">
      <c r="A10431" t="str">
        <f>T("   640110")</f>
        <v xml:space="preserve">   640110</v>
      </c>
      <c r="B10431" t="str">
        <f>T("   CHAUSSURES COMPORTANT, A L'AVANT, UNE COQUILLE DE PROTECTION EN METAL")</f>
        <v xml:space="preserve">   CHAUSSURES COMPORTANT, A L'AVANT, UNE COQUILLE DE PROTECTION EN METAL</v>
      </c>
      <c r="C10431" s="4">
        <v>9</v>
      </c>
      <c r="D10431" s="4">
        <v>47740</v>
      </c>
    </row>
    <row r="10432" spans="1:4" x14ac:dyDescent="0.25">
      <c r="A10432" t="str">
        <f>T("   640192")</f>
        <v xml:space="preserve">   640192</v>
      </c>
      <c r="B10432" t="str">
        <f>T("   COUVRANT LA CHEVILLE MAIS NE COUVRANT PAS LE GENOU")</f>
        <v xml:space="preserve">   COUVRANT LA CHEVILLE MAIS NE COUVRANT PAS LE GENOU</v>
      </c>
      <c r="C10432" s="4">
        <v>7</v>
      </c>
      <c r="D10432" s="4">
        <v>35000</v>
      </c>
    </row>
    <row r="10433" spans="1:4" x14ac:dyDescent="0.25">
      <c r="A10433" t="str">
        <f>T("   640199")</f>
        <v xml:space="preserve">   640199</v>
      </c>
      <c r="B10433" t="str">
        <f>T("   AUTRES")</f>
        <v xml:space="preserve">   AUTRES</v>
      </c>
      <c r="C10433" s="4">
        <v>103878</v>
      </c>
      <c r="D10433" s="4">
        <v>29615721</v>
      </c>
    </row>
    <row r="10434" spans="1:4" x14ac:dyDescent="0.25">
      <c r="A10434" t="str">
        <f>T("   640212")</f>
        <v xml:space="preserve">   640212</v>
      </c>
      <c r="B10434" t="str">
        <f>T("   CHAUSSURES DE SKI ET CHAUSSURES POUR LE SURF DES NEIGES")</f>
        <v xml:space="preserve">   CHAUSSURES DE SKI ET CHAUSSURES POUR LE SURF DES NEIGES</v>
      </c>
      <c r="C10434" s="4">
        <v>300</v>
      </c>
      <c r="D10434" s="4">
        <v>108049</v>
      </c>
    </row>
    <row r="10435" spans="1:4" x14ac:dyDescent="0.25">
      <c r="A10435" t="str">
        <f>T("   640219")</f>
        <v xml:space="preserve">   640219</v>
      </c>
      <c r="B10435" t="str">
        <f>T("   AUTRES")</f>
        <v xml:space="preserve">   AUTRES</v>
      </c>
      <c r="C10435" s="4">
        <v>96896</v>
      </c>
      <c r="D10435" s="4">
        <v>12768418</v>
      </c>
    </row>
    <row r="10436" spans="1:4" x14ac:dyDescent="0.25">
      <c r="A10436" t="str">
        <f>T("   640220")</f>
        <v xml:space="preserve">   640220</v>
      </c>
      <c r="B10436" t="str">
        <f>T("   CHAUSSURES AVEC DESSUS EN LANIERES OU BRIDES FIXEES A LA SEMELLE PAR DES TETONS")</f>
        <v xml:space="preserve">   CHAUSSURES AVEC DESSUS EN LANIERES OU BRIDES FIXEES A LA SEMELLE PAR DES TETONS</v>
      </c>
      <c r="C10436" s="4">
        <v>1165895</v>
      </c>
      <c r="D10436" s="4">
        <v>220237622</v>
      </c>
    </row>
    <row r="10437" spans="1:4" x14ac:dyDescent="0.25">
      <c r="A10437" t="str">
        <f>T("   640291")</f>
        <v xml:space="preserve">   640291</v>
      </c>
      <c r="B10437" t="str">
        <f>T("   COUVRANT LA CHEVILLE")</f>
        <v xml:space="preserve">   COUVRANT LA CHEVILLE</v>
      </c>
      <c r="C10437" s="4">
        <v>1020</v>
      </c>
      <c r="D10437" s="4">
        <v>134660</v>
      </c>
    </row>
    <row r="10438" spans="1:4" x14ac:dyDescent="0.25">
      <c r="A10438" t="str">
        <f>T("   640299")</f>
        <v xml:space="preserve">   640299</v>
      </c>
      <c r="B10438" t="str">
        <f>T("   AUTRES")</f>
        <v xml:space="preserve">   AUTRES</v>
      </c>
      <c r="C10438" s="4">
        <v>324699</v>
      </c>
      <c r="D10438" s="4">
        <v>100270382</v>
      </c>
    </row>
    <row r="10439" spans="1:4" x14ac:dyDescent="0.25">
      <c r="A10439" t="str">
        <f>T("   640312")</f>
        <v xml:space="preserve">   640312</v>
      </c>
      <c r="B10439" t="str">
        <f>T("   CHAUSSURES DE SKI ET CHAUSSURES POUR LE SURF DES NEIGES")</f>
        <v xml:space="preserve">   CHAUSSURES DE SKI ET CHAUSSURES POUR LE SURF DES NEIGES</v>
      </c>
      <c r="C10439" s="4">
        <v>4500</v>
      </c>
      <c r="D10439" s="4">
        <v>800000</v>
      </c>
    </row>
    <row r="10440" spans="1:4" x14ac:dyDescent="0.25">
      <c r="A10440" t="str">
        <f>T("   640319")</f>
        <v xml:space="preserve">   640319</v>
      </c>
      <c r="B10440" t="str">
        <f>T("   AUTRES")</f>
        <v xml:space="preserve">   AUTRES</v>
      </c>
      <c r="C10440" s="4">
        <v>428553</v>
      </c>
      <c r="D10440" s="4">
        <v>105410767</v>
      </c>
    </row>
    <row r="10441" spans="1:4" x14ac:dyDescent="0.25">
      <c r="A10441" t="str">
        <f>T("   640320")</f>
        <v xml:space="preserve">   640320</v>
      </c>
      <c r="B10441" t="str">
        <f>T("   CHAUSSURES A SEMELLES EXTERIEURES EN CUIR NATUREL ET DESSUS CONSTITUES PAR DES LANIER")</f>
        <v xml:space="preserve">   CHAUSSURES A SEMELLES EXTERIEURES EN CUIR NATUREL ET DESSUS CONSTITUES PAR DES LANIER</v>
      </c>
      <c r="C10441" s="4">
        <v>900</v>
      </c>
      <c r="D10441" s="4">
        <v>151297</v>
      </c>
    </row>
    <row r="10442" spans="1:4" x14ac:dyDescent="0.25">
      <c r="A10442" t="str">
        <f>T("   640399")</f>
        <v xml:space="preserve">   640399</v>
      </c>
      <c r="B10442" t="str">
        <f>T("   AUTRES")</f>
        <v xml:space="preserve">   AUTRES</v>
      </c>
      <c r="C10442" s="4">
        <v>8260</v>
      </c>
      <c r="D10442" s="4">
        <v>984635</v>
      </c>
    </row>
    <row r="10443" spans="1:4" x14ac:dyDescent="0.25">
      <c r="A10443" t="str">
        <f>T("   640419")</f>
        <v xml:space="preserve">   640419</v>
      </c>
      <c r="B10443" t="str">
        <f>T("   AUTRES")</f>
        <v xml:space="preserve">   AUTRES</v>
      </c>
      <c r="C10443" s="4">
        <v>229054</v>
      </c>
      <c r="D10443" s="4">
        <v>42280356</v>
      </c>
    </row>
    <row r="10444" spans="1:4" x14ac:dyDescent="0.25">
      <c r="A10444" t="str">
        <f>T("   640420")</f>
        <v xml:space="preserve">   640420</v>
      </c>
      <c r="B10444" t="str">
        <f>T("   CHAUSSURES A SEMELLES EXTERIEURES EN CUIR NATUREL OU RECONSTITUE")</f>
        <v xml:space="preserve">   CHAUSSURES A SEMELLES EXTERIEURES EN CUIR NATUREL OU RECONSTITUE</v>
      </c>
      <c r="C10444" s="4">
        <v>3420</v>
      </c>
      <c r="D10444" s="4">
        <v>700000</v>
      </c>
    </row>
    <row r="10445" spans="1:4" x14ac:dyDescent="0.25">
      <c r="A10445" t="str">
        <f>T("   640520")</f>
        <v xml:space="preserve">   640520</v>
      </c>
      <c r="B10445" t="str">
        <f>T("   A DESSUS EN MATIERES TEXTILES")</f>
        <v xml:space="preserve">   A DESSUS EN MATIERES TEXTILES</v>
      </c>
      <c r="C10445" s="4">
        <v>11520</v>
      </c>
      <c r="D10445" s="4">
        <v>2288808</v>
      </c>
    </row>
    <row r="10446" spans="1:4" x14ac:dyDescent="0.25">
      <c r="A10446" t="str">
        <f>T("   640590")</f>
        <v xml:space="preserve">   640590</v>
      </c>
      <c r="B10446" t="str">
        <f>T("   AUTRES")</f>
        <v xml:space="preserve">   AUTRES</v>
      </c>
      <c r="C10446" s="4">
        <v>1443492</v>
      </c>
      <c r="D10446" s="4">
        <v>283924075</v>
      </c>
    </row>
    <row r="10447" spans="1:4" x14ac:dyDescent="0.25">
      <c r="A10447" t="str">
        <f>T("   640620")</f>
        <v xml:space="preserve">   640620</v>
      </c>
      <c r="B10447" t="str">
        <f>T("   SEMELLES EXTERIEURES ET TALONS, EN CAOUTCHOUC OU EN MATIERE PLASTIQUE")</f>
        <v xml:space="preserve">   SEMELLES EXTERIEURES ET TALONS, EN CAOUTCHOUC OU EN MATIERE PLASTIQUE</v>
      </c>
      <c r="C10447" s="4">
        <v>1500</v>
      </c>
      <c r="D10447" s="4">
        <v>112230</v>
      </c>
    </row>
    <row r="10448" spans="1:4" x14ac:dyDescent="0.25">
      <c r="A10448" t="str">
        <f>T("   650590")</f>
        <v xml:space="preserve">   650590</v>
      </c>
      <c r="B10448" t="str">
        <f>T("   AUTRES COIFFURES EN MATIERES TEXTILES,EN PIECES(MAIS NON EN BANDES)")</f>
        <v xml:space="preserve">   AUTRES COIFFURES EN MATIERES TEXTILES,EN PIECES(MAIS NON EN BANDES)</v>
      </c>
      <c r="C10448" s="4">
        <v>103</v>
      </c>
      <c r="D10448" s="4">
        <v>4614549</v>
      </c>
    </row>
    <row r="10449" spans="1:4" x14ac:dyDescent="0.25">
      <c r="A10449" t="str">
        <f>T("   650610")</f>
        <v xml:space="preserve">   650610</v>
      </c>
      <c r="B10449" t="str">
        <f>T("   COIFFURES DE SECURITE")</f>
        <v xml:space="preserve">   COIFFURES DE SECURITE</v>
      </c>
      <c r="C10449" s="4">
        <v>26876</v>
      </c>
      <c r="D10449" s="4">
        <v>8931084</v>
      </c>
    </row>
    <row r="10450" spans="1:4" x14ac:dyDescent="0.25">
      <c r="A10450" t="str">
        <f>T("   650699")</f>
        <v xml:space="preserve">   650699</v>
      </c>
      <c r="B10450" t="str">
        <f>T("   EN AUTRES MATIERES")</f>
        <v xml:space="preserve">   EN AUTRES MATIERES</v>
      </c>
      <c r="C10450" s="4">
        <v>6290</v>
      </c>
      <c r="D10450" s="4">
        <v>2261636</v>
      </c>
    </row>
    <row r="10451" spans="1:4" x14ac:dyDescent="0.25">
      <c r="A10451" t="str">
        <f>T("   660110")</f>
        <v xml:space="preserve">   660110</v>
      </c>
      <c r="B10451" t="str">
        <f>T("   PARASOLS DE JARDIN ET ARTICLES SIMILAIRES")</f>
        <v xml:space="preserve">   PARASOLS DE JARDIN ET ARTICLES SIMILAIRES</v>
      </c>
      <c r="C10451" s="4">
        <v>150</v>
      </c>
      <c r="D10451" s="4">
        <v>10923</v>
      </c>
    </row>
    <row r="10452" spans="1:4" x14ac:dyDescent="0.25">
      <c r="A10452" t="str">
        <f>T("   660199")</f>
        <v xml:space="preserve">   660199</v>
      </c>
      <c r="B10452" t="str">
        <f>T("   AUTRES")</f>
        <v xml:space="preserve">   AUTRES</v>
      </c>
      <c r="C10452" s="4">
        <v>25</v>
      </c>
      <c r="D10452" s="4">
        <v>100000</v>
      </c>
    </row>
    <row r="10453" spans="1:4" x14ac:dyDescent="0.25">
      <c r="A10453" t="str">
        <f>T("   670300")</f>
        <v xml:space="preserve">   670300</v>
      </c>
      <c r="B10453" t="str">
        <f>T("   CHEVEUX REMIS, AMINCIS, BLANCHIS OU AUTREMENT PREPARES; LAINE, POILS ET AUTRES MATIERES")</f>
        <v xml:space="preserve">   CHEVEUX REMIS, AMINCIS, BLANCHIS OU AUTREMENT PREPARES; LAINE, POILS ET AUTRES MATIERES</v>
      </c>
      <c r="C10453" s="4">
        <v>4680</v>
      </c>
      <c r="D10453" s="4">
        <v>2161894</v>
      </c>
    </row>
    <row r="10454" spans="1:4" x14ac:dyDescent="0.25">
      <c r="A10454" t="str">
        <f>T("   670419")</f>
        <v xml:space="preserve">   670419</v>
      </c>
      <c r="B10454" t="str">
        <f>T("   AUTRES")</f>
        <v xml:space="preserve">   AUTRES</v>
      </c>
      <c r="C10454" s="4">
        <v>49281</v>
      </c>
      <c r="D10454" s="4">
        <v>10785266</v>
      </c>
    </row>
    <row r="10455" spans="1:4" x14ac:dyDescent="0.25">
      <c r="A10455" t="str">
        <f>T("   670420")</f>
        <v xml:space="preserve">   670420</v>
      </c>
      <c r="B10455" t="str">
        <f>T("   EN CHEVEUX")</f>
        <v xml:space="preserve">   EN CHEVEUX</v>
      </c>
      <c r="C10455" s="4">
        <v>402200</v>
      </c>
      <c r="D10455" s="4">
        <v>105592984</v>
      </c>
    </row>
    <row r="10456" spans="1:4" x14ac:dyDescent="0.25">
      <c r="A10456" t="str">
        <f>T("   680210")</f>
        <v xml:space="preserve">   680210</v>
      </c>
      <c r="B10456" t="str">
        <f>T("   CARREAUX, CUBES, DES ET ARTICLES SIMILAIRES, MEME DE FORME AUTRE QUE CARREE OU RECTAN")</f>
        <v xml:space="preserve">   CARREAUX, CUBES, DES ET ARTICLES SIMILAIRES, MEME DE FORME AUTRE QUE CARREE OU RECTAN</v>
      </c>
      <c r="C10456" s="4">
        <v>20070</v>
      </c>
      <c r="D10456" s="4">
        <v>1135996</v>
      </c>
    </row>
    <row r="10457" spans="1:4" x14ac:dyDescent="0.25">
      <c r="A10457" t="str">
        <f>T("   680221")</f>
        <v xml:space="preserve">   680221</v>
      </c>
      <c r="B10457" t="str">
        <f>T("   MARBRE, TRAVERTIN ET ALBATRE")</f>
        <v xml:space="preserve">   MARBRE, TRAVERTIN ET ALBATRE</v>
      </c>
      <c r="C10457" s="4">
        <v>27000</v>
      </c>
      <c r="D10457" s="4">
        <v>4370000</v>
      </c>
    </row>
    <row r="10458" spans="1:4" x14ac:dyDescent="0.25">
      <c r="A10458" t="str">
        <f>T("   680520")</f>
        <v xml:space="preserve">   680520</v>
      </c>
      <c r="B10458" t="str">
        <f>T("   APPLIQUES SUR PAPIER OU CARTON SEULEMENT")</f>
        <v xml:space="preserve">   APPLIQUES SUR PAPIER OU CARTON SEULEMENT</v>
      </c>
      <c r="C10458" s="4">
        <v>4000</v>
      </c>
      <c r="D10458" s="4">
        <v>1670000</v>
      </c>
    </row>
    <row r="10459" spans="1:4" x14ac:dyDescent="0.25">
      <c r="A10459" t="str">
        <f>T("   680690")</f>
        <v xml:space="preserve">   680690</v>
      </c>
      <c r="B10459" t="str">
        <f>T("   AUTRES")</f>
        <v xml:space="preserve">   AUTRES</v>
      </c>
      <c r="C10459" s="4">
        <v>2940</v>
      </c>
      <c r="D10459" s="4">
        <v>49153</v>
      </c>
    </row>
    <row r="10460" spans="1:4" x14ac:dyDescent="0.25">
      <c r="A10460" t="str">
        <f>T("   680710")</f>
        <v xml:space="preserve">   680710</v>
      </c>
      <c r="B10460" t="str">
        <f>T("   EN ROULEAUX")</f>
        <v xml:space="preserve">   EN ROULEAUX</v>
      </c>
      <c r="C10460" s="4">
        <v>1500</v>
      </c>
      <c r="D10460" s="4">
        <v>750000</v>
      </c>
    </row>
    <row r="10461" spans="1:4" x14ac:dyDescent="0.25">
      <c r="A10461" t="str">
        <f>T("   680990")</f>
        <v xml:space="preserve">   680990</v>
      </c>
      <c r="B10461" t="str">
        <f>T("   AUTRES OUVRAGES")</f>
        <v xml:space="preserve">   AUTRES OUVRAGES</v>
      </c>
      <c r="C10461" s="4">
        <v>350</v>
      </c>
      <c r="D10461" s="4">
        <v>21848</v>
      </c>
    </row>
    <row r="10462" spans="1:4" x14ac:dyDescent="0.25">
      <c r="A10462" t="str">
        <f>T("   681099")</f>
        <v xml:space="preserve">   681099</v>
      </c>
      <c r="B10462" t="str">
        <f>T("   AUTRES")</f>
        <v xml:space="preserve">   AUTRES</v>
      </c>
      <c r="C10462" s="4">
        <v>17500</v>
      </c>
      <c r="D10462" s="4">
        <v>550000</v>
      </c>
    </row>
    <row r="10463" spans="1:4" x14ac:dyDescent="0.25">
      <c r="A10463" t="str">
        <f>T("   681140")</f>
        <v xml:space="preserve">   681140</v>
      </c>
      <c r="B10463" t="str">
        <f>T("   CONTENANT DE L'AMIANTE")</f>
        <v xml:space="preserve">   CONTENANT DE L'AMIANTE</v>
      </c>
      <c r="C10463" s="4">
        <v>12260</v>
      </c>
      <c r="D10463" s="4">
        <v>906609</v>
      </c>
    </row>
    <row r="10464" spans="1:4" x14ac:dyDescent="0.25">
      <c r="A10464" t="str">
        <f>T("   681599")</f>
        <v xml:space="preserve">   681599</v>
      </c>
      <c r="B10464" t="str">
        <f>T("   AUTRES")</f>
        <v xml:space="preserve">   AUTRES</v>
      </c>
      <c r="C10464" s="4">
        <v>780</v>
      </c>
      <c r="D10464" s="4">
        <v>43693</v>
      </c>
    </row>
    <row r="10465" spans="1:4" x14ac:dyDescent="0.25">
      <c r="A10465" t="str">
        <f>T("   690810")</f>
        <v xml:space="preserve">   690810</v>
      </c>
      <c r="B10465" t="str">
        <f>T("   CARREAUX, CUBES, DES ET ARTICLES SIMILAIRES, MEME DE FORME AUTRE QUE CARREE OU RECTAN")</f>
        <v xml:space="preserve">   CARREAUX, CUBES, DES ET ARTICLES SIMILAIRES, MEME DE FORME AUTRE QUE CARREE OU RECTAN</v>
      </c>
      <c r="C10465" s="4">
        <v>4115</v>
      </c>
      <c r="D10465" s="4">
        <v>665538</v>
      </c>
    </row>
    <row r="10466" spans="1:4" x14ac:dyDescent="0.25">
      <c r="A10466" t="str">
        <f>T("   691010")</f>
        <v xml:space="preserve">   691010</v>
      </c>
      <c r="B10466" t="str">
        <f>T("   EN PORCELAINE")</f>
        <v xml:space="preserve">   EN PORCELAINE</v>
      </c>
      <c r="C10466" s="4">
        <v>7040</v>
      </c>
      <c r="D10466" s="4">
        <v>1500000</v>
      </c>
    </row>
    <row r="10467" spans="1:4" x14ac:dyDescent="0.25">
      <c r="A10467" t="str">
        <f>T("   691090")</f>
        <v xml:space="preserve">   691090</v>
      </c>
      <c r="B10467" t="str">
        <f>T("   AUTRES")</f>
        <v xml:space="preserve">   AUTRES</v>
      </c>
      <c r="C10467" s="4">
        <v>2205</v>
      </c>
      <c r="D10467" s="4">
        <v>464615</v>
      </c>
    </row>
    <row r="10468" spans="1:4" x14ac:dyDescent="0.25">
      <c r="A10468" t="str">
        <f>T("   691200")</f>
        <v xml:space="preserve">   691200</v>
      </c>
      <c r="B10468" t="str">
        <f>T("   VAISSELLE, AUTRES ARTICLES DE MENAGE OU D'ECONOMIE DOMESTIQUE ET ARTICLES D'HYGIENE OU")</f>
        <v xml:space="preserve">   VAISSELLE, AUTRES ARTICLES DE MENAGE OU D'ECONOMIE DOMESTIQUE ET ARTICLES D'HYGIENE OU</v>
      </c>
      <c r="C10468" s="4">
        <v>3590</v>
      </c>
      <c r="D10468" s="4">
        <v>196612</v>
      </c>
    </row>
    <row r="10469" spans="1:4" x14ac:dyDescent="0.25">
      <c r="A10469" t="str">
        <f>T("   700529")</f>
        <v xml:space="preserve">   700529</v>
      </c>
      <c r="B10469" t="str">
        <f>T("   AUTRE")</f>
        <v xml:space="preserve">   AUTRE</v>
      </c>
      <c r="C10469" s="4">
        <v>16420</v>
      </c>
      <c r="D10469" s="4">
        <v>6310497</v>
      </c>
    </row>
    <row r="10470" spans="1:4" x14ac:dyDescent="0.25">
      <c r="A10470" t="str">
        <f>T("   700800")</f>
        <v xml:space="preserve">   700800</v>
      </c>
      <c r="B10470" t="str">
        <f>T("   VITRAGES ISOLANTS A PAROIS MULTIPLES.")</f>
        <v xml:space="preserve">   VITRAGES ISOLANTS A PAROIS MULTIPLES.</v>
      </c>
      <c r="C10470" s="4">
        <v>11500</v>
      </c>
      <c r="D10470" s="4">
        <v>2185000</v>
      </c>
    </row>
    <row r="10471" spans="1:4" x14ac:dyDescent="0.25">
      <c r="A10471" t="str">
        <f>T("   700992")</f>
        <v xml:space="preserve">   700992</v>
      </c>
      <c r="B10471" t="str">
        <f>T("   ENCADRES")</f>
        <v xml:space="preserve">   ENCADRES</v>
      </c>
      <c r="C10471" s="4">
        <v>180</v>
      </c>
      <c r="D10471" s="4">
        <v>43692</v>
      </c>
    </row>
    <row r="10472" spans="1:4" x14ac:dyDescent="0.25">
      <c r="A10472" t="str">
        <f>T("   701090")</f>
        <v xml:space="preserve">   701090</v>
      </c>
      <c r="B10472" t="str">
        <f>T("   AUTRES")</f>
        <v xml:space="preserve">   AUTRES</v>
      </c>
      <c r="C10472" s="4">
        <v>68110</v>
      </c>
      <c r="D10472" s="4">
        <v>1046503</v>
      </c>
    </row>
    <row r="10473" spans="1:4" x14ac:dyDescent="0.25">
      <c r="A10473" t="str">
        <f>T("   701091")</f>
        <v xml:space="preserve">   701091</v>
      </c>
      <c r="B10473" t="str">
        <f>T("   BOUTEILLES,BONBONNES,FLACONS,BOCAUX,POTS,RECIPIENTS SIMILAIRES EXCEDANT 1L")</f>
        <v xml:space="preserve">   BOUTEILLES,BONBONNES,FLACONS,BOCAUX,POTS,RECIPIENTS SIMILAIRES EXCEDANT 1L</v>
      </c>
      <c r="C10473" s="4">
        <v>3100</v>
      </c>
      <c r="D10473" s="4">
        <v>160356</v>
      </c>
    </row>
    <row r="10474" spans="1:4" x14ac:dyDescent="0.25">
      <c r="A10474" t="str">
        <f>T("   701092")</f>
        <v xml:space="preserve">   701092</v>
      </c>
      <c r="B10474" t="str">
        <f>T("   BOUTEILLES,BONBONNES,FLACONS,BOCAUX,POTS,RECIPIENTS SIMILAIRES +0,33L A 1L")</f>
        <v xml:space="preserve">   BOUTEILLES,BONBONNES,FLACONS,BOCAUX,POTS,RECIPIENTS SIMILAIRES +0,33L A 1L</v>
      </c>
      <c r="C10474" s="4">
        <v>22660</v>
      </c>
      <c r="D10474" s="4">
        <v>527312</v>
      </c>
    </row>
    <row r="10475" spans="1:4" x14ac:dyDescent="0.25">
      <c r="A10475" t="str">
        <f>T("   701094")</f>
        <v xml:space="preserve">   701094</v>
      </c>
      <c r="B10475" t="str">
        <f>T("   BOUTEILLES,BONBONNES,FLACONS,BOCAUX,POTS ET SIMILAIRES, DE 0,15L OU MOINS")</f>
        <v xml:space="preserve">   BOUTEILLES,BONBONNES,FLACONS,BOCAUX,POTS ET SIMILAIRES, DE 0,15L OU MOINS</v>
      </c>
      <c r="C10475" s="4">
        <v>510</v>
      </c>
      <c r="D10475" s="4">
        <v>118082</v>
      </c>
    </row>
    <row r="10476" spans="1:4" x14ac:dyDescent="0.25">
      <c r="A10476" t="str">
        <f>T("   701110")</f>
        <v xml:space="preserve">   701110</v>
      </c>
      <c r="B10476" t="str">
        <f>T("   POUR L'ECLAIRAGE ELECTRIQUE")</f>
        <v xml:space="preserve">   POUR L'ECLAIRAGE ELECTRIQUE</v>
      </c>
      <c r="C10476" s="4">
        <v>1183</v>
      </c>
      <c r="D10476" s="4">
        <v>162576</v>
      </c>
    </row>
    <row r="10477" spans="1:4" x14ac:dyDescent="0.25">
      <c r="A10477" t="str">
        <f>T("   701190")</f>
        <v xml:space="preserve">   701190</v>
      </c>
      <c r="B10477" t="str">
        <f>T("   AUTRES")</f>
        <v xml:space="preserve">   AUTRES</v>
      </c>
      <c r="C10477" s="4">
        <v>11213</v>
      </c>
      <c r="D10477" s="4">
        <v>3057086</v>
      </c>
    </row>
    <row r="10478" spans="1:4" x14ac:dyDescent="0.25">
      <c r="A10478" t="str">
        <f>T("   701328")</f>
        <v xml:space="preserve">   701328</v>
      </c>
      <c r="B10478" t="str">
        <f>T("   AUTRES")</f>
        <v xml:space="preserve">   AUTRES</v>
      </c>
      <c r="C10478" s="4">
        <v>20</v>
      </c>
      <c r="D10478" s="4">
        <v>65000</v>
      </c>
    </row>
    <row r="10479" spans="1:4" x14ac:dyDescent="0.25">
      <c r="A10479" t="str">
        <f>T("   701337")</f>
        <v xml:space="preserve">   701337</v>
      </c>
      <c r="B10479" t="str">
        <f>T("   AUTRES")</f>
        <v xml:space="preserve">   AUTRES</v>
      </c>
      <c r="C10479" s="4">
        <v>1200</v>
      </c>
      <c r="D10479" s="4">
        <v>218459</v>
      </c>
    </row>
    <row r="10480" spans="1:4" x14ac:dyDescent="0.25">
      <c r="A10480" t="str">
        <f>T("   701939")</f>
        <v xml:space="preserve">   701939</v>
      </c>
      <c r="B10480" t="str">
        <f>T("   AUTRES")</f>
        <v xml:space="preserve">   AUTRES</v>
      </c>
      <c r="C10480" s="4">
        <v>5155</v>
      </c>
      <c r="D10480" s="4">
        <v>436920</v>
      </c>
    </row>
    <row r="10481" spans="1:4" x14ac:dyDescent="0.25">
      <c r="A10481" t="str">
        <f>T("   701990")</f>
        <v xml:space="preserve">   701990</v>
      </c>
      <c r="B10481" t="str">
        <f>T("   AUTRES")</f>
        <v xml:space="preserve">   AUTRES</v>
      </c>
      <c r="C10481" s="4">
        <v>5000</v>
      </c>
      <c r="D10481" s="4">
        <v>43695</v>
      </c>
    </row>
    <row r="10482" spans="1:4" x14ac:dyDescent="0.25">
      <c r="A10482" t="str">
        <f>T("   702000")</f>
        <v xml:space="preserve">   702000</v>
      </c>
      <c r="B10482" t="str">
        <f>T("   AUTRES OUVRAGES EN VERRE.")</f>
        <v xml:space="preserve">   AUTRES OUVRAGES EN VERRE.</v>
      </c>
      <c r="C10482" s="4">
        <v>2203</v>
      </c>
      <c r="D10482" s="4">
        <v>577358</v>
      </c>
    </row>
    <row r="10483" spans="1:4" x14ac:dyDescent="0.25">
      <c r="A10483" t="str">
        <f>T("   711719")</f>
        <v xml:space="preserve">   711719</v>
      </c>
      <c r="B10483" t="str">
        <f>T("   AUTRES")</f>
        <v xml:space="preserve">   AUTRES</v>
      </c>
      <c r="C10483" s="4">
        <v>60</v>
      </c>
      <c r="D10483" s="4">
        <v>65538</v>
      </c>
    </row>
    <row r="10484" spans="1:4" x14ac:dyDescent="0.25">
      <c r="A10484" t="str">
        <f>T("   720292")</f>
        <v xml:space="preserve">   720292</v>
      </c>
      <c r="B10484" t="str">
        <f>T("   Ferrovanadium")</f>
        <v xml:space="preserve">   Ferrovanadium</v>
      </c>
      <c r="C10484" s="4">
        <v>40000</v>
      </c>
      <c r="D10484" s="4">
        <v>10400000</v>
      </c>
    </row>
    <row r="10485" spans="1:4" x14ac:dyDescent="0.25">
      <c r="A10485" t="str">
        <f>T("   720430")</f>
        <v xml:space="preserve">   720430</v>
      </c>
      <c r="B10485" t="str">
        <f>T("   Dechets et debris de fer ou d'acier etames")</f>
        <v xml:space="preserve">   Dechets et debris de fer ou d'acier etames</v>
      </c>
      <c r="C10485" s="4">
        <v>3140</v>
      </c>
      <c r="D10485" s="4">
        <v>465631</v>
      </c>
    </row>
    <row r="10486" spans="1:4" x14ac:dyDescent="0.25">
      <c r="A10486" t="str">
        <f>T("   720690")</f>
        <v xml:space="preserve">   720690</v>
      </c>
      <c r="B10486" t="str">
        <f>T("   AUTRES")</f>
        <v xml:space="preserve">   AUTRES</v>
      </c>
      <c r="C10486" s="4">
        <v>60000</v>
      </c>
      <c r="D10486" s="4">
        <v>15360000</v>
      </c>
    </row>
    <row r="10487" spans="1:4" x14ac:dyDescent="0.25">
      <c r="A10487" t="str">
        <f>T("   720837")</f>
        <v xml:space="preserve">   720837</v>
      </c>
      <c r="B10487" t="str">
        <f>T("   D'UNE EPAISSEUR DE 4,75 MM OU PLUS MAIS N'EXCEDANT PAS 10 MM")</f>
        <v xml:space="preserve">   D'UNE EPAISSEUR DE 4,75 MM OU PLUS MAIS N'EXCEDANT PAS 10 MM</v>
      </c>
      <c r="C10487" s="4">
        <v>560</v>
      </c>
      <c r="D10487" s="4">
        <v>53716</v>
      </c>
    </row>
    <row r="10488" spans="1:4" x14ac:dyDescent="0.25">
      <c r="A10488" t="str">
        <f>T("   720838")</f>
        <v xml:space="preserve">   720838</v>
      </c>
      <c r="B10488" t="str">
        <f>T("   D'UNE EPAISSEUR DE 3 MM OU PLUS MAIS INFERIEURE A 4,75 MM")</f>
        <v xml:space="preserve">   D'UNE EPAISSEUR DE 3 MM OU PLUS MAIS INFERIEURE A 4,75 MM</v>
      </c>
      <c r="C10488" s="4">
        <v>23000</v>
      </c>
      <c r="D10488" s="4">
        <v>7356688</v>
      </c>
    </row>
    <row r="10489" spans="1:4" x14ac:dyDescent="0.25">
      <c r="A10489" t="str">
        <f>T("   720839")</f>
        <v xml:space="preserve">   720839</v>
      </c>
      <c r="B10489" t="str">
        <f>T("   D'UNE EPAISSEUR INFERIEURE A 3 MM")</f>
        <v xml:space="preserve">   D'UNE EPAISSEUR INFERIEURE A 3 MM</v>
      </c>
      <c r="C10489" s="4">
        <v>2876020</v>
      </c>
      <c r="D10489" s="4">
        <v>843040466</v>
      </c>
    </row>
    <row r="10490" spans="1:4" x14ac:dyDescent="0.25">
      <c r="A10490" t="str">
        <f>T("   720851")</f>
        <v xml:space="preserve">   720851</v>
      </c>
      <c r="B10490" t="str">
        <f>T("   D'UNE EPAISSEUR EXCEDANT 10 MM")</f>
        <v xml:space="preserve">   D'UNE EPAISSEUR EXCEDANT 10 MM</v>
      </c>
      <c r="C10490" s="4">
        <v>100000</v>
      </c>
      <c r="D10490" s="4">
        <v>23000000</v>
      </c>
    </row>
    <row r="10491" spans="1:4" x14ac:dyDescent="0.25">
      <c r="A10491" t="str">
        <f>T("   720852")</f>
        <v xml:space="preserve">   720852</v>
      </c>
      <c r="B10491" t="str">
        <f>T("   D'UNE EPAISSEUR DE 4,75 MM OU PLUS MAIS N'EXCEDANT PAS 10 MM")</f>
        <v xml:space="preserve">   D'UNE EPAISSEUR DE 4,75 MM OU PLUS MAIS N'EXCEDANT PAS 10 MM</v>
      </c>
      <c r="C10491" s="4">
        <v>200000</v>
      </c>
      <c r="D10491" s="4">
        <v>46000000</v>
      </c>
    </row>
    <row r="10492" spans="1:4" x14ac:dyDescent="0.25">
      <c r="A10492" t="str">
        <f>T("   720853")</f>
        <v xml:space="preserve">   720853</v>
      </c>
      <c r="B10492" t="str">
        <f>T("   D'UNE EPAISSEUR DE 3 MM OU PLUS MAIS INFERIEURE A 4,75 MM")</f>
        <v xml:space="preserve">   D'UNE EPAISSEUR DE 3 MM OU PLUS MAIS INFERIEURE A 4,75 MM</v>
      </c>
      <c r="C10492" s="4">
        <v>110000</v>
      </c>
      <c r="D10492" s="4">
        <v>25300000</v>
      </c>
    </row>
    <row r="10493" spans="1:4" x14ac:dyDescent="0.25">
      <c r="A10493" t="str">
        <f>T("   720890")</f>
        <v xml:space="preserve">   720890</v>
      </c>
      <c r="B10493" t="str">
        <f>T("   AUTRES")</f>
        <v xml:space="preserve">   AUTRES</v>
      </c>
      <c r="C10493" s="4">
        <v>198980</v>
      </c>
      <c r="D10493" s="4">
        <v>71658958</v>
      </c>
    </row>
    <row r="10494" spans="1:4" x14ac:dyDescent="0.25">
      <c r="A10494" t="str">
        <f>T("   720917")</f>
        <v xml:space="preserve">   720917</v>
      </c>
      <c r="B10494" t="str">
        <f>T("   D'UNE EPAISSEUR DE 0,5 MM OU PLUS MAIS N'EXCEDANT PAS 1 MM")</f>
        <v xml:space="preserve">   D'UNE EPAISSEUR DE 0,5 MM OU PLUS MAIS N'EXCEDANT PAS 1 MM</v>
      </c>
      <c r="C10494" s="4">
        <v>2180734</v>
      </c>
      <c r="D10494" s="4">
        <v>754657710</v>
      </c>
    </row>
    <row r="10495" spans="1:4" x14ac:dyDescent="0.25">
      <c r="A10495" t="str">
        <f>T("   720927")</f>
        <v xml:space="preserve">   720927</v>
      </c>
      <c r="B10495" t="str">
        <f>T("   D'UNE EPAISSEUR DE 0,5 MM OU PLUS MAIS N'EXCEDANT PAS 1 MM")</f>
        <v xml:space="preserve">   D'UNE EPAISSEUR DE 0,5 MM OU PLUS MAIS N'EXCEDANT PAS 1 MM</v>
      </c>
      <c r="C10495" s="4">
        <v>56000</v>
      </c>
      <c r="D10495" s="4">
        <v>17303721</v>
      </c>
    </row>
    <row r="10496" spans="1:4" x14ac:dyDescent="0.25">
      <c r="A10496" t="str">
        <f>T("   720990")</f>
        <v xml:space="preserve">   720990</v>
      </c>
      <c r="B10496" t="str">
        <f>T("   AUTRES")</f>
        <v xml:space="preserve">   AUTRES</v>
      </c>
      <c r="C10496" s="4">
        <v>265000</v>
      </c>
      <c r="D10496" s="4">
        <v>60950000</v>
      </c>
    </row>
    <row r="10497" spans="1:4" x14ac:dyDescent="0.25">
      <c r="A10497" t="str">
        <f>T("   721011")</f>
        <v xml:space="preserve">   721011</v>
      </c>
      <c r="B10497" t="str">
        <f>T("   D'UNE EPAISSEUR DE 0,5 MM OU PLUS")</f>
        <v xml:space="preserve">   D'UNE EPAISSEUR DE 0,5 MM OU PLUS</v>
      </c>
      <c r="C10497" s="4">
        <v>5045</v>
      </c>
      <c r="D10497" s="4">
        <v>1972089</v>
      </c>
    </row>
    <row r="10498" spans="1:4" x14ac:dyDescent="0.25">
      <c r="A10498" t="str">
        <f>T("   721012")</f>
        <v xml:space="preserve">   721012</v>
      </c>
      <c r="B10498" t="str">
        <f>T("   D'UNE EPAISSEUR INFERIEURE A 0,5 MM")</f>
        <v xml:space="preserve">   D'UNE EPAISSEUR INFERIEURE A 0,5 MM</v>
      </c>
      <c r="C10498" s="4">
        <v>4</v>
      </c>
      <c r="D10498" s="4">
        <v>170000</v>
      </c>
    </row>
    <row r="10499" spans="1:4" x14ac:dyDescent="0.25">
      <c r="A10499" t="str">
        <f>T("   721020")</f>
        <v xml:space="preserve">   721020</v>
      </c>
      <c r="B10499" t="str">
        <f>T("   PLOMBES, Y COMPRIS LE FER TERNE")</f>
        <v xml:space="preserve">   PLOMBES, Y COMPRIS LE FER TERNE</v>
      </c>
      <c r="C10499" s="4">
        <v>35000</v>
      </c>
      <c r="D10499" s="4">
        <v>13494926</v>
      </c>
    </row>
    <row r="10500" spans="1:4" x14ac:dyDescent="0.25">
      <c r="A10500" t="str">
        <f>T("   721030")</f>
        <v xml:space="preserve">   721030</v>
      </c>
      <c r="B10500" t="str">
        <f>T("   ZINGUES ELECTROLYTIQUEMENT")</f>
        <v xml:space="preserve">   ZINGUES ELECTROLYTIQUEMENT</v>
      </c>
      <c r="C10500" s="4">
        <v>40470</v>
      </c>
      <c r="D10500" s="4">
        <v>19880518</v>
      </c>
    </row>
    <row r="10501" spans="1:4" x14ac:dyDescent="0.25">
      <c r="A10501" t="str">
        <f>T("   721041")</f>
        <v xml:space="preserve">   721041</v>
      </c>
      <c r="B10501" t="str">
        <f>T("   ONDULES")</f>
        <v xml:space="preserve">   ONDULES</v>
      </c>
      <c r="C10501" s="4">
        <v>2828341.4</v>
      </c>
      <c r="D10501" s="4">
        <v>1145559941</v>
      </c>
    </row>
    <row r="10502" spans="1:4" x14ac:dyDescent="0.25">
      <c r="A10502" t="str">
        <f>T("   721049")</f>
        <v xml:space="preserve">   721049</v>
      </c>
      <c r="B10502" t="str">
        <f>T("   AUTRES")</f>
        <v xml:space="preserve">   AUTRES</v>
      </c>
      <c r="C10502" s="4">
        <v>2662834</v>
      </c>
      <c r="D10502" s="4">
        <v>1334012453</v>
      </c>
    </row>
    <row r="10503" spans="1:4" x14ac:dyDescent="0.25">
      <c r="A10503" t="str">
        <f>T("   721090")</f>
        <v xml:space="preserve">   721090</v>
      </c>
      <c r="B10503" t="str">
        <f>T("   AUTRES")</f>
        <v xml:space="preserve">   AUTRES</v>
      </c>
      <c r="C10503" s="4">
        <v>9370</v>
      </c>
      <c r="D10503" s="4">
        <v>1223101</v>
      </c>
    </row>
    <row r="10504" spans="1:4" x14ac:dyDescent="0.25">
      <c r="A10504" t="str">
        <f>T("   721119")</f>
        <v xml:space="preserve">   721119</v>
      </c>
      <c r="B10504" t="str">
        <f>T("   AUTRES")</f>
        <v xml:space="preserve">   AUTRES</v>
      </c>
      <c r="C10504" s="4">
        <v>15240</v>
      </c>
      <c r="D10504" s="4">
        <v>2560214</v>
      </c>
    </row>
    <row r="10505" spans="1:4" x14ac:dyDescent="0.25">
      <c r="A10505" t="str">
        <f>T("   721250")</f>
        <v xml:space="preserve">   721250</v>
      </c>
      <c r="B10505" t="str">
        <f>T("   AUTREMENT REVETUS")</f>
        <v xml:space="preserve">   AUTREMENT REVETUS</v>
      </c>
      <c r="C10505" s="4">
        <v>80000</v>
      </c>
      <c r="D10505" s="4">
        <v>19400000</v>
      </c>
    </row>
    <row r="10506" spans="1:4" x14ac:dyDescent="0.25">
      <c r="A10506" t="str">
        <f>T("   721310")</f>
        <v xml:space="preserve">   721310</v>
      </c>
      <c r="B10506" t="str">
        <f>T("   COMPORTANT DES INDENTATIONS, BOURRELETS, CREUX OU RELIEFS OBTENUS AU COURS DU LAMINAG")</f>
        <v xml:space="preserve">   COMPORTANT DES INDENTATIONS, BOURRELETS, CREUX OU RELIEFS OBTENUS AU COURS DU LAMINAG</v>
      </c>
      <c r="C10506" s="4">
        <v>1145000</v>
      </c>
      <c r="D10506" s="4">
        <v>268600000</v>
      </c>
    </row>
    <row r="10507" spans="1:4" x14ac:dyDescent="0.25">
      <c r="A10507" t="str">
        <f>T("   721391")</f>
        <v xml:space="preserve">   721391</v>
      </c>
      <c r="B10507" t="str">
        <f>T("   DE SECTION CIRCULAIRE D'UN DIAMETRE INFERIEUR A 14 MM")</f>
        <v xml:space="preserve">   DE SECTION CIRCULAIRE D'UN DIAMETRE INFERIEUR A 14 MM</v>
      </c>
      <c r="C10507" s="4">
        <v>2220096</v>
      </c>
      <c r="D10507" s="4">
        <v>540249951</v>
      </c>
    </row>
    <row r="10508" spans="1:4" x14ac:dyDescent="0.25">
      <c r="A10508" t="str">
        <f>T("   721420")</f>
        <v xml:space="preserve">   721420</v>
      </c>
      <c r="B10508" t="str">
        <f>T("   COMPORTANT DES INDENTATIONS, BOURRELETS, CREUX OU RELIEFS OBTENUS AU COURS DU LAMINAG")</f>
        <v xml:space="preserve">   COMPORTANT DES INDENTATIONS, BOURRELETS, CREUX OU RELIEFS OBTENUS AU COURS DU LAMINAG</v>
      </c>
      <c r="C10508" s="4">
        <v>4340683</v>
      </c>
      <c r="D10508" s="4">
        <v>1168277258</v>
      </c>
    </row>
    <row r="10509" spans="1:4" x14ac:dyDescent="0.25">
      <c r="A10509" t="str">
        <f>T("   721499")</f>
        <v xml:space="preserve">   721499</v>
      </c>
      <c r="B10509" t="str">
        <f>T("   AUTRES")</f>
        <v xml:space="preserve">   AUTRES</v>
      </c>
      <c r="C10509" s="4">
        <v>145200</v>
      </c>
      <c r="D10509" s="4">
        <v>33320666</v>
      </c>
    </row>
    <row r="10510" spans="1:4" x14ac:dyDescent="0.25">
      <c r="A10510" t="str">
        <f>T("   721510")</f>
        <v xml:space="preserve">   721510</v>
      </c>
      <c r="B10510" t="str">
        <f>T("   EN ACIERS DE DECOLLETAGE, SIMPLEMENT OBTENUES OU PARACHEVEES A FROID")</f>
        <v xml:space="preserve">   EN ACIERS DE DECOLLETAGE, SIMPLEMENT OBTENUES OU PARACHEVEES A FROID</v>
      </c>
      <c r="C10510" s="4">
        <v>300</v>
      </c>
      <c r="D10510" s="4">
        <v>100000</v>
      </c>
    </row>
    <row r="10511" spans="1:4" x14ac:dyDescent="0.25">
      <c r="A10511" t="str">
        <f>T("   721631")</f>
        <v xml:space="preserve">   721631</v>
      </c>
      <c r="B10511" t="str">
        <f>T("   PROFILES EN U")</f>
        <v xml:space="preserve">   PROFILES EN U</v>
      </c>
      <c r="C10511" s="4">
        <v>65000</v>
      </c>
      <c r="D10511" s="4">
        <v>14950000</v>
      </c>
    </row>
    <row r="10512" spans="1:4" x14ac:dyDescent="0.25">
      <c r="A10512" t="str">
        <f>T("   721632")</f>
        <v xml:space="preserve">   721632</v>
      </c>
      <c r="B10512" t="str">
        <f>T("   PROFILES EN I")</f>
        <v xml:space="preserve">   PROFILES EN I</v>
      </c>
      <c r="C10512" s="4">
        <v>6000</v>
      </c>
      <c r="D10512" s="4">
        <v>2224920</v>
      </c>
    </row>
    <row r="10513" spans="1:4" x14ac:dyDescent="0.25">
      <c r="A10513" t="str">
        <f>T("   721650")</f>
        <v xml:space="preserve">   721650</v>
      </c>
      <c r="B10513" t="str">
        <f>T("   AUTRES PROFILES, SIMPLEMENT LAMINES OU FILES A CHAUD")</f>
        <v xml:space="preserve">   AUTRES PROFILES, SIMPLEMENT LAMINES OU FILES A CHAUD</v>
      </c>
      <c r="C10513" s="4">
        <v>629000</v>
      </c>
      <c r="D10513" s="4">
        <v>157420000</v>
      </c>
    </row>
    <row r="10514" spans="1:4" x14ac:dyDescent="0.25">
      <c r="A10514" t="str">
        <f>T("   721661")</f>
        <v xml:space="preserve">   721661</v>
      </c>
      <c r="B10514" t="str">
        <f>T("   OBTENUS A PARTIR DE PRODUITS LAMINES PLATS")</f>
        <v xml:space="preserve">   OBTENUS A PARTIR DE PRODUITS LAMINES PLATS</v>
      </c>
      <c r="C10514" s="4">
        <v>143000</v>
      </c>
      <c r="D10514" s="4">
        <v>53716198</v>
      </c>
    </row>
    <row r="10515" spans="1:4" x14ac:dyDescent="0.25">
      <c r="A10515" t="str">
        <f>T("   721710")</f>
        <v xml:space="preserve">   721710</v>
      </c>
      <c r="B10515" t="str">
        <f>T("   NON REVETUS, MEME POLIS")</f>
        <v xml:space="preserve">   NON REVETUS, MEME POLIS</v>
      </c>
      <c r="C10515" s="4">
        <v>110000</v>
      </c>
      <c r="D10515" s="4">
        <v>25300000</v>
      </c>
    </row>
    <row r="10516" spans="1:4" x14ac:dyDescent="0.25">
      <c r="A10516" t="str">
        <f>T("   721720")</f>
        <v xml:space="preserve">   721720</v>
      </c>
      <c r="B10516" t="str">
        <f>T("   ZINGUES")</f>
        <v xml:space="preserve">   ZINGUES</v>
      </c>
      <c r="C10516" s="4">
        <v>120000</v>
      </c>
      <c r="D10516" s="4">
        <v>46265316</v>
      </c>
    </row>
    <row r="10517" spans="1:4" x14ac:dyDescent="0.25">
      <c r="A10517" t="str">
        <f>T("   721790")</f>
        <v xml:space="preserve">   721790</v>
      </c>
      <c r="B10517" t="str">
        <f>T("   AUTRES")</f>
        <v xml:space="preserve">   AUTRES</v>
      </c>
      <c r="C10517" s="4">
        <v>369340</v>
      </c>
      <c r="D10517" s="4">
        <v>124030416</v>
      </c>
    </row>
    <row r="10518" spans="1:4" x14ac:dyDescent="0.25">
      <c r="A10518" t="str">
        <f>T("   721911")</f>
        <v xml:space="preserve">   721911</v>
      </c>
      <c r="B10518" t="str">
        <f>T("   D'UNE EPAISSEUR EXCEDANT 10 MM")</f>
        <v xml:space="preserve">   D'UNE EPAISSEUR EXCEDANT 10 MM</v>
      </c>
      <c r="C10518" s="4">
        <v>10000</v>
      </c>
      <c r="D10518" s="4">
        <v>3656669</v>
      </c>
    </row>
    <row r="10519" spans="1:4" x14ac:dyDescent="0.25">
      <c r="A10519" t="str">
        <f>T("   722599")</f>
        <v xml:space="preserve">   722599</v>
      </c>
      <c r="B10519" t="str">
        <f>T("   AUTRES")</f>
        <v xml:space="preserve">   AUTRES</v>
      </c>
      <c r="C10519" s="4">
        <v>355000</v>
      </c>
      <c r="D10519" s="4">
        <v>90880000</v>
      </c>
    </row>
    <row r="10520" spans="1:4" x14ac:dyDescent="0.25">
      <c r="A10520" t="str">
        <f>T("   722860")</f>
        <v xml:space="preserve">   722860</v>
      </c>
      <c r="B10520" t="str">
        <f>T("   AUTRES BARRES")</f>
        <v xml:space="preserve">   AUTRES BARRES</v>
      </c>
      <c r="C10520" s="4">
        <v>30000</v>
      </c>
      <c r="D10520" s="4">
        <v>6900000</v>
      </c>
    </row>
    <row r="10521" spans="1:4" x14ac:dyDescent="0.25">
      <c r="A10521" t="str">
        <f>T("   730419")</f>
        <v xml:space="preserve">   730419</v>
      </c>
      <c r="B10521" t="str">
        <f>T("   AUTRES")</f>
        <v xml:space="preserve">   AUTRES</v>
      </c>
      <c r="C10521" s="4">
        <v>120000</v>
      </c>
      <c r="D10521" s="4">
        <v>28800000</v>
      </c>
    </row>
    <row r="10522" spans="1:4" x14ac:dyDescent="0.25">
      <c r="A10522" t="str">
        <f>T("   730439")</f>
        <v xml:space="preserve">   730439</v>
      </c>
      <c r="B10522" t="str">
        <f>T("   AUTRES")</f>
        <v xml:space="preserve">   AUTRES</v>
      </c>
      <c r="C10522" s="4">
        <v>200</v>
      </c>
      <c r="D10522" s="4">
        <v>10923</v>
      </c>
    </row>
    <row r="10523" spans="1:4" x14ac:dyDescent="0.25">
      <c r="A10523" t="str">
        <f>T("   730539")</f>
        <v xml:space="preserve">   730539</v>
      </c>
      <c r="B10523" t="str">
        <f>T("   AUTRES")</f>
        <v xml:space="preserve">   AUTRES</v>
      </c>
      <c r="C10523" s="4">
        <v>2000</v>
      </c>
      <c r="D10523" s="4">
        <v>131076</v>
      </c>
    </row>
    <row r="10524" spans="1:4" x14ac:dyDescent="0.25">
      <c r="A10524" t="str">
        <f>T("   730630")</f>
        <v xml:space="preserve">   730630</v>
      </c>
      <c r="B10524" t="str">
        <f>T("   AUTRES, SOUDES, DE SECTION CIRCULAIRE, EN FER OU EN ACIERS NON ALLIES")</f>
        <v xml:space="preserve">   AUTRES, SOUDES, DE SECTION CIRCULAIRE, EN FER OU EN ACIERS NON ALLIES</v>
      </c>
      <c r="C10524" s="4">
        <v>161050</v>
      </c>
      <c r="D10524" s="4">
        <v>40358469</v>
      </c>
    </row>
    <row r="10525" spans="1:4" x14ac:dyDescent="0.25">
      <c r="A10525" t="str">
        <f>T("   730650")</f>
        <v xml:space="preserve">   730650</v>
      </c>
      <c r="B10525" t="str">
        <f>T("   AUTRES, SOUDES, DE SECTION CIRCULAIRE, EN AUTRES ACIERS ALLIES")</f>
        <v xml:space="preserve">   AUTRES, SOUDES, DE SECTION CIRCULAIRE, EN AUTRES ACIERS ALLIES</v>
      </c>
      <c r="C10525" s="4">
        <v>205000</v>
      </c>
      <c r="D10525" s="4">
        <v>52480000</v>
      </c>
    </row>
    <row r="10526" spans="1:4" x14ac:dyDescent="0.25">
      <c r="A10526" t="str">
        <f>T("   730661")</f>
        <v xml:space="preserve">   730661</v>
      </c>
      <c r="B10526" t="str">
        <f>T("   DE SECTION CARREE OU RECTANGULAIRE")</f>
        <v xml:space="preserve">   DE SECTION CARREE OU RECTANGULAIRE</v>
      </c>
      <c r="C10526" s="4">
        <v>23000</v>
      </c>
      <c r="D10526" s="4">
        <v>9525400</v>
      </c>
    </row>
    <row r="10527" spans="1:4" x14ac:dyDescent="0.25">
      <c r="A10527" t="str">
        <f>T("   730690")</f>
        <v xml:space="preserve">   730690</v>
      </c>
      <c r="B10527" t="str">
        <f>T("   AUTRES")</f>
        <v xml:space="preserve">   AUTRES</v>
      </c>
      <c r="C10527" s="4">
        <v>230</v>
      </c>
      <c r="D10527" s="4">
        <v>71846</v>
      </c>
    </row>
    <row r="10528" spans="1:4" x14ac:dyDescent="0.25">
      <c r="A10528" t="str">
        <f>T("   730722")</f>
        <v xml:space="preserve">   730722</v>
      </c>
      <c r="B10528" t="str">
        <f>T("   COUDES, COURBES ET MANCHONS, FILETES")</f>
        <v xml:space="preserve">   COUDES, COURBES ET MANCHONS, FILETES</v>
      </c>
      <c r="C10528" s="4">
        <v>5</v>
      </c>
      <c r="D10528" s="4">
        <v>250038</v>
      </c>
    </row>
    <row r="10529" spans="1:4" x14ac:dyDescent="0.25">
      <c r="A10529" t="str">
        <f>T("   730729")</f>
        <v xml:space="preserve">   730729</v>
      </c>
      <c r="B10529" t="str">
        <f>T("   AUTRES")</f>
        <v xml:space="preserve">   AUTRES</v>
      </c>
      <c r="C10529" s="4">
        <v>3740</v>
      </c>
      <c r="D10529" s="4">
        <v>218460</v>
      </c>
    </row>
    <row r="10530" spans="1:4" x14ac:dyDescent="0.25">
      <c r="A10530" t="str">
        <f>T("   730820")</f>
        <v xml:space="preserve">   730820</v>
      </c>
      <c r="B10530" t="str">
        <f>T("   TOURS ET PYLONES")</f>
        <v xml:space="preserve">   TOURS ET PYLONES</v>
      </c>
      <c r="C10530" s="4">
        <v>2090</v>
      </c>
      <c r="D10530" s="4">
        <v>931078</v>
      </c>
    </row>
    <row r="10531" spans="1:4" x14ac:dyDescent="0.25">
      <c r="A10531" t="str">
        <f>T("   730830")</f>
        <v xml:space="preserve">   730830</v>
      </c>
      <c r="B10531" t="str">
        <f>T("   PORTES, FENETRES ET LEURS CADRES ET CHAMBRANLES ET SEUILS")</f>
        <v xml:space="preserve">   PORTES, FENETRES ET LEURS CADRES ET CHAMBRANLES ET SEUILS</v>
      </c>
      <c r="C10531" s="4">
        <v>400</v>
      </c>
      <c r="D10531" s="4">
        <v>218459</v>
      </c>
    </row>
    <row r="10532" spans="1:4" x14ac:dyDescent="0.25">
      <c r="A10532" t="str">
        <f>T("   730840")</f>
        <v xml:space="preserve">   730840</v>
      </c>
      <c r="B10532" t="str">
        <f>T("   MATERIEL D'ECHAFAUDAGE, DE COFFRAGE, D'ETANCONNEMENT OU D'ETAYAGE")</f>
        <v xml:space="preserve">   MATERIEL D'ECHAFAUDAGE, DE COFFRAGE, D'ETANCONNEMENT OU D'ETAYAGE</v>
      </c>
      <c r="C10532" s="4">
        <v>4800</v>
      </c>
      <c r="D10532" s="4">
        <v>2400000</v>
      </c>
    </row>
    <row r="10533" spans="1:4" x14ac:dyDescent="0.25">
      <c r="A10533" t="str">
        <f>T("   730890")</f>
        <v xml:space="preserve">   730890</v>
      </c>
      <c r="B10533" t="str">
        <f>T("   AUTRES")</f>
        <v xml:space="preserve">   AUTRES</v>
      </c>
      <c r="C10533" s="4">
        <v>287738</v>
      </c>
      <c r="D10533" s="4">
        <v>69229000</v>
      </c>
    </row>
    <row r="10534" spans="1:4" x14ac:dyDescent="0.25">
      <c r="A10534" t="str">
        <f>T("   730900")</f>
        <v xml:space="preserve">   730900</v>
      </c>
      <c r="B10534" t="str">
        <f>T("   RESERVOIRS, FOUDRES, CUVES ET RECIPIENTS SIMILAIRES POUR TOUTES MATIERES (A L'EXCEPTION")</f>
        <v xml:space="preserve">   RESERVOIRS, FOUDRES, CUVES ET RECIPIENTS SIMILAIRES POUR TOUTES MATIERES (A L'EXCEPTION</v>
      </c>
      <c r="C10534" s="4">
        <v>800</v>
      </c>
      <c r="D10534" s="4">
        <v>214861</v>
      </c>
    </row>
    <row r="10535" spans="1:4" x14ac:dyDescent="0.25">
      <c r="A10535" t="str">
        <f>T("   731010")</f>
        <v xml:space="preserve">   731010</v>
      </c>
      <c r="B10535" t="str">
        <f>T("   D'UNE CONTENANCE DE 50 L OU PLUS")</f>
        <v xml:space="preserve">   D'UNE CONTENANCE DE 50 L OU PLUS</v>
      </c>
      <c r="C10535" s="4">
        <v>11880</v>
      </c>
      <c r="D10535" s="4">
        <v>3046760</v>
      </c>
    </row>
    <row r="10536" spans="1:4" x14ac:dyDescent="0.25">
      <c r="A10536" t="str">
        <f>T("   731021")</f>
        <v xml:space="preserve">   731021</v>
      </c>
      <c r="B10536" t="str">
        <f>T("   BOITES A FERMER PAR SOUDAGE OU SERTISSAGE")</f>
        <v xml:space="preserve">   BOITES A FERMER PAR SOUDAGE OU SERTISSAGE</v>
      </c>
      <c r="C10536" s="4">
        <v>1100</v>
      </c>
      <c r="D10536" s="4">
        <v>358454</v>
      </c>
    </row>
    <row r="10537" spans="1:4" x14ac:dyDescent="0.25">
      <c r="A10537" t="str">
        <f>T("   731029")</f>
        <v xml:space="preserve">   731029</v>
      </c>
      <c r="B10537" t="str">
        <f>T("   AUTRES")</f>
        <v xml:space="preserve">   AUTRES</v>
      </c>
      <c r="C10537" s="4">
        <v>1208</v>
      </c>
      <c r="D10537" s="4">
        <v>761243</v>
      </c>
    </row>
    <row r="10538" spans="1:4" x14ac:dyDescent="0.25">
      <c r="A10538" t="str">
        <f>T("   731100")</f>
        <v xml:space="preserve">   731100</v>
      </c>
      <c r="B10538" t="str">
        <f>T("   RECIPIENTS POUR GAZ COMPRIMES OU LIQUEFIES, EN FONTE, FER OU ACIER.")</f>
        <v xml:space="preserve">   RECIPIENTS POUR GAZ COMPRIMES OU LIQUEFIES, EN FONTE, FER OU ACIER.</v>
      </c>
      <c r="C10538" s="4">
        <v>4647</v>
      </c>
      <c r="D10538" s="4">
        <v>155551175</v>
      </c>
    </row>
    <row r="10539" spans="1:4" x14ac:dyDescent="0.25">
      <c r="A10539" t="str">
        <f>T("   731420")</f>
        <v xml:space="preserve">   731420</v>
      </c>
      <c r="B10539" t="str">
        <f>T("   GRILLAGES ET TREILLIS, SOUDES AUX POINTS DE RENCONTRE, EN FILS DONT LA PLUS GRANDE DI")</f>
        <v xml:space="preserve">   GRILLAGES ET TREILLIS, SOUDES AUX POINTS DE RENCONTRE, EN FILS DONT LA PLUS GRANDE DI</v>
      </c>
      <c r="C10539" s="4">
        <v>700</v>
      </c>
      <c r="D10539" s="4">
        <v>123135</v>
      </c>
    </row>
    <row r="10540" spans="1:4" x14ac:dyDescent="0.25">
      <c r="A10540" t="str">
        <f>T("   731449")</f>
        <v xml:space="preserve">   731449</v>
      </c>
      <c r="B10540" t="str">
        <f>T("   AUTRES")</f>
        <v xml:space="preserve">   AUTRES</v>
      </c>
      <c r="C10540" s="4">
        <v>9980</v>
      </c>
      <c r="D10540" s="4">
        <v>3674219</v>
      </c>
    </row>
    <row r="10541" spans="1:4" x14ac:dyDescent="0.25">
      <c r="A10541" t="str">
        <f>T("   731450")</f>
        <v xml:space="preserve">   731450</v>
      </c>
      <c r="B10541" t="str">
        <f>T("   TOLES ET BANDES DEPLOYEES")</f>
        <v xml:space="preserve">   TOLES ET BANDES DEPLOYEES</v>
      </c>
      <c r="C10541" s="4">
        <v>36440</v>
      </c>
      <c r="D10541" s="4">
        <v>14609848</v>
      </c>
    </row>
    <row r="10542" spans="1:4" x14ac:dyDescent="0.25">
      <c r="A10542" t="str">
        <f>T("   731700")</f>
        <v xml:space="preserve">   731700</v>
      </c>
      <c r="B10542" t="str">
        <f>T("   POINTES, CLOUS, PUNAISES, CRAMPONS APPOINTES, AGRAFES ONDULEES OU BISEAUTEES ET ARTICLE")</f>
        <v xml:space="preserve">   POINTES, CLOUS, PUNAISES, CRAMPONS APPOINTES, AGRAFES ONDULEES OU BISEAUTEES ET ARTICLE</v>
      </c>
      <c r="C10542" s="4">
        <v>115700</v>
      </c>
      <c r="D10542" s="4">
        <v>49984610</v>
      </c>
    </row>
    <row r="10543" spans="1:4" x14ac:dyDescent="0.25">
      <c r="A10543" t="str">
        <f>T("   731812")</f>
        <v xml:space="preserve">   731812</v>
      </c>
      <c r="B10543" t="str">
        <f>T("   AUTRES VIS A BOIS")</f>
        <v xml:space="preserve">   AUTRES VIS A BOIS</v>
      </c>
      <c r="C10543" s="4">
        <v>500</v>
      </c>
      <c r="D10543" s="4">
        <v>32769</v>
      </c>
    </row>
    <row r="10544" spans="1:4" x14ac:dyDescent="0.25">
      <c r="A10544" t="str">
        <f>T("   732010")</f>
        <v xml:space="preserve">   732010</v>
      </c>
      <c r="B10544" t="str">
        <f>T("   RESSORTS A LAMES ET LEURS LAMES")</f>
        <v xml:space="preserve">   RESSORTS A LAMES ET LEURS LAMES</v>
      </c>
      <c r="C10544" s="4">
        <v>1680</v>
      </c>
      <c r="D10544" s="4">
        <v>218460</v>
      </c>
    </row>
    <row r="10545" spans="1:4" x14ac:dyDescent="0.25">
      <c r="A10545" t="str">
        <f>T("   732111")</f>
        <v xml:space="preserve">   732111</v>
      </c>
      <c r="B10545" t="str">
        <f>T("   A COMBUSTIBLES GAZEUX OU A GAZ ET AUTRES COMBUSTIBLES")</f>
        <v xml:space="preserve">   A COMBUSTIBLES GAZEUX OU A GAZ ET AUTRES COMBUSTIBLES</v>
      </c>
      <c r="C10545" s="4">
        <v>4020</v>
      </c>
      <c r="D10545" s="4">
        <v>2771523</v>
      </c>
    </row>
    <row r="10546" spans="1:4" x14ac:dyDescent="0.25">
      <c r="A10546" t="str">
        <f>T("   732310")</f>
        <v xml:space="preserve">   732310</v>
      </c>
      <c r="B10546" t="str">
        <f>T("   PAILLE DE FER OU D'ACIER; EPONGES, TORCHONS, GANTS ET ARTICLES SIMILAIRES POUR LE REC")</f>
        <v xml:space="preserve">   PAILLE DE FER OU D'ACIER; EPONGES, TORCHONS, GANTS ET ARTICLES SIMILAIRES POUR LE REC</v>
      </c>
      <c r="C10546" s="4">
        <v>136503</v>
      </c>
      <c r="D10546" s="4">
        <v>31637206</v>
      </c>
    </row>
    <row r="10547" spans="1:4" x14ac:dyDescent="0.25">
      <c r="A10547" t="str">
        <f>T("   732391")</f>
        <v xml:space="preserve">   732391</v>
      </c>
      <c r="B10547" t="str">
        <f>T("   EN FONTE, NON EMAILLES")</f>
        <v xml:space="preserve">   EN FONTE, NON EMAILLES</v>
      </c>
      <c r="C10547" s="4">
        <v>7430</v>
      </c>
      <c r="D10547" s="4">
        <v>1416099</v>
      </c>
    </row>
    <row r="10548" spans="1:4" x14ac:dyDescent="0.25">
      <c r="A10548" t="str">
        <f>T("   732392")</f>
        <v xml:space="preserve">   732392</v>
      </c>
      <c r="B10548" t="str">
        <f>T("   EN FONTE, EMAILLES")</f>
        <v xml:space="preserve">   EN FONTE, EMAILLES</v>
      </c>
      <c r="C10548" s="4">
        <v>28300</v>
      </c>
      <c r="D10548" s="4">
        <v>6941110</v>
      </c>
    </row>
    <row r="10549" spans="1:4" x14ac:dyDescent="0.25">
      <c r="A10549" t="str">
        <f>T("   732393")</f>
        <v xml:space="preserve">   732393</v>
      </c>
      <c r="B10549" t="str">
        <f>T("   EN ACIERS INOXYDABLES")</f>
        <v xml:space="preserve">   EN ACIERS INOXYDABLES</v>
      </c>
      <c r="C10549" s="4">
        <v>1000</v>
      </c>
      <c r="D10549" s="4">
        <v>241719</v>
      </c>
    </row>
    <row r="10550" spans="1:4" x14ac:dyDescent="0.25">
      <c r="A10550" t="str">
        <f>T("   732394")</f>
        <v xml:space="preserve">   732394</v>
      </c>
      <c r="B10550" t="str">
        <f>T("   EN FER OU EN ACIER, EMAILLES")</f>
        <v xml:space="preserve">   EN FER OU EN ACIER, EMAILLES</v>
      </c>
      <c r="C10550" s="4">
        <v>11395</v>
      </c>
      <c r="D10550" s="4">
        <v>2184530</v>
      </c>
    </row>
    <row r="10551" spans="1:4" x14ac:dyDescent="0.25">
      <c r="A10551" t="str">
        <f>T("   732399")</f>
        <v xml:space="preserve">   732399</v>
      </c>
      <c r="B10551" t="str">
        <f>T("   AUTRES")</f>
        <v xml:space="preserve">   AUTRES</v>
      </c>
      <c r="C10551" s="4">
        <v>10022</v>
      </c>
      <c r="D10551" s="4">
        <v>1461224</v>
      </c>
    </row>
    <row r="10552" spans="1:4" x14ac:dyDescent="0.25">
      <c r="A10552" t="str">
        <f>T("   732490")</f>
        <v xml:space="preserve">   732490</v>
      </c>
      <c r="B10552" t="str">
        <f>T("   AUTRES, Y COMPRIS LES PARTIES")</f>
        <v xml:space="preserve">   AUTRES, Y COMPRIS LES PARTIES</v>
      </c>
      <c r="C10552" s="4">
        <v>81000</v>
      </c>
      <c r="D10552" s="4">
        <v>10464000</v>
      </c>
    </row>
    <row r="10553" spans="1:4" x14ac:dyDescent="0.25">
      <c r="A10553" t="str">
        <f>T("   732620")</f>
        <v xml:space="preserve">   732620</v>
      </c>
      <c r="B10553" t="str">
        <f>T("   OUVRAGES EN FILS DE FER OU D'ACIER")</f>
        <v xml:space="preserve">   OUVRAGES EN FILS DE FER OU D'ACIER</v>
      </c>
      <c r="C10553" s="4">
        <v>125</v>
      </c>
      <c r="D10553" s="4">
        <v>44280</v>
      </c>
    </row>
    <row r="10554" spans="1:4" x14ac:dyDescent="0.25">
      <c r="A10554" t="str">
        <f>T("   732690")</f>
        <v xml:space="preserve">   732690</v>
      </c>
      <c r="B10554" t="str">
        <f>T("   AUTRES")</f>
        <v xml:space="preserve">   AUTRES</v>
      </c>
      <c r="C10554" s="4">
        <v>944</v>
      </c>
      <c r="D10554" s="4">
        <v>1569646</v>
      </c>
    </row>
    <row r="10555" spans="1:4" x14ac:dyDescent="0.25">
      <c r="A10555" t="str">
        <f>T("   741510")</f>
        <v xml:space="preserve">   741510</v>
      </c>
      <c r="B10555" t="str">
        <f>T("   POINTES ET CLOUS, PUNAISES, CRAMPONS APPOINTES ET ARTICLES SIMILAIRES")</f>
        <v xml:space="preserve">   POINTES ET CLOUS, PUNAISES, CRAMPONS APPOINTES ET ARTICLES SIMILAIRES</v>
      </c>
      <c r="C10555" s="4">
        <v>2500</v>
      </c>
      <c r="D10555" s="4">
        <v>152922</v>
      </c>
    </row>
    <row r="10556" spans="1:4" x14ac:dyDescent="0.25">
      <c r="A10556" t="str">
        <f>T("   741811")</f>
        <v xml:space="preserve">   741811</v>
      </c>
      <c r="B10556" t="str">
        <f>T("   EPONGES,TORCHONS,GANTS,SIMILAIRES POUR RECURAGE,POLISSAGE ETC.")</f>
        <v xml:space="preserve">   EPONGES,TORCHONS,GANTS,SIMILAIRES POUR RECURAGE,POLISSAGE ETC.</v>
      </c>
      <c r="C10556" s="4">
        <v>48650</v>
      </c>
      <c r="D10556" s="4">
        <v>9319000</v>
      </c>
    </row>
    <row r="10557" spans="1:4" x14ac:dyDescent="0.25">
      <c r="A10557" t="str">
        <f>T("   741819")</f>
        <v xml:space="preserve">   741819</v>
      </c>
      <c r="B10557" t="str">
        <f>T("   AUTRES ARTICLES DE MENAGE OU D'ECONOMIE MIXTE EN CUIVRE")</f>
        <v xml:space="preserve">   AUTRES ARTICLES DE MENAGE OU D'ECONOMIE MIXTE EN CUIVRE</v>
      </c>
      <c r="C10557" s="4">
        <v>15400</v>
      </c>
      <c r="D10557" s="4">
        <v>2250000</v>
      </c>
    </row>
    <row r="10558" spans="1:4" x14ac:dyDescent="0.25">
      <c r="A10558" t="str">
        <f>T("   741910")</f>
        <v xml:space="preserve">   741910</v>
      </c>
      <c r="B10558" t="str">
        <f>T("   CHAINES, CHAINETTES ET LEURS PARTIES")</f>
        <v xml:space="preserve">   CHAINES, CHAINETTES ET LEURS PARTIES</v>
      </c>
      <c r="C10558" s="4">
        <v>3600</v>
      </c>
      <c r="D10558" s="4">
        <v>300000</v>
      </c>
    </row>
    <row r="10559" spans="1:4" x14ac:dyDescent="0.25">
      <c r="A10559" t="str">
        <f>T("   741991")</f>
        <v xml:space="preserve">   741991</v>
      </c>
      <c r="B10559" t="str">
        <f>T("   COULES, MOULES, ESTAMPES OU FORGES, MAIS NON AUTREMENT TRAVAILLES")</f>
        <v xml:space="preserve">   COULES, MOULES, ESTAMPES OU FORGES, MAIS NON AUTREMENT TRAVAILLES</v>
      </c>
      <c r="C10559" s="4">
        <v>2337</v>
      </c>
      <c r="D10559" s="4">
        <v>300000</v>
      </c>
    </row>
    <row r="10560" spans="1:4" x14ac:dyDescent="0.25">
      <c r="A10560" t="str">
        <f>T("   760410")</f>
        <v xml:space="preserve">   760410</v>
      </c>
      <c r="B10560" t="str">
        <f>T("   EN ALUMINIUM NON ALLIE")</f>
        <v xml:space="preserve">   EN ALUMINIUM NON ALLIE</v>
      </c>
      <c r="C10560" s="4">
        <v>3562</v>
      </c>
      <c r="D10560" s="4">
        <v>566790</v>
      </c>
    </row>
    <row r="10561" spans="1:4" x14ac:dyDescent="0.25">
      <c r="A10561" t="str">
        <f>T("   760429")</f>
        <v xml:space="preserve">   760429</v>
      </c>
      <c r="B10561" t="str">
        <f>T("   AUTRES")</f>
        <v xml:space="preserve">   AUTRES</v>
      </c>
      <c r="C10561" s="4">
        <v>5530</v>
      </c>
      <c r="D10561" s="4">
        <v>2075301</v>
      </c>
    </row>
    <row r="10562" spans="1:4" x14ac:dyDescent="0.25">
      <c r="A10562" t="str">
        <f>T("   760611")</f>
        <v xml:space="preserve">   760611</v>
      </c>
      <c r="B10562" t="str">
        <f>T("   EN ALUMINIUM NON ALLIE")</f>
        <v xml:space="preserve">   EN ALUMINIUM NON ALLIE</v>
      </c>
      <c r="C10562" s="4">
        <v>620</v>
      </c>
      <c r="D10562" s="4">
        <v>32769</v>
      </c>
    </row>
    <row r="10563" spans="1:4" x14ac:dyDescent="0.25">
      <c r="A10563" t="str">
        <f>T("   760692")</f>
        <v xml:space="preserve">   760692</v>
      </c>
      <c r="B10563" t="str">
        <f>T("   EN ALLIAGES D'ALUMINIUM")</f>
        <v xml:space="preserve">   EN ALLIAGES D'ALUMINIUM</v>
      </c>
      <c r="C10563" s="4">
        <v>50000</v>
      </c>
      <c r="D10563" s="4">
        <v>70434648</v>
      </c>
    </row>
    <row r="10564" spans="1:4" x14ac:dyDescent="0.25">
      <c r="A10564" t="str">
        <f>T("   760810")</f>
        <v xml:space="preserve">   760810</v>
      </c>
      <c r="B10564" t="str">
        <f>T("   EN ALUMINIUM NON ALLIE")</f>
        <v xml:space="preserve">   EN ALUMINIUM NON ALLIE</v>
      </c>
      <c r="C10564" s="4">
        <v>48</v>
      </c>
      <c r="D10564" s="4">
        <v>54615</v>
      </c>
    </row>
    <row r="10565" spans="1:4" x14ac:dyDescent="0.25">
      <c r="A10565" t="str">
        <f>T("   761010")</f>
        <v xml:space="preserve">   761010</v>
      </c>
      <c r="B10565" t="str">
        <f>T("   PORTES, FENETRES ET LEURS CADRES, CHAMBRANLES ET SEUILS")</f>
        <v xml:space="preserve">   PORTES, FENETRES ET LEURS CADRES, CHAMBRANLES ET SEUILS</v>
      </c>
      <c r="C10565" s="4">
        <v>1480</v>
      </c>
      <c r="D10565" s="4">
        <v>371382</v>
      </c>
    </row>
    <row r="10566" spans="1:4" x14ac:dyDescent="0.25">
      <c r="A10566" t="str">
        <f>T("   761511")</f>
        <v xml:space="preserve">   761511</v>
      </c>
      <c r="B10566" t="str">
        <f>T("   EPONGES,TORCHONS,GANTS,SIMILAIRES POUR RECURAGE POLISSAGE ETC.EN ALUMINIUM")</f>
        <v xml:space="preserve">   EPONGES,TORCHONS,GANTS,SIMILAIRES POUR RECURAGE POLISSAGE ETC.EN ALUMINIUM</v>
      </c>
      <c r="C10566" s="4">
        <v>190</v>
      </c>
      <c r="D10566" s="4">
        <v>110805</v>
      </c>
    </row>
    <row r="10567" spans="1:4" x14ac:dyDescent="0.25">
      <c r="A10567" t="str">
        <f>T("   761519")</f>
        <v xml:space="preserve">   761519</v>
      </c>
      <c r="B10567" t="str">
        <f>T("   AUTRES ARTICLES DE MENAGES OU D'ECONOMIE DOMESTIQUE EN ALUMINIUM")</f>
        <v xml:space="preserve">   AUTRES ARTICLES DE MENAGES OU D'ECONOMIE DOMESTIQUE EN ALUMINIUM</v>
      </c>
      <c r="C10567" s="4">
        <v>46089</v>
      </c>
      <c r="D10567" s="4">
        <v>12713146</v>
      </c>
    </row>
    <row r="10568" spans="1:4" x14ac:dyDescent="0.25">
      <c r="A10568" t="str">
        <f>T("   761610")</f>
        <v xml:space="preserve">   761610</v>
      </c>
      <c r="B10568" t="str">
        <f>T("   POINTES, CLOUS, CRAMPONS APPOINTES, VIS, BOULONS, ECROUS, CROCHETS A PAS DE VIS, RIVE")</f>
        <v xml:space="preserve">   POINTES, CLOUS, CRAMPONS APPOINTES, VIS, BOULONS, ECROUS, CROCHETS A PAS DE VIS, RIVE</v>
      </c>
      <c r="C10568" s="4">
        <v>1100</v>
      </c>
      <c r="D10568" s="4">
        <v>500000</v>
      </c>
    </row>
    <row r="10569" spans="1:4" x14ac:dyDescent="0.25">
      <c r="A10569" t="str">
        <f>T("   761699")</f>
        <v xml:space="preserve">   761699</v>
      </c>
      <c r="B10569" t="str">
        <f>T("   AUTRES")</f>
        <v xml:space="preserve">   AUTRES</v>
      </c>
      <c r="C10569" s="4">
        <v>3980</v>
      </c>
      <c r="D10569" s="4">
        <v>933338</v>
      </c>
    </row>
    <row r="10570" spans="1:4" x14ac:dyDescent="0.25">
      <c r="A10570" t="str">
        <f>T("   820190")</f>
        <v xml:space="preserve">   820190</v>
      </c>
      <c r="B10570" t="str">
        <f>T("   AUTRES OUTILS AGRICOLES, HORTICOLES OU FORESTIERS, A MAIN")</f>
        <v xml:space="preserve">   AUTRES OUTILS AGRICOLES, HORTICOLES OU FORESTIERS, A MAIN</v>
      </c>
      <c r="C10570" s="4">
        <v>21000</v>
      </c>
      <c r="D10570" s="4">
        <v>7075400</v>
      </c>
    </row>
    <row r="10571" spans="1:4" x14ac:dyDescent="0.25">
      <c r="A10571" t="str">
        <f>T("   820310")</f>
        <v xml:space="preserve">   820310</v>
      </c>
      <c r="B10571" t="str">
        <f>T("   LIMES, RAPES ET OUTILS SIMILAIRES")</f>
        <v xml:space="preserve">   LIMES, RAPES ET OUTILS SIMILAIRES</v>
      </c>
      <c r="C10571" s="4">
        <v>100</v>
      </c>
      <c r="D10571" s="4">
        <v>21846</v>
      </c>
    </row>
    <row r="10572" spans="1:4" x14ac:dyDescent="0.25">
      <c r="A10572" t="str">
        <f>T("   820320")</f>
        <v xml:space="preserve">   820320</v>
      </c>
      <c r="B10572" t="str">
        <f>T("   PINCES (MEME COUPANTES), TENAILLES, BRUCELLES ET OUTILS SIMILAIRES")</f>
        <v xml:space="preserve">   PINCES (MEME COUPANTES), TENAILLES, BRUCELLES ET OUTILS SIMILAIRES</v>
      </c>
      <c r="C10572" s="4">
        <v>200</v>
      </c>
      <c r="D10572" s="4">
        <v>400000</v>
      </c>
    </row>
    <row r="10573" spans="1:4" x14ac:dyDescent="0.25">
      <c r="A10573" t="str">
        <f>T("   820411")</f>
        <v xml:space="preserve">   820411</v>
      </c>
      <c r="B10573" t="str">
        <f>T("   A OUVERTURE FIXE")</f>
        <v xml:space="preserve">   A OUVERTURE FIXE</v>
      </c>
      <c r="C10573" s="4">
        <v>4118</v>
      </c>
      <c r="D10573" s="4">
        <v>500000</v>
      </c>
    </row>
    <row r="10574" spans="1:4" x14ac:dyDescent="0.25">
      <c r="A10574" t="str">
        <f>T("   820530")</f>
        <v xml:space="preserve">   820530</v>
      </c>
      <c r="B10574" t="str">
        <f>T("   RABOTS, CISEAUX, GOUGES ET OUTILS TRANCHANTS SIMILAIRES POUR LE TRAVAIL DU BOIS")</f>
        <v xml:space="preserve">   RABOTS, CISEAUX, GOUGES ET OUTILS TRANCHANTS SIMILAIRES POUR LE TRAVAIL DU BOIS</v>
      </c>
      <c r="C10574" s="4">
        <v>620</v>
      </c>
      <c r="D10574" s="4">
        <v>140000</v>
      </c>
    </row>
    <row r="10575" spans="1:4" x14ac:dyDescent="0.25">
      <c r="A10575" t="str">
        <f>T("   820551")</f>
        <v xml:space="preserve">   820551</v>
      </c>
      <c r="B10575" t="str">
        <f>T("   D'ECONOMIE DOMESTIQUE")</f>
        <v xml:space="preserve">   D'ECONOMIE DOMESTIQUE</v>
      </c>
      <c r="C10575" s="4">
        <v>10</v>
      </c>
      <c r="D10575" s="4">
        <v>861342</v>
      </c>
    </row>
    <row r="10576" spans="1:4" x14ac:dyDescent="0.25">
      <c r="A10576" t="str">
        <f>T("   820559")</f>
        <v xml:space="preserve">   820559</v>
      </c>
      <c r="B10576" t="str">
        <f>T("   AUTRES")</f>
        <v xml:space="preserve">   AUTRES</v>
      </c>
      <c r="C10576" s="4">
        <v>143</v>
      </c>
      <c r="D10576" s="4">
        <v>319046</v>
      </c>
    </row>
    <row r="10577" spans="1:4" x14ac:dyDescent="0.25">
      <c r="A10577" t="str">
        <f>T("   820580")</f>
        <v xml:space="preserve">   820580</v>
      </c>
      <c r="B10577" t="str">
        <f>T("   ENCLUMES, FORGES PORTATIVES, MEULES AVEC BATIS, A MAIN OU A PEDALE")</f>
        <v xml:space="preserve">   ENCLUMES, FORGES PORTATIVES, MEULES AVEC BATIS, A MAIN OU A PEDALE</v>
      </c>
      <c r="C10577" s="4">
        <v>15200</v>
      </c>
      <c r="D10577" s="4">
        <v>2185000</v>
      </c>
    </row>
    <row r="10578" spans="1:4" x14ac:dyDescent="0.25">
      <c r="A10578" t="str">
        <f>T("   820719")</f>
        <v xml:space="preserve">   820719</v>
      </c>
      <c r="B10578" t="str">
        <f>T("   AUTRES, Y COMPRIS LES PARTIES")</f>
        <v xml:space="preserve">   AUTRES, Y COMPRIS LES PARTIES</v>
      </c>
      <c r="C10578" s="4">
        <v>3200</v>
      </c>
      <c r="D10578" s="4">
        <v>885610</v>
      </c>
    </row>
    <row r="10579" spans="1:4" x14ac:dyDescent="0.25">
      <c r="A10579" t="str">
        <f>T("   820900")</f>
        <v xml:space="preserve">   820900</v>
      </c>
      <c r="B10579" t="str">
        <f>T("   PLAQUETTES, BAGUETTES, POINTES ET OBJETS SIMILAIRES POUR OUTILS, NON MONTES, CONSTITUES")</f>
        <v xml:space="preserve">   PLAQUETTES, BAGUETTES, POINTES ET OBJETS SIMILAIRES POUR OUTILS, NON MONTES, CONSTITUES</v>
      </c>
      <c r="C10579" s="4">
        <v>3105</v>
      </c>
      <c r="D10579" s="4">
        <v>2563000</v>
      </c>
    </row>
    <row r="10580" spans="1:4" x14ac:dyDescent="0.25">
      <c r="A10580" t="str">
        <f>T("   821210")</f>
        <v xml:space="preserve">   821210</v>
      </c>
      <c r="B10580" t="str">
        <f>T("   RASOIRS")</f>
        <v xml:space="preserve">   RASOIRS</v>
      </c>
      <c r="C10580" s="4">
        <v>21000</v>
      </c>
      <c r="D10580" s="4">
        <v>7000000</v>
      </c>
    </row>
    <row r="10581" spans="1:4" x14ac:dyDescent="0.25">
      <c r="A10581" t="str">
        <f>T("   830170")</f>
        <v xml:space="preserve">   830170</v>
      </c>
      <c r="B10581" t="str">
        <f>T("   CLEFS PRESENTEES ISOLEMENT")</f>
        <v xml:space="preserve">   CLEFS PRESENTEES ISOLEMENT</v>
      </c>
      <c r="C10581" s="4">
        <v>1500</v>
      </c>
      <c r="D10581" s="4">
        <v>21850</v>
      </c>
    </row>
    <row r="10582" spans="1:4" x14ac:dyDescent="0.25">
      <c r="A10582" t="str">
        <f>T("   830210")</f>
        <v xml:space="preserve">   830210</v>
      </c>
      <c r="B10582" t="str">
        <f>T("   CHARNIERES DE TOUS GENRES (Y COMPRIS LES PAUMELLES ET PENTURES)")</f>
        <v xml:space="preserve">   CHARNIERES DE TOUS GENRES (Y COMPRIS LES PAUMELLES ET PENTURES)</v>
      </c>
      <c r="C10582" s="4">
        <v>1948.6</v>
      </c>
      <c r="D10582" s="4">
        <v>338798</v>
      </c>
    </row>
    <row r="10583" spans="1:4" x14ac:dyDescent="0.25">
      <c r="A10583" t="str">
        <f>T("   830250")</f>
        <v xml:space="preserve">   830250</v>
      </c>
      <c r="B10583" t="str">
        <f>T("   PATERES, PORTECHAPEAUX, SUPPORTS ET ARTICLES SIMILAIRES")</f>
        <v xml:space="preserve">   PATERES, PORTECHAPEAUX, SUPPORTS ET ARTICLES SIMILAIRES</v>
      </c>
      <c r="C10583" s="4">
        <v>110</v>
      </c>
      <c r="D10583" s="4">
        <v>5849450</v>
      </c>
    </row>
    <row r="10584" spans="1:4" x14ac:dyDescent="0.25">
      <c r="A10584" t="str">
        <f>T("   830300")</f>
        <v xml:space="preserve">   830300</v>
      </c>
      <c r="B10584" t="str">
        <f>T("   COFFRESFORTS, PORTES BLINDEES ET COMPARTIMENTS POUR CHAMBRES FORTES, COFFRES ET CASSET")</f>
        <v xml:space="preserve">   COFFRESFORTS, PORTES BLINDEES ET COMPARTIMENTS POUR CHAMBRES FORTES, COFFRES ET CASSET</v>
      </c>
      <c r="C10584" s="4">
        <v>1723</v>
      </c>
      <c r="D10584" s="4">
        <v>647845</v>
      </c>
    </row>
    <row r="10585" spans="1:4" x14ac:dyDescent="0.25">
      <c r="A10585" t="str">
        <f>T("   830510")</f>
        <v xml:space="preserve">   830510</v>
      </c>
      <c r="B10585" t="str">
        <f>T("   MECANISMES POUR RELIURE DE FEUILLETS MOBILES OU POUR CLASSEURS")</f>
        <v xml:space="preserve">   MECANISMES POUR RELIURE DE FEUILLETS MOBILES OU POUR CLASSEURS</v>
      </c>
      <c r="C10585" s="4">
        <v>80000</v>
      </c>
      <c r="D10585" s="4">
        <v>10000000</v>
      </c>
    </row>
    <row r="10586" spans="1:4" x14ac:dyDescent="0.25">
      <c r="A10586" t="str">
        <f>T("   830621")</f>
        <v xml:space="preserve">   830621</v>
      </c>
      <c r="B10586" t="str">
        <f>T("   ARGENTES, DORES OU PLATINES")</f>
        <v xml:space="preserve">   ARGENTES, DORES OU PLATINES</v>
      </c>
      <c r="C10586" s="4">
        <v>3000</v>
      </c>
      <c r="D10586" s="4">
        <v>327690</v>
      </c>
    </row>
    <row r="10587" spans="1:4" x14ac:dyDescent="0.25">
      <c r="A10587" t="str">
        <f>T("   830710")</f>
        <v xml:space="preserve">   830710</v>
      </c>
      <c r="B10587" t="str">
        <f>T("   EN FER OU EN ACIER")</f>
        <v xml:space="preserve">   EN FER OU EN ACIER</v>
      </c>
      <c r="C10587" s="4">
        <v>2000</v>
      </c>
      <c r="D10587" s="4">
        <v>200000</v>
      </c>
    </row>
    <row r="10588" spans="1:4" x14ac:dyDescent="0.25">
      <c r="A10588" t="str">
        <f>T("   830910")</f>
        <v xml:space="preserve">   830910</v>
      </c>
      <c r="B10588" t="str">
        <f>T("   BOUCHONSCOURONNES")</f>
        <v xml:space="preserve">   BOUCHONSCOURONNES</v>
      </c>
      <c r="C10588" s="4">
        <v>2177</v>
      </c>
      <c r="D10588" s="4">
        <v>5898852</v>
      </c>
    </row>
    <row r="10589" spans="1:4" x14ac:dyDescent="0.25">
      <c r="A10589" t="str">
        <f>T("   831130")</f>
        <v xml:space="preserve">   831130</v>
      </c>
      <c r="B10589" t="str">
        <f>T("   BAGUETTES ENROBEES ET FILS FOURRES POUR LE BRASAGE OU LE SOUDAGE A LA FLAMME, EN META")</f>
        <v xml:space="preserve">   BAGUETTES ENROBEES ET FILS FOURRES POUR LE BRASAGE OU LE SOUDAGE A LA FLAMME, EN META</v>
      </c>
      <c r="C10589" s="4">
        <v>2500</v>
      </c>
      <c r="D10589" s="4">
        <v>800000</v>
      </c>
    </row>
    <row r="10590" spans="1:4" x14ac:dyDescent="0.25">
      <c r="A10590" t="str">
        <f>T("   831190")</f>
        <v xml:space="preserve">   831190</v>
      </c>
      <c r="B10590" t="str">
        <f>T("   AUTRES")</f>
        <v xml:space="preserve">   AUTRES</v>
      </c>
      <c r="C10590" s="4">
        <v>1670</v>
      </c>
      <c r="D10590" s="4">
        <v>1420679</v>
      </c>
    </row>
    <row r="10591" spans="1:4" x14ac:dyDescent="0.25">
      <c r="A10591" t="str">
        <f>T("   840721")</f>
        <v xml:space="preserve">   840721</v>
      </c>
      <c r="B10591" t="str">
        <f>T("   DU TYPE HORSBORD")</f>
        <v xml:space="preserve">   DU TYPE HORSBORD</v>
      </c>
      <c r="C10591" s="4">
        <v>1540</v>
      </c>
      <c r="D10591" s="4">
        <v>483422</v>
      </c>
    </row>
    <row r="10592" spans="1:4" x14ac:dyDescent="0.25">
      <c r="A10592" t="str">
        <f>T("   840734")</f>
        <v xml:space="preserve">   840734</v>
      </c>
      <c r="B10592" t="str">
        <f>T("   D'UNE CYLINDREE EXCEDANT 1.000 CM³")</f>
        <v xml:space="preserve">   D'UNE CYLINDREE EXCEDANT 1.000 CM³</v>
      </c>
      <c r="C10592" s="4">
        <v>8120</v>
      </c>
      <c r="D10592" s="4">
        <v>1476014</v>
      </c>
    </row>
    <row r="10593" spans="1:4" x14ac:dyDescent="0.25">
      <c r="A10593" t="str">
        <f>T("   840790")</f>
        <v xml:space="preserve">   840790</v>
      </c>
      <c r="B10593" t="str">
        <f>T("   AUTRES MOTEURS")</f>
        <v xml:space="preserve">   AUTRES MOTEURS</v>
      </c>
      <c r="C10593" s="4">
        <v>3450</v>
      </c>
      <c r="D10593" s="4">
        <v>1535055</v>
      </c>
    </row>
    <row r="10594" spans="1:4" x14ac:dyDescent="0.25">
      <c r="A10594" t="str">
        <f>T("   840820")</f>
        <v xml:space="preserve">   840820</v>
      </c>
      <c r="B10594" t="str">
        <f>T("   MOTEURS DES TYPES UTILISES POUR LA PROPULSION DE VEHICULES DU CHAPITRE 87")</f>
        <v xml:space="preserve">   MOTEURS DES TYPES UTILISES POUR LA PROPULSION DE VEHICULES DU CHAPITRE 87</v>
      </c>
      <c r="C10594" s="4">
        <v>2500</v>
      </c>
      <c r="D10594" s="4">
        <v>1313045</v>
      </c>
    </row>
    <row r="10595" spans="1:4" x14ac:dyDescent="0.25">
      <c r="A10595" t="str">
        <f>T("   840890")</f>
        <v xml:space="preserve">   840890</v>
      </c>
      <c r="B10595" t="str">
        <f>T("   AUTRES MOTEURS")</f>
        <v xml:space="preserve">   AUTRES MOTEURS</v>
      </c>
      <c r="C10595" s="4">
        <v>20977</v>
      </c>
      <c r="D10595" s="4">
        <v>7625411</v>
      </c>
    </row>
    <row r="10596" spans="1:4" x14ac:dyDescent="0.25">
      <c r="A10596" t="str">
        <f>T("   840991")</f>
        <v xml:space="preserve">   840991</v>
      </c>
      <c r="B10596" t="str">
        <f>T("   RECONNAISSABLES COMME ETANT EXCLUSIVEMENT OU PRINCIPALEMENT DESTINEES AUX MOTEURS A")</f>
        <v xml:space="preserve">   RECONNAISSABLES COMME ETANT EXCLUSIVEMENT OU PRINCIPALEMENT DESTINEES AUX MOTEURS A</v>
      </c>
      <c r="C10596" s="4">
        <v>351</v>
      </c>
      <c r="D10596" s="4">
        <v>1644046</v>
      </c>
    </row>
    <row r="10597" spans="1:4" x14ac:dyDescent="0.25">
      <c r="A10597" t="str">
        <f>T("   840999")</f>
        <v xml:space="preserve">   840999</v>
      </c>
      <c r="B10597" t="str">
        <f>T("   AUTRES")</f>
        <v xml:space="preserve">   AUTRES</v>
      </c>
      <c r="C10597" s="4">
        <v>980</v>
      </c>
      <c r="D10597" s="4">
        <v>177122</v>
      </c>
    </row>
    <row r="10598" spans="1:4" x14ac:dyDescent="0.25">
      <c r="A10598" t="str">
        <f>T("   841239")</f>
        <v xml:space="preserve">   841239</v>
      </c>
      <c r="B10598" t="str">
        <f>T("   AUTRES")</f>
        <v xml:space="preserve">   AUTRES</v>
      </c>
      <c r="C10598" s="4">
        <v>3729</v>
      </c>
      <c r="D10598" s="4">
        <v>125000</v>
      </c>
    </row>
    <row r="10599" spans="1:4" x14ac:dyDescent="0.25">
      <c r="A10599" t="str">
        <f>T("   841280")</f>
        <v xml:space="preserve">   841280</v>
      </c>
      <c r="B10599" t="str">
        <f>T("   AUTRES")</f>
        <v xml:space="preserve">   AUTRES</v>
      </c>
      <c r="C10599" s="4">
        <v>2500</v>
      </c>
      <c r="D10599" s="4">
        <v>250671</v>
      </c>
    </row>
    <row r="10600" spans="1:4" x14ac:dyDescent="0.25">
      <c r="A10600" t="str">
        <f>T("   841290")</f>
        <v xml:space="preserve">   841290</v>
      </c>
      <c r="B10600" t="str">
        <f>T("   PARTIES")</f>
        <v xml:space="preserve">   PARTIES</v>
      </c>
      <c r="C10600" s="4">
        <v>4000</v>
      </c>
      <c r="D10600" s="4">
        <v>700000</v>
      </c>
    </row>
    <row r="10601" spans="1:4" x14ac:dyDescent="0.25">
      <c r="A10601" t="str">
        <f>T("   841311")</f>
        <v xml:space="preserve">   841311</v>
      </c>
      <c r="B10601" t="str">
        <f>T("   POMPES POUR LA DISTRIBUTION DE CARBURANTS OU DE LUBRIFIANTS, DES TYPES UTILISES DANS")</f>
        <v xml:space="preserve">   POMPES POUR LA DISTRIBUTION DE CARBURANTS OU DE LUBRIFIANTS, DES TYPES UTILISES DANS</v>
      </c>
      <c r="C10601" s="4">
        <v>830</v>
      </c>
      <c r="D10601" s="4">
        <v>1000000</v>
      </c>
    </row>
    <row r="10602" spans="1:4" x14ac:dyDescent="0.25">
      <c r="A10602" t="str">
        <f>T("   841320")</f>
        <v xml:space="preserve">   841320</v>
      </c>
      <c r="B10602" t="str">
        <f>T("   POMPES ACTIONNEES A LA MAIN, AUTRES QUE CELLES DES N°S 8413.11 OU 8413.19")</f>
        <v xml:space="preserve">   POMPES ACTIONNEES A LA MAIN, AUTRES QUE CELLES DES N°S 8413.11 OU 8413.19</v>
      </c>
      <c r="C10602" s="4">
        <v>150</v>
      </c>
      <c r="D10602" s="4">
        <v>125334</v>
      </c>
    </row>
    <row r="10603" spans="1:4" x14ac:dyDescent="0.25">
      <c r="A10603" t="str">
        <f>T("   841340")</f>
        <v xml:space="preserve">   841340</v>
      </c>
      <c r="B10603" t="str">
        <f>T("   POMPES A BETON")</f>
        <v xml:space="preserve">   POMPES A BETON</v>
      </c>
      <c r="C10603" s="4">
        <v>2000</v>
      </c>
      <c r="D10603" s="4">
        <v>858102</v>
      </c>
    </row>
    <row r="10604" spans="1:4" x14ac:dyDescent="0.25">
      <c r="A10604" t="str">
        <f>T("   841381")</f>
        <v xml:space="preserve">   841381</v>
      </c>
      <c r="B10604" t="str">
        <f>T("   POMPES")</f>
        <v xml:space="preserve">   POMPES</v>
      </c>
      <c r="C10604" s="4">
        <v>6</v>
      </c>
      <c r="D10604" s="4">
        <v>103500</v>
      </c>
    </row>
    <row r="10605" spans="1:4" x14ac:dyDescent="0.25">
      <c r="A10605" t="str">
        <f>T("   841420")</f>
        <v xml:space="preserve">   841420</v>
      </c>
      <c r="B10605" t="str">
        <f>T("   POMPES A AIR, A MAIN OU A PIED")</f>
        <v xml:space="preserve">   POMPES A AIR, A MAIN OU A PIED</v>
      </c>
      <c r="C10605" s="4">
        <v>3100</v>
      </c>
      <c r="D10605" s="4">
        <v>1228102</v>
      </c>
    </row>
    <row r="10606" spans="1:4" x14ac:dyDescent="0.25">
      <c r="A10606" t="str">
        <f>T("   841430")</f>
        <v xml:space="preserve">   841430</v>
      </c>
      <c r="B10606" t="str">
        <f>T("   COMPRESSEURS DES TYPES UTILISES DANS LES EQUIPEMENTS FRIGORIFIQUES")</f>
        <v xml:space="preserve">   COMPRESSEURS DES TYPES UTILISES DANS LES EQUIPEMENTS FRIGORIFIQUES</v>
      </c>
      <c r="C10606" s="4">
        <v>1545</v>
      </c>
      <c r="D10606" s="4">
        <v>2714158</v>
      </c>
    </row>
    <row r="10607" spans="1:4" x14ac:dyDescent="0.25">
      <c r="A10607" t="str">
        <f>T("   841440")</f>
        <v xml:space="preserve">   841440</v>
      </c>
      <c r="B10607" t="str">
        <f>T("   COMPRESSEURS D'AIR MONTES SUR CHASSIS A ROUES ET REMORQUABLES")</f>
        <v xml:space="preserve">   COMPRESSEURS D'AIR MONTES SUR CHASSIS A ROUES ET REMORQUABLES</v>
      </c>
      <c r="C10607" s="4">
        <v>4520</v>
      </c>
      <c r="D10607" s="4">
        <v>1324576</v>
      </c>
    </row>
    <row r="10608" spans="1:4" x14ac:dyDescent="0.25">
      <c r="A10608" t="str">
        <f>T("   841451")</f>
        <v xml:space="preserve">   841451</v>
      </c>
      <c r="B10608" t="str">
        <f>T("   VENTILATEURS DE TABLE, DE SOL, MURAUX, PLAFONNIERS, DE TOITURES OU DE FENETRES, A MO")</f>
        <v xml:space="preserve">   VENTILATEURS DE TABLE, DE SOL, MURAUX, PLAFONNIERS, DE TOITURES OU DE FENETRES, A MO</v>
      </c>
      <c r="C10608" s="4">
        <v>9810</v>
      </c>
      <c r="D10608" s="4">
        <v>6061055</v>
      </c>
    </row>
    <row r="10609" spans="1:4" x14ac:dyDescent="0.25">
      <c r="A10609" t="str">
        <f>T("   841459")</f>
        <v xml:space="preserve">   841459</v>
      </c>
      <c r="B10609" t="str">
        <f>T("   AUTRES")</f>
        <v xml:space="preserve">   AUTRES</v>
      </c>
      <c r="C10609" s="4">
        <v>3240</v>
      </c>
      <c r="D10609" s="4">
        <v>2389858</v>
      </c>
    </row>
    <row r="10610" spans="1:4" x14ac:dyDescent="0.25">
      <c r="A10610" t="str">
        <f>T("   841490")</f>
        <v xml:space="preserve">   841490</v>
      </c>
      <c r="B10610" t="str">
        <f>T("   PARTIES")</f>
        <v xml:space="preserve">   PARTIES</v>
      </c>
      <c r="C10610" s="4">
        <v>35</v>
      </c>
      <c r="D10610" s="4">
        <v>73801</v>
      </c>
    </row>
    <row r="10611" spans="1:4" x14ac:dyDescent="0.25">
      <c r="A10611" t="str">
        <f>T("   841510")</f>
        <v xml:space="preserve">   841510</v>
      </c>
      <c r="B10611" t="str">
        <f>T("   DU TYPE MURAL OU POUR FENETRES, FORMANT UN SEUL CORPS OU DU TYPE «SPLITSYSTEM» (SYST")</f>
        <v xml:space="preserve">   DU TYPE MURAL OU POUR FENETRES, FORMANT UN SEUL CORPS OU DU TYPE «SPLITSYSTEM» (SYST</v>
      </c>
      <c r="C10611" s="4">
        <v>29306</v>
      </c>
      <c r="D10611" s="4">
        <v>10399999</v>
      </c>
    </row>
    <row r="10612" spans="1:4" x14ac:dyDescent="0.25">
      <c r="A10612" t="str">
        <f>T("   841620")</f>
        <v xml:space="preserve">   841620</v>
      </c>
      <c r="B10612" t="str">
        <f>T("   AUTRES BRULEURS, Y COMPRIS LES BRULEURS MIXTES")</f>
        <v xml:space="preserve">   AUTRES BRULEURS, Y COMPRIS LES BRULEURS MIXTES</v>
      </c>
      <c r="C10612" s="4">
        <v>1000</v>
      </c>
      <c r="D10612" s="4">
        <v>650192</v>
      </c>
    </row>
    <row r="10613" spans="1:4" x14ac:dyDescent="0.25">
      <c r="A10613" t="str">
        <f>T("   841720")</f>
        <v xml:space="preserve">   841720</v>
      </c>
      <c r="B10613" t="str">
        <f>T("   FOURS DE BOULANGERIE, DE PATISSERIE OU DE BISCUITERIE")</f>
        <v xml:space="preserve">   FOURS DE BOULANGERIE, DE PATISSERIE OU DE BISCUITERIE</v>
      </c>
      <c r="C10613" s="4">
        <v>120</v>
      </c>
      <c r="D10613" s="4">
        <v>35810</v>
      </c>
    </row>
    <row r="10614" spans="1:4" x14ac:dyDescent="0.25">
      <c r="A10614" t="str">
        <f>T("   841780")</f>
        <v xml:space="preserve">   841780</v>
      </c>
      <c r="B10614" t="str">
        <f>T("   AUTRES")</f>
        <v xml:space="preserve">   AUTRES</v>
      </c>
      <c r="C10614" s="4">
        <v>35</v>
      </c>
      <c r="D10614" s="4">
        <v>248975</v>
      </c>
    </row>
    <row r="10615" spans="1:4" x14ac:dyDescent="0.25">
      <c r="A10615" t="str">
        <f>T("   841810")</f>
        <v xml:space="preserve">   841810</v>
      </c>
      <c r="B10615" t="str">
        <f>T("   COMBINAISONS DE REFRIGERATEURS ET DE CONGELATEURSCONSERVATEURS MUNIS DE PORTES EXTER")</f>
        <v xml:space="preserve">   COMBINAISONS DE REFRIGERATEURS ET DE CONGELATEURSCONSERVATEURS MUNIS DE PORTES EXTER</v>
      </c>
      <c r="C10615" s="4">
        <v>1176</v>
      </c>
      <c r="D10615" s="4">
        <v>710104</v>
      </c>
    </row>
    <row r="10616" spans="1:4" x14ac:dyDescent="0.25">
      <c r="A10616" t="str">
        <f>T("   841821")</f>
        <v xml:space="preserve">   841821</v>
      </c>
      <c r="B10616" t="str">
        <f>T("   A COMPRESSION")</f>
        <v xml:space="preserve">   A COMPRESSION</v>
      </c>
      <c r="C10616" s="4">
        <v>215</v>
      </c>
      <c r="D10616" s="4">
        <v>131077</v>
      </c>
    </row>
    <row r="10617" spans="1:4" x14ac:dyDescent="0.25">
      <c r="A10617" t="str">
        <f>T("   841829")</f>
        <v xml:space="preserve">   841829</v>
      </c>
      <c r="B10617" t="str">
        <f>T("   AUTRES")</f>
        <v xml:space="preserve">   AUTRES</v>
      </c>
      <c r="C10617" s="4">
        <v>480</v>
      </c>
      <c r="D10617" s="4">
        <v>124523</v>
      </c>
    </row>
    <row r="10618" spans="1:4" x14ac:dyDescent="0.25">
      <c r="A10618" t="str">
        <f>T("   841830")</f>
        <v xml:space="preserve">   841830</v>
      </c>
      <c r="B10618" t="str">
        <f>T("   MEUBLES CONGELATEURSCONSERVATEURS DU TYPE COFFRE, D'UNE CAPACITE N'EXCEDANT PAS 800 ")</f>
        <v xml:space="preserve">   MEUBLES CONGELATEURSCONSERVATEURS DU TYPE COFFRE, D'UNE CAPACITE N'EXCEDANT PAS 800 </v>
      </c>
      <c r="C10618" s="4">
        <v>5095</v>
      </c>
      <c r="D10618" s="4">
        <v>1678000</v>
      </c>
    </row>
    <row r="10619" spans="1:4" x14ac:dyDescent="0.25">
      <c r="A10619" t="str">
        <f>T("   841869")</f>
        <v xml:space="preserve">   841869</v>
      </c>
      <c r="B10619" t="str">
        <f>T("   AUTRES")</f>
        <v xml:space="preserve">   AUTRES</v>
      </c>
      <c r="C10619" s="4">
        <v>56.5</v>
      </c>
      <c r="D10619" s="4">
        <v>35000</v>
      </c>
    </row>
    <row r="10620" spans="1:4" x14ac:dyDescent="0.25">
      <c r="A10620" t="str">
        <f>T("   841899")</f>
        <v xml:space="preserve">   841899</v>
      </c>
      <c r="B10620" t="str">
        <f>T("   AUTRES")</f>
        <v xml:space="preserve">   AUTRES</v>
      </c>
      <c r="C10620" s="4">
        <v>602</v>
      </c>
      <c r="D10620" s="4">
        <v>336956</v>
      </c>
    </row>
    <row r="10621" spans="1:4" x14ac:dyDescent="0.25">
      <c r="A10621" t="str">
        <f>T("   841919")</f>
        <v xml:space="preserve">   841919</v>
      </c>
      <c r="B10621" t="str">
        <f>T("   AUTRES")</f>
        <v xml:space="preserve">   AUTRES</v>
      </c>
      <c r="C10621" s="4">
        <v>100</v>
      </c>
      <c r="D10621" s="4">
        <v>10923</v>
      </c>
    </row>
    <row r="10622" spans="1:4" x14ac:dyDescent="0.25">
      <c r="A10622" t="str">
        <f>T("   841920")</f>
        <v xml:space="preserve">   841920</v>
      </c>
      <c r="B10622" t="str">
        <f>T("   STERILISATEURS MEDICOCHIRURGICAUX OU DE LABORATOIRES")</f>
        <v xml:space="preserve">   STERILISATEURS MEDICOCHIRURGICAUX OU DE LABORATOIRES</v>
      </c>
      <c r="C10622" s="4">
        <v>655</v>
      </c>
      <c r="D10622" s="4">
        <v>6302596</v>
      </c>
    </row>
    <row r="10623" spans="1:4" x14ac:dyDescent="0.25">
      <c r="A10623" t="str">
        <f>T("   841989")</f>
        <v xml:space="preserve">   841989</v>
      </c>
      <c r="B10623" t="str">
        <f>T("   AUTRES")</f>
        <v xml:space="preserve">   AUTRES</v>
      </c>
      <c r="C10623" s="4">
        <v>3869</v>
      </c>
      <c r="D10623" s="4">
        <v>126849596</v>
      </c>
    </row>
    <row r="10624" spans="1:4" x14ac:dyDescent="0.25">
      <c r="A10624" t="str">
        <f>T("   842121")</f>
        <v xml:space="preserve">   842121</v>
      </c>
      <c r="B10624" t="str">
        <f>T("   POUR LA FILTRATION OU L'EPURATION DES EAUX")</f>
        <v xml:space="preserve">   POUR LA FILTRATION OU L'EPURATION DES EAUX</v>
      </c>
      <c r="C10624" s="4">
        <v>3</v>
      </c>
      <c r="D10624" s="4">
        <v>90639</v>
      </c>
    </row>
    <row r="10625" spans="1:4" x14ac:dyDescent="0.25">
      <c r="A10625" t="str">
        <f>T("   842131")</f>
        <v xml:space="preserve">   842131</v>
      </c>
      <c r="B10625" t="str">
        <f>T("   FILTRES D'ENTREE D'AIR POUR MOTEURS A ALLUMAGE PAR ETINCELLES OU PAR COMPRESSION")</f>
        <v xml:space="preserve">   FILTRES D'ENTREE D'AIR POUR MOTEURS A ALLUMAGE PAR ETINCELLES OU PAR COMPRESSION</v>
      </c>
      <c r="C10625" s="4">
        <v>80</v>
      </c>
      <c r="D10625" s="4">
        <v>322290</v>
      </c>
    </row>
    <row r="10626" spans="1:4" x14ac:dyDescent="0.25">
      <c r="A10626" t="str">
        <f>T("   842290")</f>
        <v xml:space="preserve">   842290</v>
      </c>
      <c r="B10626" t="str">
        <f>T("   PARTIES")</f>
        <v xml:space="preserve">   PARTIES</v>
      </c>
      <c r="C10626" s="4">
        <v>15000</v>
      </c>
      <c r="D10626" s="4">
        <v>4481064</v>
      </c>
    </row>
    <row r="10627" spans="1:4" x14ac:dyDescent="0.25">
      <c r="A10627" t="str">
        <f>T("   842390")</f>
        <v xml:space="preserve">   842390</v>
      </c>
      <c r="B10627" t="str">
        <f>T("   POIDS POUR TOUTES BALANCES; PARTIES D'APPAREILS OU INSTRUMENTS DE PESAGE")</f>
        <v xml:space="preserve">   POIDS POUR TOUTES BALANCES; PARTIES D'APPAREILS OU INSTRUMENTS DE PESAGE</v>
      </c>
      <c r="C10627" s="4">
        <v>17040</v>
      </c>
      <c r="D10627" s="4">
        <v>18564015</v>
      </c>
    </row>
    <row r="10628" spans="1:4" x14ac:dyDescent="0.25">
      <c r="A10628" t="str">
        <f>T("   842410")</f>
        <v xml:space="preserve">   842410</v>
      </c>
      <c r="B10628" t="str">
        <f>T("   EXTINCTEURS, MEME CHARGES")</f>
        <v xml:space="preserve">   EXTINCTEURS, MEME CHARGES</v>
      </c>
      <c r="C10628" s="4">
        <v>316.8</v>
      </c>
      <c r="D10628" s="4">
        <v>179052</v>
      </c>
    </row>
    <row r="10629" spans="1:4" x14ac:dyDescent="0.25">
      <c r="A10629" t="str">
        <f>T("   842430")</f>
        <v xml:space="preserve">   842430</v>
      </c>
      <c r="B10629" t="str">
        <f>T("   MACHINES ET APPAREILS A JET DE SABLE, A JET DE VAPEUR ET APPAREILS A JET SIMILAIRES")</f>
        <v xml:space="preserve">   MACHINES ET APPAREILS A JET DE SABLE, A JET DE VAPEUR ET APPAREILS A JET SIMILAIRES</v>
      </c>
      <c r="C10629" s="4">
        <v>746</v>
      </c>
      <c r="D10629" s="4">
        <v>200000</v>
      </c>
    </row>
    <row r="10630" spans="1:4" x14ac:dyDescent="0.25">
      <c r="A10630" t="str">
        <f>T("   842481")</f>
        <v xml:space="preserve">   842481</v>
      </c>
      <c r="B10630" t="str">
        <f>T("   POUR L'AGRICULTURE OU L'HORTICULTURE")</f>
        <v xml:space="preserve">   POUR L'AGRICULTURE OU L'HORTICULTURE</v>
      </c>
      <c r="C10630" s="4">
        <v>1620</v>
      </c>
      <c r="D10630" s="4">
        <v>1000000</v>
      </c>
    </row>
    <row r="10631" spans="1:4" x14ac:dyDescent="0.25">
      <c r="A10631" t="str">
        <f>T("   842549")</f>
        <v xml:space="preserve">   842549</v>
      </c>
      <c r="B10631" t="str">
        <f>T("   AUTRES")</f>
        <v xml:space="preserve">   AUTRES</v>
      </c>
      <c r="C10631" s="4">
        <v>1.4</v>
      </c>
      <c r="D10631" s="4">
        <v>591978</v>
      </c>
    </row>
    <row r="10632" spans="1:4" x14ac:dyDescent="0.25">
      <c r="A10632" t="str">
        <f>T("   842641")</f>
        <v xml:space="preserve">   842641</v>
      </c>
      <c r="B10632" t="str">
        <f>T("   SUR PNEUMATIQUES")</f>
        <v xml:space="preserve">   SUR PNEUMATIQUES</v>
      </c>
      <c r="C10632" s="4">
        <v>12000</v>
      </c>
      <c r="D10632" s="4">
        <v>12405551</v>
      </c>
    </row>
    <row r="10633" spans="1:4" x14ac:dyDescent="0.25">
      <c r="A10633" t="str">
        <f>T("   842649")</f>
        <v xml:space="preserve">   842649</v>
      </c>
      <c r="B10633" t="str">
        <f>T("   AUTRES")</f>
        <v xml:space="preserve">   AUTRES</v>
      </c>
      <c r="C10633" s="4">
        <v>49612</v>
      </c>
      <c r="D10633" s="4">
        <v>212160405</v>
      </c>
    </row>
    <row r="10634" spans="1:4" x14ac:dyDescent="0.25">
      <c r="A10634" t="str">
        <f>T("   842790")</f>
        <v xml:space="preserve">   842790</v>
      </c>
      <c r="B10634" t="str">
        <f>T("   AUTRES CHARIOTS")</f>
        <v xml:space="preserve">   AUTRES CHARIOTS</v>
      </c>
      <c r="C10634" s="4">
        <v>39000</v>
      </c>
      <c r="D10634" s="4">
        <v>27321473</v>
      </c>
    </row>
    <row r="10635" spans="1:4" x14ac:dyDescent="0.25">
      <c r="A10635" t="str">
        <f>T("   842890")</f>
        <v xml:space="preserve">   842890</v>
      </c>
      <c r="B10635" t="str">
        <f>T("   AUTRES MACHINES ET APPAREILS")</f>
        <v xml:space="preserve">   AUTRES MACHINES ET APPAREILS</v>
      </c>
      <c r="C10635" s="4">
        <v>150</v>
      </c>
      <c r="D10635" s="4">
        <v>304386</v>
      </c>
    </row>
    <row r="10636" spans="1:4" x14ac:dyDescent="0.25">
      <c r="A10636" t="str">
        <f>T("   842920")</f>
        <v xml:space="preserve">   842920</v>
      </c>
      <c r="B10636" t="str">
        <f>T("   NIVELEUSES")</f>
        <v xml:space="preserve">   NIVELEUSES</v>
      </c>
      <c r="C10636" s="4">
        <v>6000</v>
      </c>
      <c r="D10636" s="4">
        <v>20000000</v>
      </c>
    </row>
    <row r="10637" spans="1:4" x14ac:dyDescent="0.25">
      <c r="A10637" t="str">
        <f>T("   842940")</f>
        <v xml:space="preserve">   842940</v>
      </c>
      <c r="B10637" t="str">
        <f>T("   COMPACTEUSES ET ROULEAUX COMPRESSEURS")</f>
        <v xml:space="preserve">   COMPACTEUSES ET ROULEAUX COMPRESSEURS</v>
      </c>
      <c r="C10637" s="4">
        <v>109700</v>
      </c>
      <c r="D10637" s="4">
        <v>54316629</v>
      </c>
    </row>
    <row r="10638" spans="1:4" x14ac:dyDescent="0.25">
      <c r="A10638" t="str">
        <f>T("   842951")</f>
        <v xml:space="preserve">   842951</v>
      </c>
      <c r="B10638" t="str">
        <f>T("   CHARGEUSES ET CHARGEUSESPELLETEUSES A CHARGEMENT FRONTAL")</f>
        <v xml:space="preserve">   CHARGEUSES ET CHARGEUSESPELLETEUSES A CHARGEMENT FRONTAL</v>
      </c>
      <c r="C10638" s="4">
        <v>62800</v>
      </c>
      <c r="D10638" s="4">
        <v>43968211</v>
      </c>
    </row>
    <row r="10639" spans="1:4" x14ac:dyDescent="0.25">
      <c r="A10639" t="str">
        <f>T("   842959")</f>
        <v xml:space="preserve">   842959</v>
      </c>
      <c r="B10639" t="str">
        <f>T("   AUTRES")</f>
        <v xml:space="preserve">   AUTRES</v>
      </c>
      <c r="C10639" s="4">
        <v>130000</v>
      </c>
      <c r="D10639" s="4">
        <v>106275600</v>
      </c>
    </row>
    <row r="10640" spans="1:4" x14ac:dyDescent="0.25">
      <c r="A10640" t="str">
        <f>T("   843049")</f>
        <v xml:space="preserve">   843049</v>
      </c>
      <c r="B10640" t="str">
        <f>T("   AUTRES")</f>
        <v xml:space="preserve">   AUTRES</v>
      </c>
      <c r="C10640" s="4">
        <v>160000</v>
      </c>
      <c r="D10640" s="4">
        <v>196788000</v>
      </c>
    </row>
    <row r="10641" spans="1:4" x14ac:dyDescent="0.25">
      <c r="A10641" t="str">
        <f>T("   843061")</f>
        <v xml:space="preserve">   843061</v>
      </c>
      <c r="B10641" t="str">
        <f>T("   MACHINES ET APPAREILS A TASSER OU A COMPACTER")</f>
        <v xml:space="preserve">   MACHINES ET APPAREILS A TASSER OU A COMPACTER</v>
      </c>
      <c r="C10641" s="4">
        <v>8000</v>
      </c>
      <c r="D10641" s="4">
        <v>3000000</v>
      </c>
    </row>
    <row r="10642" spans="1:4" x14ac:dyDescent="0.25">
      <c r="A10642" t="str">
        <f>T("   843139")</f>
        <v xml:space="preserve">   843139</v>
      </c>
      <c r="B10642" t="str">
        <f>T("   AUTRES")</f>
        <v xml:space="preserve">   AUTRES</v>
      </c>
      <c r="C10642" s="4">
        <v>1624</v>
      </c>
      <c r="D10642" s="4">
        <v>3610757</v>
      </c>
    </row>
    <row r="10643" spans="1:4" x14ac:dyDescent="0.25">
      <c r="A10643" t="str">
        <f>T("   843149")</f>
        <v xml:space="preserve">   843149</v>
      </c>
      <c r="B10643" t="str">
        <f>T("   AUTRES")</f>
        <v xml:space="preserve">   AUTRES</v>
      </c>
      <c r="C10643" s="4">
        <v>68950</v>
      </c>
      <c r="D10643" s="4">
        <v>102923398</v>
      </c>
    </row>
    <row r="10644" spans="1:4" x14ac:dyDescent="0.25">
      <c r="A10644" t="str">
        <f>T("   843210")</f>
        <v xml:space="preserve">   843210</v>
      </c>
      <c r="B10644" t="str">
        <f>T("   Charrues")</f>
        <v xml:space="preserve">   Charrues</v>
      </c>
      <c r="C10644" s="4">
        <v>2300</v>
      </c>
      <c r="D10644" s="4">
        <v>841330</v>
      </c>
    </row>
    <row r="10645" spans="1:4" x14ac:dyDescent="0.25">
      <c r="A10645" t="str">
        <f>T("   844399")</f>
        <v xml:space="preserve">   844399</v>
      </c>
      <c r="B10645" t="str">
        <f>T("   AUTRES")</f>
        <v xml:space="preserve">   AUTRES</v>
      </c>
      <c r="C10645" s="4">
        <v>5000</v>
      </c>
      <c r="D10645" s="4">
        <v>411817</v>
      </c>
    </row>
    <row r="10646" spans="1:4" x14ac:dyDescent="0.25">
      <c r="A10646" t="str">
        <f>T("   844720")</f>
        <v xml:space="preserve">   844720</v>
      </c>
      <c r="B10646" t="str">
        <f>T("   METIERS A BONNETERIE RECTILIGNES; MACHINES DE COUTURETRICOTAGE")</f>
        <v xml:space="preserve">   METIERS A BONNETERIE RECTILIGNES; MACHINES DE COUTURETRICOTAGE</v>
      </c>
      <c r="C10646" s="4">
        <v>3000</v>
      </c>
      <c r="D10646" s="4">
        <v>716203</v>
      </c>
    </row>
    <row r="10647" spans="1:4" x14ac:dyDescent="0.25">
      <c r="A10647" t="str">
        <f>T("   845019")</f>
        <v xml:space="preserve">   845019</v>
      </c>
      <c r="B10647" t="str">
        <f>T("   AUTRES")</f>
        <v xml:space="preserve">   AUTRES</v>
      </c>
      <c r="C10647" s="4">
        <v>1800</v>
      </c>
      <c r="D10647" s="4">
        <v>482000</v>
      </c>
    </row>
    <row r="10648" spans="1:4" x14ac:dyDescent="0.25">
      <c r="A10648" t="str">
        <f>T("   845129")</f>
        <v xml:space="preserve">   845129</v>
      </c>
      <c r="B10648" t="str">
        <f>T("   AUTRES")</f>
        <v xml:space="preserve">   AUTRES</v>
      </c>
      <c r="C10648" s="4">
        <v>239</v>
      </c>
      <c r="D10648" s="4">
        <v>893318</v>
      </c>
    </row>
    <row r="10649" spans="1:4" x14ac:dyDescent="0.25">
      <c r="A10649" t="str">
        <f>T("   845210")</f>
        <v xml:space="preserve">   845210</v>
      </c>
      <c r="B10649" t="str">
        <f>T("   Machines a coudre de type menager")</f>
        <v xml:space="preserve">   Machines a coudre de type menager</v>
      </c>
      <c r="C10649" s="4">
        <v>21850</v>
      </c>
      <c r="D10649" s="4">
        <v>6360933</v>
      </c>
    </row>
    <row r="10650" spans="1:4" x14ac:dyDescent="0.25">
      <c r="A10650" t="str">
        <f>T("   845229")</f>
        <v xml:space="preserve">   845229</v>
      </c>
      <c r="B10650" t="str">
        <f>T("   AUTRES")</f>
        <v xml:space="preserve">   AUTRES</v>
      </c>
      <c r="C10650" s="4">
        <v>1500</v>
      </c>
      <c r="D10650" s="4">
        <v>105431</v>
      </c>
    </row>
    <row r="10651" spans="1:4" x14ac:dyDescent="0.25">
      <c r="A10651" t="str">
        <f>T("   845310")</f>
        <v xml:space="preserve">   845310</v>
      </c>
      <c r="B10651" t="str">
        <f>T("   MACHINES ET APPAREILS POUR LA PREPARATION, LE TANNAGE OU LE TRAVAIL DES CUIRS OU PEAU")</f>
        <v xml:space="preserve">   MACHINES ET APPAREILS POUR LA PREPARATION, LE TANNAGE OU LE TRAVAIL DES CUIRS OU PEAU</v>
      </c>
      <c r="C10651" s="4">
        <v>3200</v>
      </c>
      <c r="D10651" s="4">
        <v>700000</v>
      </c>
    </row>
    <row r="10652" spans="1:4" x14ac:dyDescent="0.25">
      <c r="A10652" t="str">
        <f>T("   845929")</f>
        <v xml:space="preserve">   845929</v>
      </c>
      <c r="B10652" t="str">
        <f>T("   AUTRES")</f>
        <v xml:space="preserve">   AUTRES</v>
      </c>
      <c r="C10652" s="4">
        <v>1620</v>
      </c>
      <c r="D10652" s="4">
        <v>764640</v>
      </c>
    </row>
    <row r="10653" spans="1:4" x14ac:dyDescent="0.25">
      <c r="A10653" t="str">
        <f>T("   846019")</f>
        <v xml:space="preserve">   846019</v>
      </c>
      <c r="B10653" t="str">
        <f>T("   AUTRES")</f>
        <v xml:space="preserve">   AUTRES</v>
      </c>
      <c r="C10653" s="4">
        <v>4980</v>
      </c>
      <c r="D10653" s="4">
        <v>644582</v>
      </c>
    </row>
    <row r="10654" spans="1:4" x14ac:dyDescent="0.25">
      <c r="A10654" t="str">
        <f>T("   846490")</f>
        <v xml:space="preserve">   846490</v>
      </c>
      <c r="B10654" t="str">
        <f>T("   AUTRES")</f>
        <v xml:space="preserve">   AUTRES</v>
      </c>
      <c r="C10654" s="4">
        <v>190</v>
      </c>
      <c r="D10654" s="4">
        <v>107431</v>
      </c>
    </row>
    <row r="10655" spans="1:4" x14ac:dyDescent="0.25">
      <c r="A10655" t="str">
        <f>T("   847010")</f>
        <v xml:space="preserve">   847010</v>
      </c>
      <c r="B10655" t="str">
        <f>T("   CALCULATRICES ELECTRONIQUES POUVANT FONCTIONNER SANS SOURCE D'ENERGIE ELECTRIQUE EXTE")</f>
        <v xml:space="preserve">   CALCULATRICES ELECTRONIQUES POUVANT FONCTIONNER SANS SOURCE D'ENERGIE ELECTRIQUE EXTE</v>
      </c>
      <c r="C10655" s="4">
        <v>3503</v>
      </c>
      <c r="D10655" s="4">
        <v>668460</v>
      </c>
    </row>
    <row r="10656" spans="1:4" x14ac:dyDescent="0.25">
      <c r="A10656" t="str">
        <f>T("   847130")</f>
        <v xml:space="preserve">   847130</v>
      </c>
      <c r="B10656" t="str">
        <f>T("   MACHINES AUTOMATIQUES DE TRAITEMENT DE L'INFORMATION PORTATIVES, D'UN POIDS N'EXCEDAN")</f>
        <v xml:space="preserve">   MACHINES AUTOMATIQUES DE TRAITEMENT DE L'INFORMATION PORTATIVES, D'UN POIDS N'EXCEDAN</v>
      </c>
      <c r="C10656" s="4">
        <v>400</v>
      </c>
      <c r="D10656" s="4">
        <v>89526</v>
      </c>
    </row>
    <row r="10657" spans="1:4" x14ac:dyDescent="0.25">
      <c r="A10657" t="str">
        <f>T("   847170")</f>
        <v xml:space="preserve">   847170</v>
      </c>
      <c r="B10657" t="str">
        <f>T("   UNITES DE MEMOIRE")</f>
        <v xml:space="preserve">   UNITES DE MEMOIRE</v>
      </c>
      <c r="C10657" s="4">
        <v>5300</v>
      </c>
      <c r="D10657" s="4">
        <v>2506714</v>
      </c>
    </row>
    <row r="10658" spans="1:4" x14ac:dyDescent="0.25">
      <c r="A10658" t="str">
        <f>T("   847190")</f>
        <v xml:space="preserve">   847190</v>
      </c>
      <c r="B10658" t="str">
        <f>T("   AUTRES")</f>
        <v xml:space="preserve">   AUTRES</v>
      </c>
      <c r="C10658" s="4">
        <v>500</v>
      </c>
      <c r="D10658" s="4">
        <v>358102</v>
      </c>
    </row>
    <row r="10659" spans="1:4" x14ac:dyDescent="0.25">
      <c r="A10659" t="str">
        <f>T("   847290")</f>
        <v xml:space="preserve">   847290</v>
      </c>
      <c r="B10659" t="str">
        <f>T("   AUTRES")</f>
        <v xml:space="preserve">   AUTRES</v>
      </c>
      <c r="C10659" s="4">
        <v>2902</v>
      </c>
      <c r="D10659" s="4">
        <v>1729383</v>
      </c>
    </row>
    <row r="10660" spans="1:4" x14ac:dyDescent="0.25">
      <c r="A10660" t="str">
        <f>T("   847431")</f>
        <v xml:space="preserve">   847431</v>
      </c>
      <c r="B10660" t="str">
        <f>T("   BETONNIERES ET APPAREILS A GACHER LE CIMENT")</f>
        <v xml:space="preserve">   BETONNIERES ET APPAREILS A GACHER LE CIMENT</v>
      </c>
      <c r="C10660" s="4">
        <v>31700</v>
      </c>
      <c r="D10660" s="4">
        <v>7750000</v>
      </c>
    </row>
    <row r="10661" spans="1:4" x14ac:dyDescent="0.25">
      <c r="A10661" t="str">
        <f>T("   847910")</f>
        <v xml:space="preserve">   847910</v>
      </c>
      <c r="B10661" t="str">
        <f>T("   MACHINES ET APPAREILS POUR LES TRAVAUX PUBLICS, LE BATIMENT OU LES TRAVAUX ANALOGUES")</f>
        <v xml:space="preserve">   MACHINES ET APPAREILS POUR LES TRAVAUX PUBLICS, LE BATIMENT OU LES TRAVAUX ANALOGUES</v>
      </c>
      <c r="C10661" s="4">
        <v>17820</v>
      </c>
      <c r="D10661" s="4">
        <v>41796378</v>
      </c>
    </row>
    <row r="10662" spans="1:4" x14ac:dyDescent="0.25">
      <c r="A10662" t="str">
        <f>T("   848120")</f>
        <v xml:space="preserve">   848120</v>
      </c>
      <c r="B10662" t="str">
        <f>T("   VALVES POUR TRANSMISSIONS OLEOHYDRAULIQUES OU PNEUMATIQUES")</f>
        <v xml:space="preserve">   VALVES POUR TRANSMISSIONS OLEOHYDRAULIQUES OU PNEUMATIQUES</v>
      </c>
      <c r="C10662" s="4">
        <v>157</v>
      </c>
      <c r="D10662" s="4">
        <v>655957</v>
      </c>
    </row>
    <row r="10663" spans="1:4" x14ac:dyDescent="0.25">
      <c r="A10663" t="str">
        <f>T("   848180")</f>
        <v xml:space="preserve">   848180</v>
      </c>
      <c r="B10663" t="str">
        <f>T("   Autres articles de robinetterie et organes similaires")</f>
        <v xml:space="preserve">   Autres articles de robinetterie et organes similaires</v>
      </c>
      <c r="C10663" s="4">
        <v>11000</v>
      </c>
      <c r="D10663" s="4">
        <v>8837726</v>
      </c>
    </row>
    <row r="10664" spans="1:4" x14ac:dyDescent="0.25">
      <c r="A10664" t="str">
        <f>T("   848291")</f>
        <v xml:space="preserve">   848291</v>
      </c>
      <c r="B10664" t="str">
        <f>T("   BILLES, GALETS, ROULEAUX ET AIGUILLES")</f>
        <v xml:space="preserve">   BILLES, GALETS, ROULEAUX ET AIGUILLES</v>
      </c>
      <c r="C10664" s="4">
        <v>3099</v>
      </c>
      <c r="D10664" s="4">
        <v>450000</v>
      </c>
    </row>
    <row r="10665" spans="1:4" x14ac:dyDescent="0.25">
      <c r="A10665" t="str">
        <f>T("   848299")</f>
        <v xml:space="preserve">   848299</v>
      </c>
      <c r="B10665" t="str">
        <f>T("   AUTRES")</f>
        <v xml:space="preserve">   AUTRES</v>
      </c>
      <c r="C10665" s="4">
        <v>53.5</v>
      </c>
      <c r="D10665" s="4">
        <v>656870</v>
      </c>
    </row>
    <row r="10666" spans="1:4" x14ac:dyDescent="0.25">
      <c r="A10666" t="str">
        <f>T("   848390")</f>
        <v xml:space="preserve">   848390</v>
      </c>
      <c r="B10666" t="str">
        <f>T("   ROUES DENTEES ET AUTRES ORGANES ELEMENTAIRES DE TRANSMISSION PRESENTES SEPAREMENT; PA")</f>
        <v xml:space="preserve">   ROUES DENTEES ET AUTRES ORGANES ELEMENTAIRES DE TRANSMISSION PRESENTES SEPAREMENT; PA</v>
      </c>
      <c r="C10666" s="4">
        <v>50</v>
      </c>
      <c r="D10666" s="4">
        <v>88560</v>
      </c>
    </row>
    <row r="10667" spans="1:4" x14ac:dyDescent="0.25">
      <c r="A10667" t="str">
        <f>T("   850153")</f>
        <v xml:space="preserve">   850153</v>
      </c>
      <c r="B10667" t="str">
        <f>T("   D'UNE PUISSANCE EXCEDANT 75 KW")</f>
        <v xml:space="preserve">   D'UNE PUISSANCE EXCEDANT 75 KW</v>
      </c>
      <c r="C10667" s="4">
        <v>6000</v>
      </c>
      <c r="D10667" s="4">
        <v>42525710</v>
      </c>
    </row>
    <row r="10668" spans="1:4" x14ac:dyDescent="0.25">
      <c r="A10668" t="str">
        <f>T("   850161")</f>
        <v xml:space="preserve">   850161</v>
      </c>
      <c r="B10668" t="str">
        <f>T("   D'UNE PUISSANCE N'EXCEDANT PAS 75 KVA")</f>
        <v xml:space="preserve">   D'UNE PUISSANCE N'EXCEDANT PAS 75 KVA</v>
      </c>
      <c r="C10668" s="4">
        <v>350</v>
      </c>
      <c r="D10668" s="4">
        <v>250671</v>
      </c>
    </row>
    <row r="10669" spans="1:4" x14ac:dyDescent="0.25">
      <c r="A10669" t="str">
        <f>T("   850211")</f>
        <v xml:space="preserve">   850211</v>
      </c>
      <c r="B10669" t="str">
        <f>T("   D'UNE PUISSANCE N'EXCEDANT PAS 75 KVA")</f>
        <v xml:space="preserve">   D'UNE PUISSANCE N'EXCEDANT PAS 75 KVA</v>
      </c>
      <c r="C10669" s="4">
        <v>24186</v>
      </c>
      <c r="D10669" s="4">
        <v>71378602</v>
      </c>
    </row>
    <row r="10670" spans="1:4" x14ac:dyDescent="0.25">
      <c r="A10670" t="str">
        <f>T("   850212")</f>
        <v xml:space="preserve">   850212</v>
      </c>
      <c r="B10670" t="str">
        <f>T("   D'UNE PUISSANCE EXCEDANT 75 KVA MAIS N'EXCEDANT PAS 375 KVA")</f>
        <v xml:space="preserve">   D'UNE PUISSANCE EXCEDANT 75 KVA MAIS N'EXCEDANT PAS 375 KVA</v>
      </c>
      <c r="C10670" s="4">
        <v>13392</v>
      </c>
      <c r="D10670" s="4">
        <v>67048134</v>
      </c>
    </row>
    <row r="10671" spans="1:4" x14ac:dyDescent="0.25">
      <c r="A10671" t="str">
        <f>T("   850213")</f>
        <v xml:space="preserve">   850213</v>
      </c>
      <c r="B10671" t="str">
        <f>T("   D'UNE PUISSANCE EXCEDANT 375 KVA")</f>
        <v xml:space="preserve">   D'UNE PUISSANCE EXCEDANT 375 KVA</v>
      </c>
      <c r="C10671" s="4">
        <v>22573</v>
      </c>
      <c r="D10671" s="4">
        <v>77072789</v>
      </c>
    </row>
    <row r="10672" spans="1:4" x14ac:dyDescent="0.25">
      <c r="A10672" t="str">
        <f>T("   850220")</f>
        <v xml:space="preserve">   850220</v>
      </c>
      <c r="B10672" t="str">
        <f>T("   GROUPES ELECTROGENES A MOTEUR A PISTON A ALLUMAGE PAR ETINCELLES (MOTEURS A EXPLOSION")</f>
        <v xml:space="preserve">   GROUPES ELECTROGENES A MOTEUR A PISTON A ALLUMAGE PAR ETINCELLES (MOTEURS A EXPLOSION</v>
      </c>
      <c r="C10672" s="4">
        <v>4.5</v>
      </c>
      <c r="D10672" s="4">
        <v>125338</v>
      </c>
    </row>
    <row r="10673" spans="1:4" x14ac:dyDescent="0.25">
      <c r="A10673" t="str">
        <f>T("   850239")</f>
        <v xml:space="preserve">   850239</v>
      </c>
      <c r="B10673" t="str">
        <f>T("   AUTRES")</f>
        <v xml:space="preserve">   AUTRES</v>
      </c>
      <c r="C10673" s="4">
        <v>35833</v>
      </c>
      <c r="D10673" s="4">
        <v>105761269</v>
      </c>
    </row>
    <row r="10674" spans="1:4" x14ac:dyDescent="0.25">
      <c r="A10674" t="str">
        <f>T("   850300")</f>
        <v xml:space="preserve">   850300</v>
      </c>
      <c r="B10674" t="str">
        <f>T("   PARTIES RECONNAISSABLES COMME ETANT EXCLUSIVEMENT OU PRINCIPALEMENT DESTINEES AUX MACHI")</f>
        <v xml:space="preserve">   PARTIES RECONNAISSABLES COMME ETANT EXCLUSIVEMENT OU PRINCIPALEMENT DESTINEES AUX MACHI</v>
      </c>
      <c r="C10674" s="4">
        <v>150</v>
      </c>
      <c r="D10674" s="4">
        <v>16400000</v>
      </c>
    </row>
    <row r="10675" spans="1:4" x14ac:dyDescent="0.25">
      <c r="A10675" t="str">
        <f>T("   850431")</f>
        <v xml:space="preserve">   850431</v>
      </c>
      <c r="B10675" t="str">
        <f>T("   D'UNE PUISSANCE N'EXCEDANT PAS 1 KVA")</f>
        <v xml:space="preserve">   D'UNE PUISSANCE N'EXCEDANT PAS 1 KVA</v>
      </c>
      <c r="C10675" s="4">
        <v>50</v>
      </c>
      <c r="D10675" s="4">
        <v>286482</v>
      </c>
    </row>
    <row r="10676" spans="1:4" x14ac:dyDescent="0.25">
      <c r="A10676" t="str">
        <f>T("   850432")</f>
        <v xml:space="preserve">   850432</v>
      </c>
      <c r="B10676" t="str">
        <f>T("   D'UNE PUISSANCE EXCEDANT 1 KVA MAIS N'EXCEDANT PAS 16 KVA")</f>
        <v xml:space="preserve">   D'UNE PUISSANCE EXCEDANT 1 KVA MAIS N'EXCEDANT PAS 16 KVA</v>
      </c>
      <c r="C10676" s="4">
        <v>36.200000000000003</v>
      </c>
      <c r="D10676" s="4">
        <v>300000</v>
      </c>
    </row>
    <row r="10677" spans="1:4" x14ac:dyDescent="0.25">
      <c r="A10677" t="str">
        <f>T("   850433")</f>
        <v xml:space="preserve">   850433</v>
      </c>
      <c r="B10677" t="str">
        <f>T("   D'UNE PUISSANCE EXCEDANT 16 KVA MAIS N'EXCEDANT PAS 500 KVA")</f>
        <v xml:space="preserve">   D'UNE PUISSANCE EXCEDANT 16 KVA MAIS N'EXCEDANT PAS 500 KVA</v>
      </c>
      <c r="C10677" s="4">
        <v>1340</v>
      </c>
      <c r="D10677" s="4">
        <v>3839000</v>
      </c>
    </row>
    <row r="10678" spans="1:4" x14ac:dyDescent="0.25">
      <c r="A10678" t="str">
        <f>T("   850440")</f>
        <v xml:space="preserve">   850440</v>
      </c>
      <c r="B10678" t="str">
        <f>T("   CONVERTISSEURS STATIQUES")</f>
        <v xml:space="preserve">   CONVERTISSEURS STATIQUES</v>
      </c>
      <c r="C10678" s="4">
        <v>7000</v>
      </c>
      <c r="D10678" s="4">
        <v>14324082</v>
      </c>
    </row>
    <row r="10679" spans="1:4" x14ac:dyDescent="0.25">
      <c r="A10679" t="str">
        <f>T("   850610")</f>
        <v xml:space="preserve">   850610</v>
      </c>
      <c r="B10679" t="str">
        <f>T("   AU BIOXYDE DE MANGANESE")</f>
        <v xml:space="preserve">   AU BIOXYDE DE MANGANESE</v>
      </c>
      <c r="C10679" s="4">
        <v>340959</v>
      </c>
      <c r="D10679" s="4">
        <v>62473471</v>
      </c>
    </row>
    <row r="10680" spans="1:4" x14ac:dyDescent="0.25">
      <c r="A10680" t="str">
        <f>T("   850680")</f>
        <v xml:space="preserve">   850680</v>
      </c>
      <c r="B10680" t="str">
        <f>T("   AUTRES PILES ET BATTERIES DE PILES")</f>
        <v xml:space="preserve">   AUTRES PILES ET BATTERIES DE PILES</v>
      </c>
      <c r="C10680" s="4">
        <v>190780</v>
      </c>
      <c r="D10680" s="4">
        <v>27217794</v>
      </c>
    </row>
    <row r="10681" spans="1:4" x14ac:dyDescent="0.25">
      <c r="A10681" t="str">
        <f>T("   850690")</f>
        <v xml:space="preserve">   850690</v>
      </c>
      <c r="B10681" t="str">
        <f>T("   PARTIES")</f>
        <v xml:space="preserve">   PARTIES</v>
      </c>
      <c r="C10681" s="4">
        <v>3200</v>
      </c>
      <c r="D10681" s="4">
        <v>200000</v>
      </c>
    </row>
    <row r="10682" spans="1:4" x14ac:dyDescent="0.25">
      <c r="A10682" t="str">
        <f>T("   850720")</f>
        <v xml:space="preserve">   850720</v>
      </c>
      <c r="B10682" t="str">
        <f>T("   AUTRES ACCUMULATEURS AU PLOMB")</f>
        <v xml:space="preserve">   AUTRES ACCUMULATEURS AU PLOMB</v>
      </c>
      <c r="C10682" s="4">
        <v>164000</v>
      </c>
      <c r="D10682" s="4">
        <v>39389464</v>
      </c>
    </row>
    <row r="10683" spans="1:4" x14ac:dyDescent="0.25">
      <c r="A10683" t="str">
        <f>T("   850810")</f>
        <v xml:space="preserve">   850810</v>
      </c>
      <c r="B10683" t="str">
        <f>T("   PERCEUSES DE TOUS GENRES Y COMPRIS LES PERFORATRICES ROTATIVES")</f>
        <v xml:space="preserve">   PERCEUSES DE TOUS GENRES Y COMPRIS LES PERFORATRICES ROTATIVES</v>
      </c>
      <c r="C10683" s="4">
        <v>1380</v>
      </c>
      <c r="D10683" s="4">
        <v>236157</v>
      </c>
    </row>
    <row r="10684" spans="1:4" x14ac:dyDescent="0.25">
      <c r="A10684" t="str">
        <f>T("   850819")</f>
        <v xml:space="preserve">   850819</v>
      </c>
      <c r="B10684" t="str">
        <f>T("   AUTRES")</f>
        <v xml:space="preserve">   AUTRES</v>
      </c>
      <c r="C10684" s="4">
        <v>1200</v>
      </c>
      <c r="D10684" s="4">
        <v>191836</v>
      </c>
    </row>
    <row r="10685" spans="1:4" x14ac:dyDescent="0.25">
      <c r="A10685" t="str">
        <f>T("   850870")</f>
        <v xml:space="preserve">   850870</v>
      </c>
      <c r="B10685" t="str">
        <f>T("   PARTIES")</f>
        <v xml:space="preserve">   PARTIES</v>
      </c>
      <c r="C10685" s="4">
        <v>1360</v>
      </c>
      <c r="D10685" s="4">
        <v>202053</v>
      </c>
    </row>
    <row r="10686" spans="1:4" x14ac:dyDescent="0.25">
      <c r="A10686" t="str">
        <f>T("   850980")</f>
        <v xml:space="preserve">   850980</v>
      </c>
      <c r="B10686" t="str">
        <f>T("   AUTRES APPAREILS")</f>
        <v xml:space="preserve">   AUTRES APPAREILS</v>
      </c>
      <c r="C10686" s="4">
        <v>2005</v>
      </c>
      <c r="D10686" s="4">
        <v>603998</v>
      </c>
    </row>
    <row r="10687" spans="1:4" x14ac:dyDescent="0.25">
      <c r="A10687" t="str">
        <f>T("   851140")</f>
        <v xml:space="preserve">   851140</v>
      </c>
      <c r="B10687" t="str">
        <f>T("   Demarreurs, meme fonctionnant comme generatrices")</f>
        <v xml:space="preserve">   Demarreurs, meme fonctionnant comme generatrices</v>
      </c>
      <c r="C10687" s="4">
        <v>21</v>
      </c>
      <c r="D10687" s="4">
        <v>103322</v>
      </c>
    </row>
    <row r="10688" spans="1:4" x14ac:dyDescent="0.25">
      <c r="A10688" t="str">
        <f>T("   851230")</f>
        <v xml:space="preserve">   851230</v>
      </c>
      <c r="B10688" t="str">
        <f>T("   APPAREILS DE SIGNALISATION ACOUSTIQUE")</f>
        <v xml:space="preserve">   APPAREILS DE SIGNALISATION ACOUSTIQUE</v>
      </c>
      <c r="C10688" s="4">
        <v>39</v>
      </c>
      <c r="D10688" s="4">
        <v>317970</v>
      </c>
    </row>
    <row r="10689" spans="1:4" x14ac:dyDescent="0.25">
      <c r="A10689" t="str">
        <f>T("   851310")</f>
        <v xml:space="preserve">   851310</v>
      </c>
      <c r="B10689" t="str">
        <f>T("   LAMPES")</f>
        <v xml:space="preserve">   LAMPES</v>
      </c>
      <c r="C10689" s="4">
        <v>99927</v>
      </c>
      <c r="D10689" s="4">
        <v>20250871</v>
      </c>
    </row>
    <row r="10690" spans="1:4" x14ac:dyDescent="0.25">
      <c r="A10690" t="str">
        <f>T("   851430")</f>
        <v xml:space="preserve">   851430</v>
      </c>
      <c r="B10690" t="str">
        <f>T("   AUTRES FOURS")</f>
        <v xml:space="preserve">   AUTRES FOURS</v>
      </c>
      <c r="C10690" s="4">
        <v>540</v>
      </c>
      <c r="D10690" s="4">
        <v>143241</v>
      </c>
    </row>
    <row r="10691" spans="1:4" x14ac:dyDescent="0.25">
      <c r="A10691" t="str">
        <f>T("   851531")</f>
        <v xml:space="preserve">   851531</v>
      </c>
      <c r="B10691" t="str">
        <f>T("   ENTIEREMENT OU PARTIELLEMENT AUTOMATIQUES")</f>
        <v xml:space="preserve">   ENTIEREMENT OU PARTIELLEMENT AUTOMATIQUES</v>
      </c>
      <c r="C10691" s="4">
        <v>240</v>
      </c>
      <c r="D10691" s="4">
        <v>286478</v>
      </c>
    </row>
    <row r="10692" spans="1:4" x14ac:dyDescent="0.25">
      <c r="A10692" t="str">
        <f>T("   851650")</f>
        <v xml:space="preserve">   851650</v>
      </c>
      <c r="B10692" t="str">
        <f>T("   FOURS A MICROONDES")</f>
        <v xml:space="preserve">   FOURS A MICROONDES</v>
      </c>
      <c r="C10692" s="4">
        <v>100</v>
      </c>
      <c r="D10692" s="4">
        <v>21846</v>
      </c>
    </row>
    <row r="10693" spans="1:4" x14ac:dyDescent="0.25">
      <c r="A10693" t="str">
        <f>T("   851712")</f>
        <v xml:space="preserve">   851712</v>
      </c>
      <c r="B10693" t="str">
        <f>T("   TELEPHONES POUR RESEAUX CELLULAIRES ET POUR AUTRES RESEAUX SANS FIL")</f>
        <v xml:space="preserve">   TELEPHONES POUR RESEAUX CELLULAIRES ET POUR AUTRES RESEAUX SANS FIL</v>
      </c>
      <c r="C10693" s="4">
        <v>2800</v>
      </c>
      <c r="D10693" s="4">
        <v>449197</v>
      </c>
    </row>
    <row r="10694" spans="1:4" x14ac:dyDescent="0.25">
      <c r="A10694" t="str">
        <f>T("   851740")</f>
        <v xml:space="preserve">   851740</v>
      </c>
      <c r="B10694" t="str">
        <f>T("   AUTRES APPAREILS POUR LE TELECOMMUNICATION PAR COURANT PORTEUR")</f>
        <v xml:space="preserve">   AUTRES APPAREILS POUR LE TELECOMMUNICATION PAR COURANT PORTEUR</v>
      </c>
      <c r="C10694" s="4">
        <v>364</v>
      </c>
      <c r="D10694" s="4">
        <v>811859</v>
      </c>
    </row>
    <row r="10695" spans="1:4" x14ac:dyDescent="0.25">
      <c r="A10695" t="str">
        <f>T("   851769")</f>
        <v xml:space="preserve">   851769</v>
      </c>
      <c r="B10695" t="str">
        <f>T("   AUTRES")</f>
        <v xml:space="preserve">   AUTRES</v>
      </c>
      <c r="C10695" s="4">
        <v>350</v>
      </c>
      <c r="D10695" s="4">
        <v>14438984</v>
      </c>
    </row>
    <row r="10696" spans="1:4" x14ac:dyDescent="0.25">
      <c r="A10696" t="str">
        <f>T("   851781")</f>
        <v xml:space="preserve">   851781</v>
      </c>
      <c r="B10696" t="str">
        <f>T("   AUTRES APPAREILS POUR LA TELEPHONIE")</f>
        <v xml:space="preserve">   AUTRES APPAREILS POUR LA TELEPHONIE</v>
      </c>
      <c r="C10696" s="4">
        <v>9790</v>
      </c>
      <c r="D10696" s="4">
        <v>992517</v>
      </c>
    </row>
    <row r="10697" spans="1:4" x14ac:dyDescent="0.25">
      <c r="A10697" t="str">
        <f>T("   851822")</f>
        <v xml:space="preserve">   851822</v>
      </c>
      <c r="B10697" t="str">
        <f>T("   HAUTPARLEURS MULTIPLES MONTES DANS LA MEME ENCEINTE")</f>
        <v xml:space="preserve">   HAUTPARLEURS MULTIPLES MONTES DANS LA MEME ENCEINTE</v>
      </c>
      <c r="C10697" s="4">
        <v>100</v>
      </c>
      <c r="D10697" s="4">
        <v>21846</v>
      </c>
    </row>
    <row r="10698" spans="1:4" x14ac:dyDescent="0.25">
      <c r="A10698" t="str">
        <f>T("   851829")</f>
        <v xml:space="preserve">   851829</v>
      </c>
      <c r="B10698" t="str">
        <f>T("   AUTRES")</f>
        <v xml:space="preserve">   AUTRES</v>
      </c>
      <c r="C10698" s="4">
        <v>1435</v>
      </c>
      <c r="D10698" s="4">
        <v>3290916</v>
      </c>
    </row>
    <row r="10699" spans="1:4" x14ac:dyDescent="0.25">
      <c r="A10699" t="str">
        <f>T("   851850")</f>
        <v xml:space="preserve">   851850</v>
      </c>
      <c r="B10699" t="str">
        <f>T("   APPAREILS ELECTRIQUES D'AMPLIFICATION DU SON")</f>
        <v xml:space="preserve">   APPAREILS ELECTRIQUES D'AMPLIFICATION DU SON</v>
      </c>
      <c r="C10699" s="4">
        <v>2500</v>
      </c>
      <c r="D10699" s="4">
        <v>300000</v>
      </c>
    </row>
    <row r="10700" spans="1:4" x14ac:dyDescent="0.25">
      <c r="A10700" t="str">
        <f>T("   851989")</f>
        <v xml:space="preserve">   851989</v>
      </c>
      <c r="B10700" t="str">
        <f>T("   AUTRES")</f>
        <v xml:space="preserve">   AUTRES</v>
      </c>
      <c r="C10700" s="4">
        <v>500</v>
      </c>
      <c r="D10700" s="4">
        <v>150641</v>
      </c>
    </row>
    <row r="10701" spans="1:4" x14ac:dyDescent="0.25">
      <c r="A10701" t="str">
        <f>T("   852020")</f>
        <v xml:space="preserve">   852020</v>
      </c>
      <c r="B10701" t="str">
        <f>T("   REPONDEURS TELEPHONIQUES")</f>
        <v xml:space="preserve">   REPONDEURS TELEPHONIQUES</v>
      </c>
      <c r="C10701" s="4">
        <v>1140</v>
      </c>
      <c r="D10701" s="4">
        <v>328030</v>
      </c>
    </row>
    <row r="10702" spans="1:4" x14ac:dyDescent="0.25">
      <c r="A10702" t="str">
        <f>T("   852033")</f>
        <v xml:space="preserve">   852033</v>
      </c>
      <c r="B10702" t="str">
        <f>T("   AUTRES APPAREILS D'ENREGISTREMENT ET DE REPRODUCTION DU SON, A CASSETTES")</f>
        <v xml:space="preserve">   AUTRES APPAREILS D'ENREGISTREMENT ET DE REPRODUCTION DU SON, A CASSETTES</v>
      </c>
      <c r="C10702" s="4">
        <v>960</v>
      </c>
      <c r="D10702" s="4">
        <v>430000</v>
      </c>
    </row>
    <row r="10703" spans="1:4" x14ac:dyDescent="0.25">
      <c r="A10703" t="str">
        <f>T("   852090")</f>
        <v xml:space="preserve">   852090</v>
      </c>
      <c r="B10703" t="str">
        <f>T("   AUTRES APPAREILS DU N 85.20")</f>
        <v xml:space="preserve">   AUTRES APPAREILS DU N 85.20</v>
      </c>
      <c r="C10703" s="4">
        <v>300</v>
      </c>
      <c r="D10703" s="4">
        <v>43692</v>
      </c>
    </row>
    <row r="10704" spans="1:4" x14ac:dyDescent="0.25">
      <c r="A10704" t="str">
        <f>T("   852550")</f>
        <v xml:space="preserve">   852550</v>
      </c>
      <c r="B10704" t="str">
        <f>T("   APPAREILS D'EMISSION")</f>
        <v xml:space="preserve">   APPAREILS D'EMISSION</v>
      </c>
      <c r="C10704" s="4">
        <v>500</v>
      </c>
      <c r="D10704" s="4">
        <v>1311370</v>
      </c>
    </row>
    <row r="10705" spans="1:4" x14ac:dyDescent="0.25">
      <c r="A10705" t="str">
        <f>T("   852711")</f>
        <v xml:space="preserve">   852711</v>
      </c>
      <c r="B10705" t="str">
        <f>T("   RECEPTEURS PORTATIFS RADIO AVEC ENREGISTREURS OU REPRODUTEURS DE SON")</f>
        <v xml:space="preserve">   RECEPTEURS PORTATIFS RADIO AVEC ENREGISTREURS OU REPRODUTEURS DE SON</v>
      </c>
      <c r="C10705" s="4">
        <v>200</v>
      </c>
      <c r="D10705" s="4">
        <v>428180</v>
      </c>
    </row>
    <row r="10706" spans="1:4" x14ac:dyDescent="0.25">
      <c r="A10706" t="str">
        <f>T("   852712")</f>
        <v xml:space="preserve">   852712</v>
      </c>
      <c r="B10706" t="str">
        <f>T("   RADIOCASSETTES DE POCHE")</f>
        <v xml:space="preserve">   RADIOCASSETTES DE POCHE</v>
      </c>
      <c r="C10706" s="4">
        <v>10230</v>
      </c>
      <c r="D10706" s="4">
        <v>2619446</v>
      </c>
    </row>
    <row r="10707" spans="1:4" x14ac:dyDescent="0.25">
      <c r="A10707" t="str">
        <f>T("   852713")</f>
        <v xml:space="preserve">   852713</v>
      </c>
      <c r="B10707" t="str">
        <f>T("   AUTRES APPAREILS COMBINES A UN APPAREIL D'ENREGISTREMENT OU DE REPRODUCTION DU SON")</f>
        <v xml:space="preserve">   AUTRES APPAREILS COMBINES A UN APPAREIL D'ENREGISTREMENT OU DE REPRODUCTION DU SON</v>
      </c>
      <c r="C10707" s="4">
        <v>3697</v>
      </c>
      <c r="D10707" s="4">
        <v>1382000</v>
      </c>
    </row>
    <row r="10708" spans="1:4" x14ac:dyDescent="0.25">
      <c r="A10708" t="str">
        <f>T("   852719")</f>
        <v xml:space="preserve">   852719</v>
      </c>
      <c r="B10708" t="str">
        <f>T("   AUTRES")</f>
        <v xml:space="preserve">   AUTRES</v>
      </c>
      <c r="C10708" s="4">
        <v>6121</v>
      </c>
      <c r="D10708" s="4">
        <v>1450143</v>
      </c>
    </row>
    <row r="10709" spans="1:4" x14ac:dyDescent="0.25">
      <c r="A10709" t="str">
        <f>T("   852729")</f>
        <v xml:space="preserve">   852729</v>
      </c>
      <c r="B10709" t="str">
        <f>T("   AUTRES")</f>
        <v xml:space="preserve">   AUTRES</v>
      </c>
      <c r="C10709" s="4">
        <v>4500</v>
      </c>
      <c r="D10709" s="4">
        <v>500000</v>
      </c>
    </row>
    <row r="10710" spans="1:4" x14ac:dyDescent="0.25">
      <c r="A10710" t="str">
        <f>T("   852799")</f>
        <v xml:space="preserve">   852799</v>
      </c>
      <c r="B10710" t="str">
        <f>T("   AUTRES")</f>
        <v xml:space="preserve">   AUTRES</v>
      </c>
      <c r="C10710" s="4">
        <v>200</v>
      </c>
      <c r="D10710" s="4">
        <v>500000</v>
      </c>
    </row>
    <row r="10711" spans="1:4" x14ac:dyDescent="0.25">
      <c r="A10711" t="str">
        <f>T("   852849")</f>
        <v xml:space="preserve">   852849</v>
      </c>
      <c r="B10711" t="str">
        <f>T("   AUTRES")</f>
        <v xml:space="preserve">   AUTRES</v>
      </c>
      <c r="C10711" s="4">
        <v>2330</v>
      </c>
      <c r="D10711" s="4">
        <v>128591</v>
      </c>
    </row>
    <row r="10712" spans="1:4" x14ac:dyDescent="0.25">
      <c r="A10712" t="str">
        <f>T("   852869")</f>
        <v xml:space="preserve">   852869</v>
      </c>
      <c r="B10712" t="str">
        <f>T("   AUTRES")</f>
        <v xml:space="preserve">   AUTRES</v>
      </c>
      <c r="C10712" s="4">
        <v>60</v>
      </c>
      <c r="D10712" s="4">
        <v>157579</v>
      </c>
    </row>
    <row r="10713" spans="1:4" x14ac:dyDescent="0.25">
      <c r="A10713" t="str">
        <f>T("   852910")</f>
        <v xml:space="preserve">   852910</v>
      </c>
      <c r="B10713" t="str">
        <f>T("   ANTENNES ET REFLECTEURS D’ANTENNES DE TOUS TYPES; PARTIES RECONNAISSABLES COMME ETANT")</f>
        <v xml:space="preserve">   ANTENNES ET REFLECTEURS D’ANTENNES DE TOUS TYPES; PARTIES RECONNAISSABLES COMME ETANT</v>
      </c>
      <c r="C10713" s="4">
        <v>700</v>
      </c>
      <c r="D10713" s="4">
        <v>393228</v>
      </c>
    </row>
    <row r="10714" spans="1:4" x14ac:dyDescent="0.25">
      <c r="A10714" t="str">
        <f>T("   853229")</f>
        <v xml:space="preserve">   853229</v>
      </c>
      <c r="B10714" t="str">
        <f>T("   AUTRES")</f>
        <v xml:space="preserve">   AUTRES</v>
      </c>
      <c r="C10714" s="4">
        <v>1</v>
      </c>
      <c r="D10714" s="4">
        <v>35940</v>
      </c>
    </row>
    <row r="10715" spans="1:4" x14ac:dyDescent="0.25">
      <c r="A10715" t="str">
        <f>T("   853590")</f>
        <v xml:space="preserve">   853590</v>
      </c>
      <c r="B10715" t="str">
        <f>T("   AUTRES")</f>
        <v xml:space="preserve">   AUTRES</v>
      </c>
      <c r="C10715" s="4">
        <v>13125</v>
      </c>
      <c r="D10715" s="4">
        <v>1318995</v>
      </c>
    </row>
    <row r="10716" spans="1:4" x14ac:dyDescent="0.25">
      <c r="A10716" t="str">
        <f>T("   853630")</f>
        <v xml:space="preserve">   853630</v>
      </c>
      <c r="B10716" t="str">
        <f>T("   AUTRES APPAREILS POUR LA PROTECTION DES CIRCUITS ELECTRIQUES")</f>
        <v xml:space="preserve">   AUTRES APPAREILS POUR LA PROTECTION DES CIRCUITS ELECTRIQUES</v>
      </c>
      <c r="C10716" s="4">
        <v>12000</v>
      </c>
      <c r="D10716" s="4">
        <v>1543458</v>
      </c>
    </row>
    <row r="10717" spans="1:4" x14ac:dyDescent="0.25">
      <c r="A10717" t="str">
        <f>T("   853649")</f>
        <v xml:space="preserve">   853649</v>
      </c>
      <c r="B10717" t="str">
        <f>T("   AUTRES")</f>
        <v xml:space="preserve">   AUTRES</v>
      </c>
      <c r="C10717" s="4">
        <v>2000</v>
      </c>
      <c r="D10717" s="4">
        <v>536080</v>
      </c>
    </row>
    <row r="10718" spans="1:4" x14ac:dyDescent="0.25">
      <c r="A10718" t="str">
        <f>T("   853650")</f>
        <v xml:space="preserve">   853650</v>
      </c>
      <c r="B10718" t="str">
        <f>T("   AUTRES INTERRUPTEURS, SECTIONNEURS ET COMMUTATEURS")</f>
        <v xml:space="preserve">   AUTRES INTERRUPTEURS, SECTIONNEURS ET COMMUTATEURS</v>
      </c>
      <c r="C10718" s="4">
        <v>1610</v>
      </c>
      <c r="D10718" s="4">
        <v>592712</v>
      </c>
    </row>
    <row r="10719" spans="1:4" x14ac:dyDescent="0.25">
      <c r="A10719" t="str">
        <f>T("   853669")</f>
        <v xml:space="preserve">   853669</v>
      </c>
      <c r="B10719" t="str">
        <f>T("   AUTRES")</f>
        <v xml:space="preserve">   AUTRES</v>
      </c>
      <c r="C10719" s="4">
        <v>9100</v>
      </c>
      <c r="D10719" s="4">
        <v>906000</v>
      </c>
    </row>
    <row r="10720" spans="1:4" x14ac:dyDescent="0.25">
      <c r="A10720" t="str">
        <f>T("   853690")</f>
        <v xml:space="preserve">   853690</v>
      </c>
      <c r="B10720" t="str">
        <f>T("   AUTRES APPAREILS")</f>
        <v xml:space="preserve">   AUTRES APPAREILS</v>
      </c>
      <c r="C10720" s="4">
        <v>51340</v>
      </c>
      <c r="D10720" s="4">
        <v>8647206</v>
      </c>
    </row>
    <row r="10721" spans="1:4" x14ac:dyDescent="0.25">
      <c r="A10721" t="str">
        <f>T("   853710")</f>
        <v xml:space="preserve">   853710</v>
      </c>
      <c r="B10721" t="str">
        <f>T("   POUR UNE TENSION N'EXCEDANT PAS 1.000 V")</f>
        <v xml:space="preserve">   POUR UNE TENSION N'EXCEDANT PAS 1.000 V</v>
      </c>
      <c r="C10721" s="4">
        <v>4357</v>
      </c>
      <c r="D10721" s="4">
        <v>22830010</v>
      </c>
    </row>
    <row r="10722" spans="1:4" x14ac:dyDescent="0.25">
      <c r="A10722" t="str">
        <f>T("   853910")</f>
        <v xml:space="preserve">   853910</v>
      </c>
      <c r="B10722" t="str">
        <f>T("   ARTICLES DITS «PHARES ET PROJECTEURS SCELLES»")</f>
        <v xml:space="preserve">   ARTICLES DITS «PHARES ET PROJECTEURS SCELLES»</v>
      </c>
      <c r="C10722" s="4">
        <v>600</v>
      </c>
      <c r="D10722" s="4">
        <v>164664</v>
      </c>
    </row>
    <row r="10723" spans="1:4" x14ac:dyDescent="0.25">
      <c r="A10723" t="str">
        <f>T("   853929")</f>
        <v xml:space="preserve">   853929</v>
      </c>
      <c r="B10723" t="str">
        <f>T("   AUTRES")</f>
        <v xml:space="preserve">   AUTRES</v>
      </c>
      <c r="C10723" s="4">
        <v>78296</v>
      </c>
      <c r="D10723" s="4">
        <v>19595197</v>
      </c>
    </row>
    <row r="10724" spans="1:4" x14ac:dyDescent="0.25">
      <c r="A10724" t="str">
        <f>T("   853931")</f>
        <v xml:space="preserve">   853931</v>
      </c>
      <c r="B10724" t="str">
        <f>T("   FLUORESCENTS, A CATHODE CHAUDE")</f>
        <v xml:space="preserve">   FLUORESCENTS, A CATHODE CHAUDE</v>
      </c>
      <c r="C10724" s="4">
        <v>1400</v>
      </c>
      <c r="D10724" s="4">
        <v>174768</v>
      </c>
    </row>
    <row r="10725" spans="1:4" x14ac:dyDescent="0.25">
      <c r="A10725" t="str">
        <f>T("   853949")</f>
        <v xml:space="preserve">   853949</v>
      </c>
      <c r="B10725" t="str">
        <f>T("   AUTRES")</f>
        <v xml:space="preserve">   AUTRES</v>
      </c>
      <c r="C10725" s="4">
        <v>15700</v>
      </c>
      <c r="D10725" s="4">
        <v>3033747</v>
      </c>
    </row>
    <row r="10726" spans="1:4" x14ac:dyDescent="0.25">
      <c r="A10726" t="str">
        <f>T("   854140")</f>
        <v xml:space="preserve">   854140</v>
      </c>
      <c r="B10726" t="str">
        <f>T("   DISPOSITIFS PHOTOSENSIBLES A SEMICONDUCTEUR, Y COMPRIS LES CELLULES PHOTOVOLTAIQUES")</f>
        <v xml:space="preserve">   DISPOSITIFS PHOTOSENSIBLES A SEMICONDUCTEUR, Y COMPRIS LES CELLULES PHOTOVOLTAIQUES</v>
      </c>
      <c r="C10726" s="4">
        <v>1035</v>
      </c>
      <c r="D10726" s="4">
        <v>500569</v>
      </c>
    </row>
    <row r="10727" spans="1:4" x14ac:dyDescent="0.25">
      <c r="A10727" t="str">
        <f>T("   854411")</f>
        <v xml:space="preserve">   854411</v>
      </c>
      <c r="B10727" t="str">
        <f>T("   EN CUIVRE")</f>
        <v xml:space="preserve">   EN CUIVRE</v>
      </c>
      <c r="C10727" s="4">
        <v>2920</v>
      </c>
      <c r="D10727" s="4">
        <v>645153</v>
      </c>
    </row>
    <row r="10728" spans="1:4" x14ac:dyDescent="0.25">
      <c r="A10728" t="str">
        <f>T("   854420")</f>
        <v xml:space="preserve">   854420</v>
      </c>
      <c r="B10728" t="str">
        <f>T("   Cables coaxiaux et autres conducteurs electriques coaxiaux")</f>
        <v xml:space="preserve">   Cables coaxiaux et autres conducteurs electriques coaxiaux</v>
      </c>
      <c r="C10728" s="4">
        <v>7375</v>
      </c>
      <c r="D10728" s="4">
        <v>655288</v>
      </c>
    </row>
    <row r="10729" spans="1:4" x14ac:dyDescent="0.25">
      <c r="A10729" t="str">
        <f>T("   854449")</f>
        <v xml:space="preserve">   854449</v>
      </c>
      <c r="B10729" t="str">
        <f>T("   AUTRES")</f>
        <v xml:space="preserve">   AUTRES</v>
      </c>
      <c r="C10729" s="4">
        <v>7674</v>
      </c>
      <c r="D10729" s="4">
        <v>2381960</v>
      </c>
    </row>
    <row r="10730" spans="1:4" x14ac:dyDescent="0.25">
      <c r="A10730" t="str">
        <f>T("   854460")</f>
        <v xml:space="preserve">   854460</v>
      </c>
      <c r="B10730" t="str">
        <f>T("   AUTRES CONDUCTEURS ELECTRIQUES, POUR TENSIONS EXCEDANT 1.000 V")</f>
        <v xml:space="preserve">   AUTRES CONDUCTEURS ELECTRIQUES, POUR TENSIONS EXCEDANT 1.000 V</v>
      </c>
      <c r="C10730" s="4">
        <v>10739</v>
      </c>
      <c r="D10730" s="4">
        <v>4967086</v>
      </c>
    </row>
    <row r="10731" spans="1:4" x14ac:dyDescent="0.25">
      <c r="A10731" t="str">
        <f>T("   854790")</f>
        <v xml:space="preserve">   854790</v>
      </c>
      <c r="B10731" t="str">
        <f>T("   AUTRES")</f>
        <v xml:space="preserve">   AUTRES</v>
      </c>
      <c r="C10731" s="4">
        <v>62319</v>
      </c>
      <c r="D10731" s="4">
        <v>14848710</v>
      </c>
    </row>
    <row r="10732" spans="1:4" x14ac:dyDescent="0.25">
      <c r="A10732" t="str">
        <f>T("   860800")</f>
        <v xml:space="preserve">   860800</v>
      </c>
      <c r="B10732" t="str">
        <f>T("   MATERIEL FIXE DE VOIES FERREES OU SIMILAIRES; APPAREILS MECANIQUES (Y COMPRIS ELECTROME")</f>
        <v xml:space="preserve">   MATERIEL FIXE DE VOIES FERREES OU SIMILAIRES; APPAREILS MECANIQUES (Y COMPRIS ELECTROME</v>
      </c>
      <c r="C10732" s="4">
        <v>19600</v>
      </c>
      <c r="D10732" s="4">
        <v>1253357</v>
      </c>
    </row>
    <row r="10733" spans="1:4" x14ac:dyDescent="0.25">
      <c r="A10733" t="str">
        <f>T("   860900")</f>
        <v xml:space="preserve">   860900</v>
      </c>
      <c r="B10733" t="str">
        <f>T("   CADRES ET CONTENEURS (Y COMPRIS LES CONTENEURSCITERNES ET LES CONTENEURSRESERVOIRS) S")</f>
        <v xml:space="preserve">   CADRES ET CONTENEURS (Y COMPRIS LES CONTENEURSCITERNES ET LES CONTENEURSRESERVOIRS) S</v>
      </c>
      <c r="C10733" s="4">
        <v>8800</v>
      </c>
      <c r="D10733" s="4">
        <v>1858103</v>
      </c>
    </row>
    <row r="10734" spans="1:4" x14ac:dyDescent="0.25">
      <c r="A10734" t="str">
        <f>T("   870120")</f>
        <v xml:space="preserve">   870120</v>
      </c>
      <c r="B10734" t="str">
        <f>T("   TRACTEURS ROUTIERS POUR SEMIREMORQUES")</f>
        <v xml:space="preserve">   TRACTEURS ROUTIERS POUR SEMIREMORQUES</v>
      </c>
      <c r="C10734" s="4">
        <v>1398232</v>
      </c>
      <c r="D10734" s="4">
        <v>381474644</v>
      </c>
    </row>
    <row r="10735" spans="1:4" x14ac:dyDescent="0.25">
      <c r="A10735" t="str">
        <f>T("   870190")</f>
        <v xml:space="preserve">   870190</v>
      </c>
      <c r="B10735" t="str">
        <f>T("   AUTRES")</f>
        <v xml:space="preserve">   AUTRES</v>
      </c>
      <c r="C10735" s="4">
        <v>33822</v>
      </c>
      <c r="D10735" s="4">
        <v>20204054</v>
      </c>
    </row>
    <row r="10736" spans="1:4" x14ac:dyDescent="0.25">
      <c r="A10736" t="str">
        <f>T("   870210")</f>
        <v xml:space="preserve">   870210</v>
      </c>
      <c r="B10736" t="str">
        <f>T("   A MOTEUR A PISTON A ALLUMAGE PAR COMPRESSION (DIESEL OU SEMIDIESEL)")</f>
        <v xml:space="preserve">   A MOTEUR A PISTON A ALLUMAGE PAR COMPRESSION (DIESEL OU SEMIDIESEL)</v>
      </c>
      <c r="C10736" s="4">
        <v>71631</v>
      </c>
      <c r="D10736" s="4">
        <v>56488213</v>
      </c>
    </row>
    <row r="10737" spans="1:4" x14ac:dyDescent="0.25">
      <c r="A10737" t="str">
        <f>T("   870290")</f>
        <v xml:space="preserve">   870290</v>
      </c>
      <c r="B10737" t="str">
        <f>T("   AUTRES")</f>
        <v xml:space="preserve">   AUTRES</v>
      </c>
      <c r="C10737" s="4">
        <v>11200</v>
      </c>
      <c r="D10737" s="4">
        <v>7526124</v>
      </c>
    </row>
    <row r="10738" spans="1:4" x14ac:dyDescent="0.25">
      <c r="A10738" t="str">
        <f>T("   870321")</f>
        <v xml:space="preserve">   870321</v>
      </c>
      <c r="B10738" t="str">
        <f>T("   D’UNE CYLINDREE N’EXCEDANT PAS 1.000 CM³")</f>
        <v xml:space="preserve">   D’UNE CYLINDREE N’EXCEDANT PAS 1.000 CM³</v>
      </c>
      <c r="C10738" s="4">
        <v>1725</v>
      </c>
      <c r="D10738" s="4">
        <v>2500000</v>
      </c>
    </row>
    <row r="10739" spans="1:4" x14ac:dyDescent="0.25">
      <c r="A10739" t="str">
        <f>T("   870322")</f>
        <v xml:space="preserve">   870322</v>
      </c>
      <c r="B10739" t="str">
        <f>T("   D’UNE CYLINDREE EXCEDANT 1.000 CM³ MAIS N’EXCEDANT PAS 1.500 CM³")</f>
        <v xml:space="preserve">   D’UNE CYLINDREE EXCEDANT 1.000 CM³ MAIS N’EXCEDANT PAS 1.500 CM³</v>
      </c>
      <c r="C10739" s="4">
        <v>147713</v>
      </c>
      <c r="D10739" s="4">
        <v>303847865</v>
      </c>
    </row>
    <row r="10740" spans="1:4" x14ac:dyDescent="0.25">
      <c r="A10740" t="str">
        <f>T("   870323")</f>
        <v xml:space="preserve">   870323</v>
      </c>
      <c r="B10740" t="str">
        <f>T("   D’UNE CYLINDREE EXCEDANT 1.500 CM³ MAIS N’EXCEDANT PAS 3.000 CM³")</f>
        <v xml:space="preserve">   D’UNE CYLINDREE EXCEDANT 1.500 CM³ MAIS N’EXCEDANT PAS 3.000 CM³</v>
      </c>
      <c r="C10740" s="4">
        <v>57419.39</v>
      </c>
      <c r="D10740" s="4">
        <v>94525696</v>
      </c>
    </row>
    <row r="10741" spans="1:4" x14ac:dyDescent="0.25">
      <c r="A10741" t="str">
        <f>T("   870324")</f>
        <v xml:space="preserve">   870324</v>
      </c>
      <c r="B10741" t="str">
        <f>T("   D’UNE CYLINDREE EXCEDANT 3.000 CM³")</f>
        <v xml:space="preserve">   D’UNE CYLINDREE EXCEDANT 3.000 CM³</v>
      </c>
      <c r="C10741" s="4">
        <v>7900</v>
      </c>
      <c r="D10741" s="4">
        <v>40002115</v>
      </c>
    </row>
    <row r="10742" spans="1:4" x14ac:dyDescent="0.25">
      <c r="A10742" t="str">
        <f>T("   870331")</f>
        <v xml:space="preserve">   870331</v>
      </c>
      <c r="B10742" t="str">
        <f>T("   D'UNE CYLINDREE N'EXCEDANT PAS 1.500 CM³")</f>
        <v xml:space="preserve">   D'UNE CYLINDREE N'EXCEDANT PAS 1.500 CM³</v>
      </c>
      <c r="C10742" s="4">
        <v>1450</v>
      </c>
      <c r="D10742" s="4">
        <v>4824382</v>
      </c>
    </row>
    <row r="10743" spans="1:4" x14ac:dyDescent="0.25">
      <c r="A10743" t="str">
        <f>T("   870332")</f>
        <v xml:space="preserve">   870332</v>
      </c>
      <c r="B10743" t="str">
        <f>T("   D'UNE CYLINDREE EXCEDANT 1.500 CM³ MAIS N'EXCEDANT PAS 2.500 CM³")</f>
        <v xml:space="preserve">   D'UNE CYLINDREE EXCEDANT 1.500 CM³ MAIS N'EXCEDANT PAS 2.500 CM³</v>
      </c>
      <c r="C10743" s="4">
        <v>4540</v>
      </c>
      <c r="D10743" s="4">
        <v>7038784</v>
      </c>
    </row>
    <row r="10744" spans="1:4" x14ac:dyDescent="0.25">
      <c r="A10744" t="str">
        <f>T("   870333")</f>
        <v xml:space="preserve">   870333</v>
      </c>
      <c r="B10744" t="str">
        <f>T("   D'UNE CYLINDREE EXCEDANT 2.500 CM³")</f>
        <v xml:space="preserve">   D'UNE CYLINDREE EXCEDANT 2.500 CM³</v>
      </c>
      <c r="C10744" s="4">
        <v>12849</v>
      </c>
      <c r="D10744" s="4">
        <v>14291379</v>
      </c>
    </row>
    <row r="10745" spans="1:4" x14ac:dyDescent="0.25">
      <c r="A10745" t="str">
        <f>T("   870410")</f>
        <v xml:space="preserve">   870410</v>
      </c>
      <c r="B10745" t="str">
        <f>T("   TOMBEREAUX AUTOMOTEURS CONCUS POUR ETRE UTILISES EN DEHORS DU RESEAU ROUTIER")</f>
        <v xml:space="preserve">   TOMBEREAUX AUTOMOTEURS CONCUS POUR ETRE UTILISES EN DEHORS DU RESEAU ROUTIER</v>
      </c>
      <c r="C10745" s="4">
        <v>2100</v>
      </c>
      <c r="D10745" s="4">
        <v>2952500</v>
      </c>
    </row>
    <row r="10746" spans="1:4" x14ac:dyDescent="0.25">
      <c r="A10746" t="str">
        <f>T("   870421")</f>
        <v xml:space="preserve">   870421</v>
      </c>
      <c r="B10746" t="str">
        <f>T("   D'UN POIDS EN CHARGE MAXIMAL N'EXCEDANT PAS 5 TONNES")</f>
        <v xml:space="preserve">   D'UN POIDS EN CHARGE MAXIMAL N'EXCEDANT PAS 5 TONNES</v>
      </c>
      <c r="C10746" s="4">
        <v>503978</v>
      </c>
      <c r="D10746" s="4">
        <v>193617976</v>
      </c>
    </row>
    <row r="10747" spans="1:4" x14ac:dyDescent="0.25">
      <c r="A10747" t="str">
        <f>T("   870422")</f>
        <v xml:space="preserve">   870422</v>
      </c>
      <c r="B10747" t="str">
        <f>T("   D'UN POIDS EN CHARGE MAXIMAL EXCEDANT 5 TONNES MAIS N'EXCEDANT PAS 20 TONNES")</f>
        <v xml:space="preserve">   D'UN POIDS EN CHARGE MAXIMAL EXCEDANT 5 TONNES MAIS N'EXCEDANT PAS 20 TONNES</v>
      </c>
      <c r="C10747" s="4">
        <v>334234</v>
      </c>
      <c r="D10747" s="4">
        <v>72056826</v>
      </c>
    </row>
    <row r="10748" spans="1:4" x14ac:dyDescent="0.25">
      <c r="A10748" t="str">
        <f>T("   870423")</f>
        <v xml:space="preserve">   870423</v>
      </c>
      <c r="B10748" t="str">
        <f>T("   D'UN POIDS EN CHARGE MAXIMAL EXCEDANT 20 TONNES")</f>
        <v xml:space="preserve">   D'UN POIDS EN CHARGE MAXIMAL EXCEDANT 20 TONNES</v>
      </c>
      <c r="C10748" s="4">
        <v>125290</v>
      </c>
      <c r="D10748" s="4">
        <v>14273319</v>
      </c>
    </row>
    <row r="10749" spans="1:4" x14ac:dyDescent="0.25">
      <c r="A10749" t="str">
        <f>T("   870431")</f>
        <v xml:space="preserve">   870431</v>
      </c>
      <c r="B10749" t="str">
        <f>T("   D'UN POIDS EN CHARGE MAXIMAL N'EXCEDANT PAS 5 TONNES")</f>
        <v xml:space="preserve">   D'UN POIDS EN CHARGE MAXIMAL N'EXCEDANT PAS 5 TONNES</v>
      </c>
      <c r="C10749" s="4">
        <v>12990</v>
      </c>
      <c r="D10749" s="4">
        <v>19101993</v>
      </c>
    </row>
    <row r="10750" spans="1:4" x14ac:dyDescent="0.25">
      <c r="A10750" t="str">
        <f>T("   870432")</f>
        <v xml:space="preserve">   870432</v>
      </c>
      <c r="B10750" t="str">
        <f>T("   D'UN POIDS EN CHARGE MAXIMAL EXCEDANT 5 TONNES")</f>
        <v xml:space="preserve">   D'UN POIDS EN CHARGE MAXIMAL EXCEDANT 5 TONNES</v>
      </c>
      <c r="C10750" s="4">
        <v>6000</v>
      </c>
      <c r="D10750" s="4">
        <v>1580970</v>
      </c>
    </row>
    <row r="10751" spans="1:4" x14ac:dyDescent="0.25">
      <c r="A10751" t="str">
        <f>T("   870490")</f>
        <v xml:space="preserve">   870490</v>
      </c>
      <c r="B10751" t="str">
        <f>T("   AUTRES")</f>
        <v xml:space="preserve">   AUTRES</v>
      </c>
      <c r="C10751" s="4">
        <v>8920</v>
      </c>
      <c r="D10751" s="4">
        <v>2400000</v>
      </c>
    </row>
    <row r="10752" spans="1:4" x14ac:dyDescent="0.25">
      <c r="A10752" t="str">
        <f>T("   870510")</f>
        <v xml:space="preserve">   870510</v>
      </c>
      <c r="B10752" t="str">
        <f>T("   CAMIONSGRUES")</f>
        <v xml:space="preserve">   CAMIONSGRUES</v>
      </c>
      <c r="C10752" s="4">
        <v>95770</v>
      </c>
      <c r="D10752" s="4">
        <v>62319467</v>
      </c>
    </row>
    <row r="10753" spans="1:4" x14ac:dyDescent="0.25">
      <c r="A10753" t="str">
        <f>T("   870540")</f>
        <v xml:space="preserve">   870540</v>
      </c>
      <c r="B10753" t="str">
        <f>T("   CAMIONSBETONNIERES")</f>
        <v xml:space="preserve">   CAMIONSBETONNIERES</v>
      </c>
      <c r="C10753" s="4">
        <v>6000</v>
      </c>
      <c r="D10753" s="4">
        <v>2029720</v>
      </c>
    </row>
    <row r="10754" spans="1:4" x14ac:dyDescent="0.25">
      <c r="A10754" t="str">
        <f>T("   870600")</f>
        <v xml:space="preserve">   870600</v>
      </c>
      <c r="B10754" t="str">
        <f>T("   CHASSIS DES VEHICULES AUTOMOBILES DES N°S 87.01 A 87.05, EQUIPES DE LEUR MOTEUR.")</f>
        <v xml:space="preserve">   CHASSIS DES VEHICULES AUTOMOBILES DES N°S 87.01 A 87.05, EQUIPES DE LEUR MOTEUR.</v>
      </c>
      <c r="C10754" s="4">
        <v>1700</v>
      </c>
      <c r="D10754" s="4">
        <v>29521</v>
      </c>
    </row>
    <row r="10755" spans="1:4" x14ac:dyDescent="0.25">
      <c r="A10755" t="str">
        <f>T("   870829")</f>
        <v xml:space="preserve">   870829</v>
      </c>
      <c r="B10755" t="str">
        <f>T("   AUTRES")</f>
        <v xml:space="preserve">   AUTRES</v>
      </c>
      <c r="C10755" s="4">
        <v>3000</v>
      </c>
      <c r="D10755" s="4">
        <v>708486</v>
      </c>
    </row>
    <row r="10756" spans="1:4" x14ac:dyDescent="0.25">
      <c r="A10756" t="str">
        <f>T("   870840")</f>
        <v xml:space="preserve">   870840</v>
      </c>
      <c r="B10756" t="str">
        <f>T("   BOITES DE VITESSES ET LEURS PARTIES")</f>
        <v xml:space="preserve">   BOITES DE VITESSES ET LEURS PARTIES</v>
      </c>
      <c r="C10756" s="4">
        <v>2770</v>
      </c>
      <c r="D10756" s="4">
        <v>247041</v>
      </c>
    </row>
    <row r="10757" spans="1:4" x14ac:dyDescent="0.25">
      <c r="A10757" t="str">
        <f>T("   870870")</f>
        <v xml:space="preserve">   870870</v>
      </c>
      <c r="B10757" t="str">
        <f>T("   Roues, leurs parties et accessoires")</f>
        <v xml:space="preserve">   Roues, leurs parties et accessoires</v>
      </c>
      <c r="C10757" s="4">
        <v>3100</v>
      </c>
      <c r="D10757" s="4">
        <v>1700000</v>
      </c>
    </row>
    <row r="10758" spans="1:4" x14ac:dyDescent="0.25">
      <c r="A10758" t="str">
        <f>T("   870880")</f>
        <v xml:space="preserve">   870880</v>
      </c>
      <c r="B10758" t="str">
        <f>T("   SYSTEMES DE SUSPENSION ET LEURS PARTIES (Y COMPRIS LES AMORTISSEURS DE SUSPENSION)")</f>
        <v xml:space="preserve">   SYSTEMES DE SUSPENSION ET LEURS PARTIES (Y COMPRIS LES AMORTISSEURS DE SUSPENSION)</v>
      </c>
      <c r="C10758" s="4">
        <v>580</v>
      </c>
      <c r="D10758" s="4">
        <v>147601</v>
      </c>
    </row>
    <row r="10759" spans="1:4" x14ac:dyDescent="0.25">
      <c r="A10759" t="str">
        <f>T("   870894")</f>
        <v xml:space="preserve">   870894</v>
      </c>
      <c r="B10759" t="str">
        <f>T("   VOLANTS, COLONNES ET BOITIERS DE DIRECTION; LEURS PARTIES")</f>
        <v xml:space="preserve">   VOLANTS, COLONNES ET BOITIERS DE DIRECTION; LEURS PARTIES</v>
      </c>
      <c r="C10759" s="4">
        <v>125</v>
      </c>
      <c r="D10759" s="4">
        <v>118082</v>
      </c>
    </row>
    <row r="10760" spans="1:4" x14ac:dyDescent="0.25">
      <c r="A10760" t="str">
        <f>T("   870899")</f>
        <v xml:space="preserve">   870899</v>
      </c>
      <c r="B10760" t="str">
        <f>T("   AUTRES")</f>
        <v xml:space="preserve">   AUTRES</v>
      </c>
      <c r="C10760" s="4">
        <v>17330.3</v>
      </c>
      <c r="D10760" s="4">
        <v>6519026</v>
      </c>
    </row>
    <row r="10761" spans="1:4" x14ac:dyDescent="0.25">
      <c r="A10761" t="str">
        <f>T("   870919")</f>
        <v xml:space="preserve">   870919</v>
      </c>
      <c r="B10761" t="str">
        <f>T("   AUTRES")</f>
        <v xml:space="preserve">   AUTRES</v>
      </c>
      <c r="C10761" s="4">
        <v>13824</v>
      </c>
      <c r="D10761" s="4">
        <v>13163914</v>
      </c>
    </row>
    <row r="10762" spans="1:4" x14ac:dyDescent="0.25">
      <c r="A10762" t="str">
        <f>T("   871000")</f>
        <v xml:space="preserve">   871000</v>
      </c>
      <c r="B10762" t="str">
        <f>T("   CHARS ET AUTOMOBILES BLINDEES DE COMBAT, ARMES OU NON; LEURS PARTIES.")</f>
        <v xml:space="preserve">   CHARS ET AUTOMOBILES BLINDEES DE COMBAT, ARMES OU NON; LEURS PARTIES.</v>
      </c>
      <c r="C10762" s="4">
        <v>656</v>
      </c>
      <c r="D10762" s="4">
        <v>436919</v>
      </c>
    </row>
    <row r="10763" spans="1:4" x14ac:dyDescent="0.25">
      <c r="A10763" t="str">
        <f>T("   871110")</f>
        <v xml:space="preserve">   871110</v>
      </c>
      <c r="B10763" t="str">
        <f>T("   A MOTEUR A PISTON ALTERNATIF, D'UNE CYLINDREE N'EXCEDANT PAS 50 CM³")</f>
        <v xml:space="preserve">   A MOTEUR A PISTON ALTERNATIF, D'UNE CYLINDREE N'EXCEDANT PAS 50 CM³</v>
      </c>
      <c r="C10763" s="4">
        <v>43190</v>
      </c>
      <c r="D10763" s="4">
        <v>8778000</v>
      </c>
    </row>
    <row r="10764" spans="1:4" x14ac:dyDescent="0.25">
      <c r="A10764" t="str">
        <f>T("   871120")</f>
        <v xml:space="preserve">   871120</v>
      </c>
      <c r="B10764" t="str">
        <f>T("   A MOTEUR A PISTON ALTERNATIF, D'UNE CYLINDREE EXCEDANT 50 CM³ MAIS N'EXCEDANT PAS 250")</f>
        <v xml:space="preserve">   A MOTEUR A PISTON ALTERNATIF, D'UNE CYLINDREE EXCEDANT 50 CM³ MAIS N'EXCEDANT PAS 250</v>
      </c>
      <c r="C10764" s="4">
        <v>711051</v>
      </c>
      <c r="D10764" s="4">
        <v>1141197424</v>
      </c>
    </row>
    <row r="10765" spans="1:4" x14ac:dyDescent="0.25">
      <c r="A10765" t="str">
        <f>T("   871130")</f>
        <v xml:space="preserve">   871130</v>
      </c>
      <c r="B10765" t="str">
        <f>T("   A MOTEUR A PISTON ALTERNATIF, D'UNE CYLINDREE EXCEDANT 250 CM³ MAIS N'EXCEDANT PAS 50")</f>
        <v xml:space="preserve">   A MOTEUR A PISTON ALTERNATIF, D'UNE CYLINDREE EXCEDANT 250 CM³ MAIS N'EXCEDANT PAS 50</v>
      </c>
      <c r="C10765" s="4">
        <v>16690</v>
      </c>
      <c r="D10765" s="4">
        <v>19921127</v>
      </c>
    </row>
    <row r="10766" spans="1:4" x14ac:dyDescent="0.25">
      <c r="A10766" t="str">
        <f>T("   871200")</f>
        <v xml:space="preserve">   871200</v>
      </c>
      <c r="B10766" t="str">
        <f>T("   BICYCLETTES ET AUTRES CYCLES (Y COMPRIS LES TRIPORTEURS), SANS MOTEUR.")</f>
        <v xml:space="preserve">   BICYCLETTES ET AUTRES CYCLES (Y COMPRIS LES TRIPORTEURS), SANS MOTEUR.</v>
      </c>
      <c r="C10766" s="4">
        <v>8945</v>
      </c>
      <c r="D10766" s="4">
        <v>3100916</v>
      </c>
    </row>
    <row r="10767" spans="1:4" x14ac:dyDescent="0.25">
      <c r="A10767" t="str">
        <f>T("   871411")</f>
        <v xml:space="preserve">   871411</v>
      </c>
      <c r="B10767" t="str">
        <f>T("   SELLES")</f>
        <v xml:space="preserve">   SELLES</v>
      </c>
      <c r="C10767" s="4">
        <v>21210</v>
      </c>
      <c r="D10767" s="4">
        <v>18568381</v>
      </c>
    </row>
    <row r="10768" spans="1:4" x14ac:dyDescent="0.25">
      <c r="A10768" t="str">
        <f>T("   871419")</f>
        <v xml:space="preserve">   871419</v>
      </c>
      <c r="B10768" t="str">
        <f>T("   AUTRES PARTIES ET ACCESSOIRES DE MOTOCYCLES")</f>
        <v xml:space="preserve">   AUTRES PARTIES ET ACCESSOIRES DE MOTOCYCLES</v>
      </c>
      <c r="C10768" s="4">
        <v>25070</v>
      </c>
      <c r="D10768" s="4">
        <v>4007073</v>
      </c>
    </row>
    <row r="10769" spans="1:4" x14ac:dyDescent="0.25">
      <c r="A10769" t="str">
        <f>T("   871495")</f>
        <v xml:space="preserve">   871495</v>
      </c>
      <c r="B10769" t="str">
        <f>T("   Selles")</f>
        <v xml:space="preserve">   Selles</v>
      </c>
      <c r="C10769" s="4">
        <v>40</v>
      </c>
      <c r="D10769" s="4">
        <v>660700</v>
      </c>
    </row>
    <row r="10770" spans="1:4" x14ac:dyDescent="0.25">
      <c r="A10770" t="str">
        <f>T("   871496")</f>
        <v xml:space="preserve">   871496</v>
      </c>
      <c r="B10770" t="str">
        <f>T("   PEDALES ET PEDALIERS, ET LEURS PARTIES")</f>
        <v xml:space="preserve">   PEDALES ET PEDALIERS, ET LEURS PARTIES</v>
      </c>
      <c r="C10770" s="4">
        <v>81</v>
      </c>
      <c r="D10770" s="4">
        <v>667854</v>
      </c>
    </row>
    <row r="10771" spans="1:4" x14ac:dyDescent="0.25">
      <c r="A10771" t="str">
        <f>T("   871499")</f>
        <v xml:space="preserve">   871499</v>
      </c>
      <c r="B10771" t="str">
        <f>T("   AUTRES")</f>
        <v xml:space="preserve">   AUTRES</v>
      </c>
      <c r="C10771" s="4">
        <v>2560.1</v>
      </c>
      <c r="D10771" s="4">
        <v>23014595</v>
      </c>
    </row>
    <row r="10772" spans="1:4" x14ac:dyDescent="0.25">
      <c r="A10772" t="str">
        <f>T("   871620")</f>
        <v xml:space="preserve">   871620</v>
      </c>
      <c r="B10772" t="str">
        <f>T("   REMORQUES ET SEMIREMORQUES AUTOCHARGEUSES OU AUTODECHARGEUSES, POUR USAGES AGRICOLES")</f>
        <v xml:space="preserve">   REMORQUES ET SEMIREMORQUES AUTOCHARGEUSES OU AUTODECHARGEUSES, POUR USAGES AGRICOLES</v>
      </c>
      <c r="C10772" s="4">
        <v>929115</v>
      </c>
      <c r="D10772" s="4">
        <v>176571808</v>
      </c>
    </row>
    <row r="10773" spans="1:4" x14ac:dyDescent="0.25">
      <c r="A10773" t="str">
        <f>T("   871631")</f>
        <v xml:space="preserve">   871631</v>
      </c>
      <c r="B10773" t="str">
        <f>T("   CITERNES")</f>
        <v xml:space="preserve">   CITERNES</v>
      </c>
      <c r="C10773" s="4">
        <v>106985</v>
      </c>
      <c r="D10773" s="4">
        <v>18070297</v>
      </c>
    </row>
    <row r="10774" spans="1:4" x14ac:dyDescent="0.25">
      <c r="A10774" t="str">
        <f>T("   871639")</f>
        <v xml:space="preserve">   871639</v>
      </c>
      <c r="B10774" t="str">
        <f>T("   AUTRES")</f>
        <v xml:space="preserve">   AUTRES</v>
      </c>
      <c r="C10774" s="4">
        <v>160735</v>
      </c>
      <c r="D10774" s="4">
        <v>14871312</v>
      </c>
    </row>
    <row r="10775" spans="1:4" x14ac:dyDescent="0.25">
      <c r="A10775" t="str">
        <f>T("   871640")</f>
        <v xml:space="preserve">   871640</v>
      </c>
      <c r="B10775" t="str">
        <f>T("   AUTRES REMORQUES ET SEMIREMORQUES")</f>
        <v xml:space="preserve">   AUTRES REMORQUES ET SEMIREMORQUES</v>
      </c>
      <c r="C10775" s="4">
        <v>41110</v>
      </c>
      <c r="D10775" s="4">
        <v>11603841</v>
      </c>
    </row>
    <row r="10776" spans="1:4" x14ac:dyDescent="0.25">
      <c r="A10776" t="str">
        <f>T("   871690")</f>
        <v xml:space="preserve">   871690</v>
      </c>
      <c r="B10776" t="str">
        <f>T("   PARTIES")</f>
        <v xml:space="preserve">   PARTIES</v>
      </c>
      <c r="C10776" s="4">
        <v>110.5</v>
      </c>
      <c r="D10776" s="4">
        <v>917838</v>
      </c>
    </row>
    <row r="10777" spans="1:4" x14ac:dyDescent="0.25">
      <c r="A10777" t="str">
        <f>T("   890399")</f>
        <v xml:space="preserve">   890399</v>
      </c>
      <c r="B10777" t="str">
        <f>T("   AUTRES")</f>
        <v xml:space="preserve">   AUTRES</v>
      </c>
      <c r="C10777" s="4">
        <v>80</v>
      </c>
      <c r="D10777" s="4">
        <v>673401</v>
      </c>
    </row>
    <row r="10778" spans="1:4" x14ac:dyDescent="0.25">
      <c r="A10778" t="str">
        <f>T("   900580")</f>
        <v xml:space="preserve">   900580</v>
      </c>
      <c r="B10778" t="str">
        <f>T("   AUTRES INSTRUMENTS")</f>
        <v xml:space="preserve">   AUTRES INSTRUMENTS</v>
      </c>
      <c r="C10778" s="4">
        <v>1000</v>
      </c>
      <c r="D10778" s="4">
        <v>500000</v>
      </c>
    </row>
    <row r="10779" spans="1:4" x14ac:dyDescent="0.25">
      <c r="A10779" t="str">
        <f>T("   901820")</f>
        <v xml:space="preserve">   901820</v>
      </c>
      <c r="B10779" t="str">
        <f>T("   APPAREILS A RAYONS ULTRAVIOLETS OU INFRAROUGES")</f>
        <v xml:space="preserve">   APPAREILS A RAYONS ULTRAVIOLETS OU INFRAROUGES</v>
      </c>
      <c r="C10779" s="4">
        <v>11110</v>
      </c>
      <c r="D10779" s="4">
        <v>1659042</v>
      </c>
    </row>
    <row r="10780" spans="1:4" x14ac:dyDescent="0.25">
      <c r="A10780" t="str">
        <f>T("   901839")</f>
        <v xml:space="preserve">   901839</v>
      </c>
      <c r="B10780" t="str">
        <f>T("   AUTRES")</f>
        <v xml:space="preserve">   AUTRES</v>
      </c>
      <c r="C10780" s="4">
        <v>1093</v>
      </c>
      <c r="D10780" s="4">
        <v>26494800</v>
      </c>
    </row>
    <row r="10781" spans="1:4" x14ac:dyDescent="0.25">
      <c r="A10781" t="str">
        <f>T("   901890")</f>
        <v xml:space="preserve">   901890</v>
      </c>
      <c r="B10781" t="str">
        <f>T("   AUTRES INSTRUMENTS ET APPAREILS")</f>
        <v xml:space="preserve">   AUTRES INSTRUMENTS ET APPAREILS</v>
      </c>
      <c r="C10781" s="4">
        <v>101968</v>
      </c>
      <c r="D10781" s="4">
        <v>18650037</v>
      </c>
    </row>
    <row r="10782" spans="1:4" x14ac:dyDescent="0.25">
      <c r="A10782" t="str">
        <f>T("   902139")</f>
        <v xml:space="preserve">   902139</v>
      </c>
      <c r="B10782" t="str">
        <f>T("   AUTRES")</f>
        <v xml:space="preserve">   AUTRES</v>
      </c>
      <c r="C10782" s="4">
        <v>280</v>
      </c>
      <c r="D10782" s="4">
        <v>6076032</v>
      </c>
    </row>
    <row r="10783" spans="1:4" x14ac:dyDescent="0.25">
      <c r="A10783" t="str">
        <f>T("   902230")</f>
        <v xml:space="preserve">   902230</v>
      </c>
      <c r="B10783" t="str">
        <f>T("   TUBES A RAYONS X")</f>
        <v xml:space="preserve">   TUBES A RAYONS X</v>
      </c>
      <c r="C10783" s="4">
        <v>0.7</v>
      </c>
      <c r="D10783" s="4">
        <v>495000</v>
      </c>
    </row>
    <row r="10784" spans="1:4" x14ac:dyDescent="0.25">
      <c r="A10784" t="str">
        <f>T("   902480")</f>
        <v xml:space="preserve">   902480</v>
      </c>
      <c r="B10784" t="str">
        <f>T("   AUTRES MACHINES ET APPAREILS")</f>
        <v xml:space="preserve">   AUTRES MACHINES ET APPAREILS</v>
      </c>
      <c r="C10784" s="4">
        <v>1105</v>
      </c>
      <c r="D10784" s="4">
        <v>376002</v>
      </c>
    </row>
    <row r="10785" spans="1:4" x14ac:dyDescent="0.25">
      <c r="A10785" t="str">
        <f>T("   902780")</f>
        <v xml:space="preserve">   902780</v>
      </c>
      <c r="B10785" t="str">
        <f>T("   AUTRES INSTRUMENTS ET APPAREILS")</f>
        <v xml:space="preserve">   AUTRES INSTRUMENTS ET APPAREILS</v>
      </c>
      <c r="C10785" s="4">
        <v>4957</v>
      </c>
      <c r="D10785" s="4">
        <v>165945252</v>
      </c>
    </row>
    <row r="10786" spans="1:4" x14ac:dyDescent="0.25">
      <c r="A10786" t="str">
        <f>T("   902820")</f>
        <v xml:space="preserve">   902820</v>
      </c>
      <c r="B10786" t="str">
        <f>T("   Compteurs de liquides")</f>
        <v xml:space="preserve">   Compteurs de liquides</v>
      </c>
      <c r="C10786" s="4">
        <v>2880</v>
      </c>
      <c r="D10786" s="4">
        <v>700000</v>
      </c>
    </row>
    <row r="10787" spans="1:4" x14ac:dyDescent="0.25">
      <c r="A10787" t="str">
        <f>T("   902830")</f>
        <v xml:space="preserve">   902830</v>
      </c>
      <c r="B10787" t="str">
        <f>T("   COMPTEURS D'ELECTRICITE")</f>
        <v xml:space="preserve">   COMPTEURS D'ELECTRICITE</v>
      </c>
      <c r="C10787" s="4">
        <v>1316</v>
      </c>
      <c r="D10787" s="4">
        <v>309963</v>
      </c>
    </row>
    <row r="10788" spans="1:4" x14ac:dyDescent="0.25">
      <c r="A10788" t="str">
        <f>T("   920600")</f>
        <v xml:space="preserve">   920600</v>
      </c>
      <c r="B10788" t="str">
        <f>T("   INSTRUMENTS DE MUSIQUE A PERCUSSION (TAMBOURS, CAISSES, XYLOPHONES, CYMBALES, CASTAGNET")</f>
        <v xml:space="preserve">   INSTRUMENTS DE MUSIQUE A PERCUSSION (TAMBOURS, CAISSES, XYLOPHONES, CYMBALES, CASTAGNET</v>
      </c>
      <c r="C10788" s="4">
        <v>20</v>
      </c>
      <c r="D10788" s="4">
        <v>16938</v>
      </c>
    </row>
    <row r="10789" spans="1:4" x14ac:dyDescent="0.25">
      <c r="A10789" t="str">
        <f>T("   920890")</f>
        <v xml:space="preserve">   920890</v>
      </c>
      <c r="B10789" t="str">
        <f>T("   AUTRES")</f>
        <v xml:space="preserve">   AUTRES</v>
      </c>
      <c r="C10789" s="4">
        <v>3090</v>
      </c>
      <c r="D10789" s="4">
        <v>819214</v>
      </c>
    </row>
    <row r="10790" spans="1:4" x14ac:dyDescent="0.25">
      <c r="A10790" t="str">
        <f>T("   940159")</f>
        <v xml:space="preserve">   940159</v>
      </c>
      <c r="B10790" t="str">
        <f>T("   AUTRES")</f>
        <v xml:space="preserve">   AUTRES</v>
      </c>
      <c r="C10790" s="4">
        <v>1420</v>
      </c>
      <c r="D10790" s="4">
        <v>220000</v>
      </c>
    </row>
    <row r="10791" spans="1:4" x14ac:dyDescent="0.25">
      <c r="A10791" t="str">
        <f>T("   940161")</f>
        <v xml:space="preserve">   940161</v>
      </c>
      <c r="B10791" t="str">
        <f>T("   REMBOURRES")</f>
        <v xml:space="preserve">   REMBOURRES</v>
      </c>
      <c r="C10791" s="4">
        <v>500</v>
      </c>
      <c r="D10791" s="4">
        <v>43692</v>
      </c>
    </row>
    <row r="10792" spans="1:4" x14ac:dyDescent="0.25">
      <c r="A10792" t="str">
        <f>T("   940179")</f>
        <v xml:space="preserve">   940179</v>
      </c>
      <c r="B10792" t="str">
        <f>T("   AUTRES")</f>
        <v xml:space="preserve">   AUTRES</v>
      </c>
      <c r="C10792" s="4">
        <v>160</v>
      </c>
      <c r="D10792" s="4">
        <v>64833</v>
      </c>
    </row>
    <row r="10793" spans="1:4" x14ac:dyDescent="0.25">
      <c r="A10793" t="str">
        <f>T("   940180")</f>
        <v xml:space="preserve">   940180</v>
      </c>
      <c r="B10793" t="str">
        <f>T("   AUTRES SIEGES")</f>
        <v xml:space="preserve">   AUTRES SIEGES</v>
      </c>
      <c r="C10793" s="4">
        <v>50742</v>
      </c>
      <c r="D10793" s="4">
        <v>11720328</v>
      </c>
    </row>
    <row r="10794" spans="1:4" x14ac:dyDescent="0.25">
      <c r="A10794" t="str">
        <f>T("   940310")</f>
        <v xml:space="preserve">   940310</v>
      </c>
      <c r="B10794" t="str">
        <f>T("   MEUBLES EN METAL DES TYPES UTILISES DANS LES BUREAUX")</f>
        <v xml:space="preserve">   MEUBLES EN METAL DES TYPES UTILISES DANS LES BUREAUX</v>
      </c>
      <c r="C10794" s="4">
        <v>1684</v>
      </c>
      <c r="D10794" s="4">
        <v>632195</v>
      </c>
    </row>
    <row r="10795" spans="1:4" x14ac:dyDescent="0.25">
      <c r="A10795" t="str">
        <f>T("   940320")</f>
        <v xml:space="preserve">   940320</v>
      </c>
      <c r="B10795" t="str">
        <f>T("   AUTRES MEUBLES EN METAL")</f>
        <v xml:space="preserve">   AUTRES MEUBLES EN METAL</v>
      </c>
      <c r="C10795" s="4">
        <v>10</v>
      </c>
      <c r="D10795" s="4">
        <v>21846</v>
      </c>
    </row>
    <row r="10796" spans="1:4" x14ac:dyDescent="0.25">
      <c r="A10796" t="str">
        <f>T("   940330")</f>
        <v xml:space="preserve">   940330</v>
      </c>
      <c r="B10796" t="str">
        <f>T("   MEUBLES EN BOIS DES TYPES UTILISES DANS LES BUREAUX")</f>
        <v xml:space="preserve">   MEUBLES EN BOIS DES TYPES UTILISES DANS LES BUREAUX</v>
      </c>
      <c r="C10796" s="4">
        <v>5970</v>
      </c>
      <c r="D10796" s="4">
        <v>1801846</v>
      </c>
    </row>
    <row r="10797" spans="1:4" x14ac:dyDescent="0.25">
      <c r="A10797" t="str">
        <f>T("   940340")</f>
        <v xml:space="preserve">   940340</v>
      </c>
      <c r="B10797" t="str">
        <f>T("   MEUBLES EN BOIS DES TYPES UTILISES DANS LES CUISINES")</f>
        <v xml:space="preserve">   MEUBLES EN BOIS DES TYPES UTILISES DANS LES CUISINES</v>
      </c>
      <c r="C10797" s="4">
        <v>850</v>
      </c>
      <c r="D10797" s="4">
        <v>302539</v>
      </c>
    </row>
    <row r="10798" spans="1:4" x14ac:dyDescent="0.25">
      <c r="A10798" t="str">
        <f>T("   940350")</f>
        <v xml:space="preserve">   940350</v>
      </c>
      <c r="B10798" t="str">
        <f>T("   MEUBLES EN BOIS DES TYPES UTILISES DANS LES CHAMBRES A COUCHER")</f>
        <v xml:space="preserve">   MEUBLES EN BOIS DES TYPES UTILISES DANS LES CHAMBRES A COUCHER</v>
      </c>
      <c r="C10798" s="4">
        <v>77000</v>
      </c>
      <c r="D10798" s="4">
        <v>15836503</v>
      </c>
    </row>
    <row r="10799" spans="1:4" x14ac:dyDescent="0.25">
      <c r="A10799" t="str">
        <f>T("   940360")</f>
        <v xml:space="preserve">   940360</v>
      </c>
      <c r="B10799" t="str">
        <f>T("   Autres meubles en bois")</f>
        <v xml:space="preserve">   Autres meubles en bois</v>
      </c>
      <c r="C10799" s="4">
        <v>199218</v>
      </c>
      <c r="D10799" s="4">
        <v>68776903</v>
      </c>
    </row>
    <row r="10800" spans="1:4" x14ac:dyDescent="0.25">
      <c r="A10800" t="str">
        <f>T("   940370")</f>
        <v xml:space="preserve">   940370</v>
      </c>
      <c r="B10800" t="str">
        <f>T("   MEUBLES EN MATIERES PLASTIQUES")</f>
        <v xml:space="preserve">   MEUBLES EN MATIERES PLASTIQUES</v>
      </c>
      <c r="C10800" s="4">
        <v>900</v>
      </c>
      <c r="D10800" s="4">
        <v>324148</v>
      </c>
    </row>
    <row r="10801" spans="1:4" x14ac:dyDescent="0.25">
      <c r="A10801" t="str">
        <f>T("   940389")</f>
        <v xml:space="preserve">   940389</v>
      </c>
      <c r="B10801" t="str">
        <f>T("   AUTRES")</f>
        <v xml:space="preserve">   AUTRES</v>
      </c>
      <c r="C10801" s="4">
        <v>1400</v>
      </c>
      <c r="D10801" s="4">
        <v>1054615</v>
      </c>
    </row>
    <row r="10802" spans="1:4" x14ac:dyDescent="0.25">
      <c r="A10802" t="str">
        <f>T("   940421")</f>
        <v xml:space="preserve">   940421</v>
      </c>
      <c r="B10802" t="str">
        <f>T("   EN CAOUTCHOUC ALVEOLAIRE OU EN MATIERES PLASTIQUES ALVEOLAIRES, RECOUVERTS OU NON")</f>
        <v xml:space="preserve">   EN CAOUTCHOUC ALVEOLAIRE OU EN MATIERES PLASTIQUES ALVEOLAIRES, RECOUVERTS OU NON</v>
      </c>
      <c r="C10802" s="4">
        <v>15750</v>
      </c>
      <c r="D10802" s="4">
        <v>7666320</v>
      </c>
    </row>
    <row r="10803" spans="1:4" x14ac:dyDescent="0.25">
      <c r="A10803" t="str">
        <f>T("   940429")</f>
        <v xml:space="preserve">   940429</v>
      </c>
      <c r="B10803" t="str">
        <f>T("   EN AUTRES MATIERES")</f>
        <v xml:space="preserve">   EN AUTRES MATIERES</v>
      </c>
      <c r="C10803" s="4">
        <v>460</v>
      </c>
      <c r="D10803" s="4">
        <v>396122</v>
      </c>
    </row>
    <row r="10804" spans="1:4" x14ac:dyDescent="0.25">
      <c r="A10804" t="str">
        <f>T("   940490")</f>
        <v xml:space="preserve">   940490</v>
      </c>
      <c r="B10804" t="str">
        <f>T("   AUTRES")</f>
        <v xml:space="preserve">   AUTRES</v>
      </c>
      <c r="C10804" s="4">
        <v>5700</v>
      </c>
      <c r="D10804" s="4">
        <v>2360000</v>
      </c>
    </row>
    <row r="10805" spans="1:4" x14ac:dyDescent="0.25">
      <c r="A10805" t="str">
        <f>T("   940520")</f>
        <v xml:space="preserve">   940520</v>
      </c>
      <c r="B10805" t="str">
        <f>T("   LAMPES DE CHEVET, LAMPES DE BUREAU ET LAMPADAIRES D'INTERIEUR, ELECTRIQUES")</f>
        <v xml:space="preserve">   LAMPES DE CHEVET, LAMPES DE BUREAU ET LAMPADAIRES D'INTERIEUR, ELECTRIQUES</v>
      </c>
      <c r="C10805" s="4">
        <v>210</v>
      </c>
      <c r="D10805" s="4">
        <v>561996</v>
      </c>
    </row>
    <row r="10806" spans="1:4" x14ac:dyDescent="0.25">
      <c r="A10806" t="str">
        <f>T("   950430")</f>
        <v xml:space="preserve">   950430</v>
      </c>
      <c r="B10806" t="str">
        <f>T("   AUTRES JEUX FONCTIONNANT PAR L'INTRODUCTION D'UNE PIECE DE MONNAIE, D'UN BILLET DE BA")</f>
        <v xml:space="preserve">   AUTRES JEUX FONCTIONNANT PAR L'INTRODUCTION D'UNE PIECE DE MONNAIE, D'UN BILLET DE BA</v>
      </c>
      <c r="C10806" s="4">
        <v>3422</v>
      </c>
      <c r="D10806" s="4">
        <v>56570768</v>
      </c>
    </row>
    <row r="10807" spans="1:4" x14ac:dyDescent="0.25">
      <c r="A10807" t="str">
        <f>T("   950440")</f>
        <v xml:space="preserve">   950440</v>
      </c>
      <c r="B10807" t="str">
        <f>T("   CARTES A JOUER")</f>
        <v xml:space="preserve">   CARTES A JOUER</v>
      </c>
      <c r="C10807" s="4">
        <v>150</v>
      </c>
      <c r="D10807" s="4">
        <v>43223</v>
      </c>
    </row>
    <row r="10808" spans="1:4" x14ac:dyDescent="0.25">
      <c r="A10808" t="str">
        <f>T("   950490")</f>
        <v xml:space="preserve">   950490</v>
      </c>
      <c r="B10808" t="str">
        <f>T("   AUTRES")</f>
        <v xml:space="preserve">   AUTRES</v>
      </c>
      <c r="C10808" s="4">
        <v>14980</v>
      </c>
      <c r="D10808" s="4">
        <v>51516531</v>
      </c>
    </row>
    <row r="10809" spans="1:4" x14ac:dyDescent="0.25">
      <c r="A10809" t="str">
        <f>T("   960321")</f>
        <v xml:space="preserve">   960321</v>
      </c>
      <c r="B10809" t="str">
        <f>T("   BROSSES A DENTS, Y COMPRIS LES BROSSES A DENTIERS")</f>
        <v xml:space="preserve">   BROSSES A DENTS, Y COMPRIS LES BROSSES A DENTIERS</v>
      </c>
      <c r="C10809" s="4">
        <v>2158</v>
      </c>
      <c r="D10809" s="4">
        <v>1206769</v>
      </c>
    </row>
    <row r="10810" spans="1:4" x14ac:dyDescent="0.25">
      <c r="A10810" t="str">
        <f>T("   960329")</f>
        <v xml:space="preserve">   960329</v>
      </c>
      <c r="B10810" t="str">
        <f>T("   AUTRES")</f>
        <v xml:space="preserve">   AUTRES</v>
      </c>
      <c r="C10810" s="4">
        <v>2381</v>
      </c>
      <c r="D10810" s="4">
        <v>1480140</v>
      </c>
    </row>
    <row r="10811" spans="1:4" x14ac:dyDescent="0.25">
      <c r="A10811" t="str">
        <f>T("   960340")</f>
        <v xml:space="preserve">   960340</v>
      </c>
      <c r="B10811" t="str">
        <f>T("   BROSSES ET PINCEAUX A PEINDRE, A BADIGEONNER, A VERNIR OU SIMILAIRES (AUTRES QUE LES")</f>
        <v xml:space="preserve">   BROSSES ET PINCEAUX A PEINDRE, A BADIGEONNER, A VERNIR OU SIMILAIRES (AUTRES QUE LES</v>
      </c>
      <c r="C10811" s="4">
        <v>940</v>
      </c>
      <c r="D10811" s="4">
        <v>480611</v>
      </c>
    </row>
    <row r="10812" spans="1:4" x14ac:dyDescent="0.25">
      <c r="A10812" t="str">
        <f>T("   960610")</f>
        <v xml:space="preserve">   960610</v>
      </c>
      <c r="B10812" t="str">
        <f>T("   BOUTONSPRESSION ET LEURS PARTIES")</f>
        <v xml:space="preserve">   BOUTONSPRESSION ET LEURS PARTIES</v>
      </c>
      <c r="C10812" s="4">
        <v>50</v>
      </c>
      <c r="D10812" s="4">
        <v>43692</v>
      </c>
    </row>
    <row r="10813" spans="1:4" x14ac:dyDescent="0.25">
      <c r="A10813" t="str">
        <f>T("   960629")</f>
        <v xml:space="preserve">   960629</v>
      </c>
      <c r="B10813" t="str">
        <f>T("   AUTRES")</f>
        <v xml:space="preserve">   AUTRES</v>
      </c>
      <c r="C10813" s="4">
        <v>400</v>
      </c>
      <c r="D10813" s="4">
        <v>98307</v>
      </c>
    </row>
    <row r="10814" spans="1:4" x14ac:dyDescent="0.25">
      <c r="A10814" t="str">
        <f>T("   960719")</f>
        <v xml:space="preserve">   960719</v>
      </c>
      <c r="B10814" t="str">
        <f>T("   AUTRES")</f>
        <v xml:space="preserve">   AUTRES</v>
      </c>
      <c r="C10814" s="4">
        <v>200</v>
      </c>
      <c r="D10814" s="4">
        <v>21846</v>
      </c>
    </row>
    <row r="10815" spans="1:4" x14ac:dyDescent="0.25">
      <c r="A10815" t="str">
        <f>T("   960810")</f>
        <v xml:space="preserve">   960810</v>
      </c>
      <c r="B10815" t="str">
        <f>T("   STYLOS ET CRAYONS A BILLE")</f>
        <v xml:space="preserve">   STYLOS ET CRAYONS A BILLE</v>
      </c>
      <c r="C10815" s="4">
        <v>12387</v>
      </c>
      <c r="D10815" s="4">
        <v>2829556</v>
      </c>
    </row>
    <row r="10816" spans="1:4" x14ac:dyDescent="0.25">
      <c r="A10816" t="str">
        <f>T("   961590")</f>
        <v xml:space="preserve">   961590</v>
      </c>
      <c r="B10816" t="str">
        <f>T("   AUTRES")</f>
        <v xml:space="preserve">   AUTRES</v>
      </c>
      <c r="C10816" s="4">
        <v>120</v>
      </c>
      <c r="D10816" s="4">
        <v>21846</v>
      </c>
    </row>
    <row r="10817" spans="1:4" x14ac:dyDescent="0.25">
      <c r="A10817" t="str">
        <f>T("   961700")</f>
        <v xml:space="preserve">   961700</v>
      </c>
      <c r="B10817" t="str">
        <f>T("   BOUTEILLES ISOLANTES ET AUTRES RECIPIENTS ISOTHERMIQUES MONTES, DONT L'ISOLATION EST AS")</f>
        <v xml:space="preserve">   BOUTEILLES ISOLANTES ET AUTRES RECIPIENTS ISOTHERMIQUES MONTES, DONT L'ISOLATION EST AS</v>
      </c>
      <c r="C10817" s="4">
        <v>891792</v>
      </c>
      <c r="D10817" s="4">
        <v>11044586</v>
      </c>
    </row>
    <row r="10818" spans="1:4" x14ac:dyDescent="0.25">
      <c r="A10818" t="str">
        <f>T("   961800")</f>
        <v xml:space="preserve">   961800</v>
      </c>
      <c r="B10818" t="str">
        <f>T("   MANNEQUINS ET ARTICLES SIMILAIRES; AUTOMATES ET SCENES ANIMEES POUR ETALAGES.")</f>
        <v xml:space="preserve">   MANNEQUINS ET ARTICLES SIMILAIRES; AUTOMATES ET SCENES ANIMEES POUR ETALAGES.</v>
      </c>
      <c r="C10818" s="4">
        <v>2010</v>
      </c>
      <c r="D10818" s="4">
        <v>447869</v>
      </c>
    </row>
    <row r="10819" spans="1:4" x14ac:dyDescent="0.25">
      <c r="A10819" t="str">
        <f>T("   970190")</f>
        <v xml:space="preserve">   970190</v>
      </c>
      <c r="B10819" t="str">
        <f>T("   AUTRES")</f>
        <v xml:space="preserve">   AUTRES</v>
      </c>
      <c r="C10819" s="4">
        <v>100</v>
      </c>
      <c r="D10819" s="4">
        <v>32769</v>
      </c>
    </row>
    <row r="10820" spans="1:4" s="5" customFormat="1" x14ac:dyDescent="0.25">
      <c r="A10820" s="5" t="str">
        <f>T("   ZZ_Total_Produit_SH6")</f>
        <v xml:space="preserve">   ZZ_Total_Produit_SH6</v>
      </c>
      <c r="B10820" s="5" t="str">
        <f>T("   ZZ_Total_Produit_SH6")</f>
        <v xml:space="preserve">   ZZ_Total_Produit_SH6</v>
      </c>
      <c r="C10820" s="1">
        <v>263726869.30000001</v>
      </c>
      <c r="D10820" s="1">
        <v>123289793030.076</v>
      </c>
    </row>
    <row r="10821" spans="1:4" s="5" customFormat="1" x14ac:dyDescent="0.25">
      <c r="B10821" s="5" t="str">
        <f>T("Thaïlande")</f>
        <v>Thaïlande</v>
      </c>
      <c r="C10821" s="1"/>
      <c r="D10821" s="1"/>
    </row>
    <row r="10822" spans="1:4" x14ac:dyDescent="0.25">
      <c r="A10822" t="str">
        <f>T("   030219")</f>
        <v xml:space="preserve">   030219</v>
      </c>
      <c r="B10822" t="str">
        <f>T("   AUTRES")</f>
        <v xml:space="preserve">   AUTRES</v>
      </c>
      <c r="C10822" s="4">
        <v>595000</v>
      </c>
      <c r="D10822" s="4">
        <v>238000000</v>
      </c>
    </row>
    <row r="10823" spans="1:4" x14ac:dyDescent="0.25">
      <c r="A10823" t="str">
        <f>T("   030269")</f>
        <v xml:space="preserve">   030269</v>
      </c>
      <c r="B10823" t="str">
        <f>T("   Autres poissons entiers,frais ou refrigeres.(foies,oeufs laitances exclus)")</f>
        <v xml:space="preserve">   Autres poissons entiers,frais ou refrigeres.(foies,oeufs laitances exclus)</v>
      </c>
      <c r="C10823" s="4">
        <v>105000</v>
      </c>
      <c r="D10823" s="4">
        <v>42000000</v>
      </c>
    </row>
    <row r="10824" spans="1:4" x14ac:dyDescent="0.25">
      <c r="A10824" t="str">
        <f>T("   040221")</f>
        <v xml:space="preserve">   040221</v>
      </c>
      <c r="B10824" t="str">
        <f>T("   SANS ADDITION DE SUCRE OU D'AUTRES EDULCORANTS")</f>
        <v xml:space="preserve">   SANS ADDITION DE SUCRE OU D'AUTRES EDULCORANTS</v>
      </c>
      <c r="C10824" s="4">
        <v>41720</v>
      </c>
      <c r="D10824" s="4">
        <v>69971253</v>
      </c>
    </row>
    <row r="10825" spans="1:4" x14ac:dyDescent="0.25">
      <c r="A10825" t="str">
        <f>T("   040390")</f>
        <v xml:space="preserve">   040390</v>
      </c>
      <c r="B10825" t="str">
        <f>T("   AUTRES")</f>
        <v xml:space="preserve">   AUTRES</v>
      </c>
      <c r="C10825" s="4">
        <v>18410</v>
      </c>
      <c r="D10825" s="4">
        <v>3729241</v>
      </c>
    </row>
    <row r="10826" spans="1:4" x14ac:dyDescent="0.25">
      <c r="A10826" t="str">
        <f>T("   100610")</f>
        <v xml:space="preserve">   100610</v>
      </c>
      <c r="B10826" t="str">
        <f>T("   RIZ EN PAILLE (RIZ PADDY)")</f>
        <v xml:space="preserve">   RIZ EN PAILLE (RIZ PADDY)</v>
      </c>
      <c r="C10826" s="4">
        <v>807813</v>
      </c>
      <c r="D10826" s="4">
        <v>142628087</v>
      </c>
    </row>
    <row r="10827" spans="1:4" x14ac:dyDescent="0.25">
      <c r="A10827" t="str">
        <f>T("   100620")</f>
        <v xml:space="preserve">   100620</v>
      </c>
      <c r="B10827" t="str">
        <f>T("   RIZ DECORTIQUE (RIZ CARGO OU RIZ BRUN)")</f>
        <v xml:space="preserve">   RIZ DECORTIQUE (RIZ CARGO OU RIZ BRUN)</v>
      </c>
      <c r="C10827" s="4">
        <v>26879624</v>
      </c>
      <c r="D10827" s="4">
        <v>8875991184.0610008</v>
      </c>
    </row>
    <row r="10828" spans="1:4" x14ac:dyDescent="0.25">
      <c r="A10828" t="str">
        <f>T("   100630")</f>
        <v xml:space="preserve">   100630</v>
      </c>
      <c r="B10828" t="str">
        <f>T("   RIZ SEMIBLANCHI OU BLANCHI, MEME POLI OU GLACE")</f>
        <v xml:space="preserve">   RIZ SEMIBLANCHI OU BLANCHI, MEME POLI OU GLACE</v>
      </c>
      <c r="C10828" s="4">
        <v>41546427</v>
      </c>
      <c r="D10828" s="4">
        <v>7991624003</v>
      </c>
    </row>
    <row r="10829" spans="1:4" x14ac:dyDescent="0.25">
      <c r="A10829" t="str">
        <f>T("   100640")</f>
        <v xml:space="preserve">   100640</v>
      </c>
      <c r="B10829" t="str">
        <f>T("   RIZ EN BRISURES")</f>
        <v xml:space="preserve">   RIZ EN BRISURES</v>
      </c>
      <c r="C10829" s="4">
        <v>543689900.5</v>
      </c>
      <c r="D10829" s="4">
        <v>201853808058.362</v>
      </c>
    </row>
    <row r="10830" spans="1:4" x14ac:dyDescent="0.25">
      <c r="A10830" t="str">
        <f>T("   110100")</f>
        <v xml:space="preserve">   110100</v>
      </c>
      <c r="B10830" t="str">
        <f>T("   FARINES DE FROMENT (BLE) OU DE METEIL.")</f>
        <v xml:space="preserve">   FARINES DE FROMENT (BLE) OU DE METEIL.</v>
      </c>
      <c r="C10830" s="4">
        <v>480000</v>
      </c>
      <c r="D10830" s="4">
        <v>128056477.454</v>
      </c>
    </row>
    <row r="10831" spans="1:4" x14ac:dyDescent="0.25">
      <c r="A10831" t="str">
        <f>T("   150890")</f>
        <v xml:space="preserve">   150890</v>
      </c>
      <c r="B10831" t="str">
        <f>T("   AUTRES")</f>
        <v xml:space="preserve">   AUTRES</v>
      </c>
      <c r="C10831" s="4">
        <v>66000</v>
      </c>
      <c r="D10831" s="4">
        <v>16500000</v>
      </c>
    </row>
    <row r="10832" spans="1:4" x14ac:dyDescent="0.25">
      <c r="A10832" t="str">
        <f>T("   151190")</f>
        <v xml:space="preserve">   151190</v>
      </c>
      <c r="B10832" t="str">
        <f>T("   AUTRES")</f>
        <v xml:space="preserve">   AUTRES</v>
      </c>
      <c r="C10832" s="4">
        <v>412600</v>
      </c>
      <c r="D10832" s="4">
        <v>155673556.697</v>
      </c>
    </row>
    <row r="10833" spans="1:4" x14ac:dyDescent="0.25">
      <c r="A10833" t="str">
        <f>T("   160415")</f>
        <v xml:space="preserve">   160415</v>
      </c>
      <c r="B10833" t="str">
        <f>T("   MAQUEREAUX")</f>
        <v xml:space="preserve">   MAQUEREAUX</v>
      </c>
      <c r="C10833" s="4">
        <v>19136</v>
      </c>
      <c r="D10833" s="4">
        <v>3276898</v>
      </c>
    </row>
    <row r="10834" spans="1:4" x14ac:dyDescent="0.25">
      <c r="A10834" t="str">
        <f>T("   170191")</f>
        <v xml:space="preserve">   170191</v>
      </c>
      <c r="B10834" t="str">
        <f>T("   ADDITIONNES D'AROMATISANTS OU DE COLORANTS")</f>
        <v xml:space="preserve">   ADDITIONNES D'AROMATISANTS OU DE COLORANTS</v>
      </c>
      <c r="C10834" s="4">
        <v>2700000</v>
      </c>
      <c r="D10834" s="4">
        <v>372901704.236</v>
      </c>
    </row>
    <row r="10835" spans="1:4" x14ac:dyDescent="0.25">
      <c r="A10835" t="str">
        <f>T("   170199")</f>
        <v xml:space="preserve">   170199</v>
      </c>
      <c r="B10835" t="str">
        <f>T("   AUTRES")</f>
        <v xml:space="preserve">   AUTRES</v>
      </c>
      <c r="C10835" s="4">
        <v>114000</v>
      </c>
      <c r="D10835" s="4">
        <v>23633171.897</v>
      </c>
    </row>
    <row r="10836" spans="1:4" x14ac:dyDescent="0.25">
      <c r="A10836" t="str">
        <f>T("   200919")</f>
        <v xml:space="preserve">   200919</v>
      </c>
      <c r="B10836" t="str">
        <f>T("   AUTRES")</f>
        <v xml:space="preserve">   AUTRES</v>
      </c>
      <c r="C10836" s="4">
        <v>21007</v>
      </c>
      <c r="D10836" s="4">
        <v>3572800</v>
      </c>
    </row>
    <row r="10837" spans="1:4" x14ac:dyDescent="0.25">
      <c r="A10837" t="str">
        <f>T("   390120")</f>
        <v xml:space="preserve">   390120</v>
      </c>
      <c r="B10837" t="str">
        <f>T("   POLYETHYLENE D'UNE DENSITE EGALE OU SUPERIEURE A 0,94")</f>
        <v xml:space="preserve">   POLYETHYLENE D'UNE DENSITE EGALE OU SUPERIEURE A 0,94</v>
      </c>
      <c r="C10837" s="4">
        <v>17692</v>
      </c>
      <c r="D10837" s="4">
        <v>15400343</v>
      </c>
    </row>
    <row r="10838" spans="1:4" x14ac:dyDescent="0.25">
      <c r="A10838" t="str">
        <f>T("   390210")</f>
        <v xml:space="preserve">   390210</v>
      </c>
      <c r="B10838" t="str">
        <f>T("   POLYPROPYLENE")</f>
        <v xml:space="preserve">   POLYPROPYLENE</v>
      </c>
      <c r="C10838" s="4">
        <v>25500</v>
      </c>
      <c r="D10838" s="4">
        <v>11308882</v>
      </c>
    </row>
    <row r="10839" spans="1:4" x14ac:dyDescent="0.25">
      <c r="A10839" t="str">
        <f>T("   391890")</f>
        <v xml:space="preserve">   391890</v>
      </c>
      <c r="B10839" t="str">
        <f>T("   EN AUTRES MATIERES PLASTIQUES")</f>
        <v xml:space="preserve">   EN AUTRES MATIERES PLASTIQUES</v>
      </c>
      <c r="C10839" s="4">
        <v>26600</v>
      </c>
      <c r="D10839" s="4">
        <v>3664515</v>
      </c>
    </row>
    <row r="10840" spans="1:4" x14ac:dyDescent="0.25">
      <c r="A10840" t="str">
        <f>T("   392390")</f>
        <v xml:space="preserve">   392390</v>
      </c>
      <c r="B10840" t="str">
        <f>T("   AUTRES")</f>
        <v xml:space="preserve">   AUTRES</v>
      </c>
      <c r="C10840" s="4">
        <v>52</v>
      </c>
      <c r="D10840" s="4">
        <v>200000</v>
      </c>
    </row>
    <row r="10841" spans="1:4" x14ac:dyDescent="0.25">
      <c r="A10841" t="str">
        <f>T("   392490")</f>
        <v xml:space="preserve">   392490</v>
      </c>
      <c r="B10841" t="str">
        <f>T("   AUTRES")</f>
        <v xml:space="preserve">   AUTRES</v>
      </c>
      <c r="C10841" s="4">
        <v>6070</v>
      </c>
      <c r="D10841" s="4">
        <v>3889788</v>
      </c>
    </row>
    <row r="10842" spans="1:4" x14ac:dyDescent="0.25">
      <c r="A10842" t="str">
        <f>T("   392690")</f>
        <v xml:space="preserve">   392690</v>
      </c>
      <c r="B10842" t="str">
        <f>T("   AUTRES")</f>
        <v xml:space="preserve">   AUTRES</v>
      </c>
      <c r="C10842" s="4">
        <v>17605</v>
      </c>
      <c r="D10842" s="4">
        <v>4369349</v>
      </c>
    </row>
    <row r="10843" spans="1:4" x14ac:dyDescent="0.25">
      <c r="A10843" t="str">
        <f>T("   401110")</f>
        <v xml:space="preserve">   401110</v>
      </c>
      <c r="B10843" t="str">
        <f>T("   DES TYPES UTILISES POUR LES VOITURES DE TOURISME (Y COMPRIS LES VOITURES DU TYPE «BRE")</f>
        <v xml:space="preserve">   DES TYPES UTILISES POUR LES VOITURES DE TOURISME (Y COMPRIS LES VOITURES DU TYPE «BRE</v>
      </c>
      <c r="C10843" s="4">
        <v>5543</v>
      </c>
      <c r="D10843" s="4">
        <v>21067867</v>
      </c>
    </row>
    <row r="10844" spans="1:4" x14ac:dyDescent="0.25">
      <c r="A10844" t="str">
        <f>T("   481710")</f>
        <v xml:space="preserve">   481710</v>
      </c>
      <c r="B10844" t="str">
        <f>T("   Enveloppes")</f>
        <v xml:space="preserve">   Enveloppes</v>
      </c>
      <c r="C10844" s="4">
        <v>20583</v>
      </c>
      <c r="D10844" s="4">
        <v>3153175</v>
      </c>
    </row>
    <row r="10845" spans="1:4" x14ac:dyDescent="0.25">
      <c r="A10845" t="str">
        <f>T("   481810")</f>
        <v xml:space="preserve">   481810</v>
      </c>
      <c r="B10845" t="str">
        <f>T("   Papier hygienique")</f>
        <v xml:space="preserve">   Papier hygienique</v>
      </c>
      <c r="C10845" s="4">
        <v>11700</v>
      </c>
      <c r="D10845" s="4">
        <v>6990958</v>
      </c>
    </row>
    <row r="10846" spans="1:4" x14ac:dyDescent="0.25">
      <c r="A10846" t="str">
        <f>T("   520819")</f>
        <v xml:space="preserve">   520819</v>
      </c>
      <c r="B10846" t="str">
        <f>T("   AUTRES TISSUS")</f>
        <v xml:space="preserve">   AUTRES TISSUS</v>
      </c>
      <c r="C10846" s="4">
        <v>39448</v>
      </c>
      <c r="D10846" s="4">
        <v>29675000</v>
      </c>
    </row>
    <row r="10847" spans="1:4" x14ac:dyDescent="0.25">
      <c r="A10847" t="str">
        <f>T("   520849")</f>
        <v xml:space="preserve">   520849</v>
      </c>
      <c r="B10847" t="str">
        <f>T("   AUTRES TISSUS")</f>
        <v xml:space="preserve">   AUTRES TISSUS</v>
      </c>
      <c r="C10847" s="4">
        <v>19465</v>
      </c>
      <c r="D10847" s="4">
        <v>10942000</v>
      </c>
    </row>
    <row r="10848" spans="1:4" x14ac:dyDescent="0.25">
      <c r="A10848" t="str">
        <f>T("   520851")</f>
        <v xml:space="preserve">   520851</v>
      </c>
      <c r="B10848" t="str">
        <f>T("   A ARMURE TOILE, D'UN POIDS N'EXCEDANT PAS 100 G/M²")</f>
        <v xml:space="preserve">   A ARMURE TOILE, D'UN POIDS N'EXCEDANT PAS 100 G/M²</v>
      </c>
      <c r="C10848" s="4">
        <v>97307</v>
      </c>
      <c r="D10848" s="4">
        <v>54603684</v>
      </c>
    </row>
    <row r="10849" spans="1:4" x14ac:dyDescent="0.25">
      <c r="A10849" t="str">
        <f>T("   520852")</f>
        <v xml:space="preserve">   520852</v>
      </c>
      <c r="B10849" t="str">
        <f>T("   A ARMURE TOILE, D'UN POIDS EXCEDANT 100 G/M²")</f>
        <v xml:space="preserve">   A ARMURE TOILE, D'UN POIDS EXCEDANT 100 G/M²</v>
      </c>
      <c r="C10849" s="4">
        <v>535934</v>
      </c>
      <c r="D10849" s="4">
        <v>395771452</v>
      </c>
    </row>
    <row r="10850" spans="1:4" x14ac:dyDescent="0.25">
      <c r="A10850" t="str">
        <f>T("   520859")</f>
        <v xml:space="preserve">   520859</v>
      </c>
      <c r="B10850" t="str">
        <f>T("   AUTRES TISSUS")</f>
        <v xml:space="preserve">   AUTRES TISSUS</v>
      </c>
      <c r="C10850" s="4">
        <v>479776</v>
      </c>
      <c r="D10850" s="4">
        <v>331591342</v>
      </c>
    </row>
    <row r="10851" spans="1:4" x14ac:dyDescent="0.25">
      <c r="A10851" t="str">
        <f>T("   520951")</f>
        <v xml:space="preserve">   520951</v>
      </c>
      <c r="B10851" t="str">
        <f>T("   A ARMURE TOILE")</f>
        <v xml:space="preserve">   A ARMURE TOILE</v>
      </c>
      <c r="C10851" s="4">
        <v>73987</v>
      </c>
      <c r="D10851" s="4">
        <v>61923315</v>
      </c>
    </row>
    <row r="10852" spans="1:4" x14ac:dyDescent="0.25">
      <c r="A10852" t="str">
        <f>T("   520959")</f>
        <v xml:space="preserve">   520959</v>
      </c>
      <c r="B10852" t="str">
        <f>T("   AUTRES TISSUS")</f>
        <v xml:space="preserve">   AUTRES TISSUS</v>
      </c>
      <c r="C10852" s="4">
        <v>17949</v>
      </c>
      <c r="D10852" s="4">
        <v>10923046</v>
      </c>
    </row>
    <row r="10853" spans="1:4" x14ac:dyDescent="0.25">
      <c r="A10853" t="str">
        <f>T("   521049")</f>
        <v xml:space="preserve">   521049</v>
      </c>
      <c r="B10853" t="str">
        <f>T("   AUTRES TISSUS")</f>
        <v xml:space="preserve">   AUTRES TISSUS</v>
      </c>
      <c r="C10853" s="4">
        <v>700</v>
      </c>
      <c r="D10853" s="4">
        <v>400000</v>
      </c>
    </row>
    <row r="10854" spans="1:4" x14ac:dyDescent="0.25">
      <c r="A10854" t="str">
        <f>T("   521051")</f>
        <v xml:space="preserve">   521051</v>
      </c>
      <c r="B10854" t="str">
        <f>T("   A ARMURE TOILE")</f>
        <v xml:space="preserve">   A ARMURE TOILE</v>
      </c>
      <c r="C10854" s="4">
        <v>17650</v>
      </c>
      <c r="D10854" s="4">
        <v>17000515</v>
      </c>
    </row>
    <row r="10855" spans="1:4" x14ac:dyDescent="0.25">
      <c r="A10855" t="str">
        <f>T("   521159")</f>
        <v xml:space="preserve">   521159</v>
      </c>
      <c r="B10855" t="str">
        <f>T("   AUTRES TISSUS")</f>
        <v xml:space="preserve">   AUTRES TISSUS</v>
      </c>
      <c r="C10855" s="4">
        <v>59570</v>
      </c>
      <c r="D10855" s="4">
        <v>44904374</v>
      </c>
    </row>
    <row r="10856" spans="1:4" x14ac:dyDescent="0.25">
      <c r="A10856" t="str">
        <f>T("   521215")</f>
        <v xml:space="preserve">   521215</v>
      </c>
      <c r="B10856" t="str">
        <f>T("   IMPRIMES")</f>
        <v xml:space="preserve">   IMPRIMES</v>
      </c>
      <c r="C10856" s="4">
        <v>39700</v>
      </c>
      <c r="D10856" s="4">
        <v>21846000</v>
      </c>
    </row>
    <row r="10857" spans="1:4" x14ac:dyDescent="0.25">
      <c r="A10857" t="str">
        <f>T("   551349")</f>
        <v xml:space="preserve">   551349</v>
      </c>
      <c r="B10857" t="str">
        <f>T("   AUTRES TISSUS")</f>
        <v xml:space="preserve">   AUTRES TISSUS</v>
      </c>
      <c r="C10857" s="4">
        <v>57857</v>
      </c>
      <c r="D10857" s="4">
        <v>32768979</v>
      </c>
    </row>
    <row r="10858" spans="1:4" x14ac:dyDescent="0.25">
      <c r="A10858" t="str">
        <f>T("   551591")</f>
        <v xml:space="preserve">   551591</v>
      </c>
      <c r="B10858" t="str">
        <f>T("   MELANGES PRINCIPALEMENT OU UNIQUEMENT AVEC DES FILAMENTS SYNTHETIQUES OU ARTIFICIELS")</f>
        <v xml:space="preserve">   MELANGES PRINCIPALEMENT OU UNIQUEMENT AVEC DES FILAMENTS SYNTHETIQUES OU ARTIFICIELS</v>
      </c>
      <c r="C10858" s="4">
        <v>18352</v>
      </c>
      <c r="D10858" s="4">
        <v>12000000</v>
      </c>
    </row>
    <row r="10859" spans="1:4" x14ac:dyDescent="0.25">
      <c r="A10859" t="str">
        <f>T("   560890")</f>
        <v xml:space="preserve">   560890</v>
      </c>
      <c r="B10859" t="str">
        <f>T("   AUTRES")</f>
        <v xml:space="preserve">   AUTRES</v>
      </c>
      <c r="C10859" s="4">
        <v>5040</v>
      </c>
      <c r="D10859" s="4">
        <v>6422858</v>
      </c>
    </row>
    <row r="10860" spans="1:4" x14ac:dyDescent="0.25">
      <c r="A10860" t="str">
        <f>T("   580219")</f>
        <v xml:space="preserve">   580219</v>
      </c>
      <c r="B10860" t="str">
        <f>T("   AUTRES")</f>
        <v xml:space="preserve">   AUTRES</v>
      </c>
      <c r="C10860" s="4">
        <v>67079</v>
      </c>
      <c r="D10860" s="4">
        <v>43641734</v>
      </c>
    </row>
    <row r="10861" spans="1:4" x14ac:dyDescent="0.25">
      <c r="A10861" t="str">
        <f>T("   581091")</f>
        <v xml:space="preserve">   581091</v>
      </c>
      <c r="B10861" t="str">
        <f>T("   DE COTON")</f>
        <v xml:space="preserve">   DE COTON</v>
      </c>
      <c r="C10861" s="4">
        <v>952</v>
      </c>
      <c r="D10861" s="4">
        <v>1651800</v>
      </c>
    </row>
    <row r="10862" spans="1:4" x14ac:dyDescent="0.25">
      <c r="A10862" t="str">
        <f>T("   581099")</f>
        <v xml:space="preserve">   581099</v>
      </c>
      <c r="B10862" t="str">
        <f>T("   D'AUTRES MATIERES TEXTILES")</f>
        <v xml:space="preserve">   D'AUTRES MATIERES TEXTILES</v>
      </c>
      <c r="C10862" s="4">
        <v>3366</v>
      </c>
      <c r="D10862" s="4">
        <v>5090193</v>
      </c>
    </row>
    <row r="10863" spans="1:4" x14ac:dyDescent="0.25">
      <c r="A10863" t="str">
        <f>T("   610990")</f>
        <v xml:space="preserve">   610990</v>
      </c>
      <c r="B10863" t="str">
        <f>T("   D'AUTRES MATIERES TEXTILES")</f>
        <v xml:space="preserve">   D'AUTRES MATIERES TEXTILES</v>
      </c>
      <c r="C10863" s="4">
        <v>71.5</v>
      </c>
      <c r="D10863" s="4">
        <v>1154804</v>
      </c>
    </row>
    <row r="10864" spans="1:4" x14ac:dyDescent="0.25">
      <c r="A10864" t="str">
        <f>T("   620339")</f>
        <v xml:space="preserve">   620339</v>
      </c>
      <c r="B10864" t="str">
        <f>T("   D'AUTRES MATIERES TEXTILES")</f>
        <v xml:space="preserve">   D'AUTRES MATIERES TEXTILES</v>
      </c>
      <c r="C10864" s="4">
        <v>111020</v>
      </c>
      <c r="D10864" s="4">
        <v>43918396</v>
      </c>
    </row>
    <row r="10865" spans="1:4" x14ac:dyDescent="0.25">
      <c r="A10865" t="str">
        <f>T("   621490")</f>
        <v xml:space="preserve">   621490</v>
      </c>
      <c r="B10865" t="str">
        <f>T("   D'AUTRES MATIERES TEXTILES")</f>
        <v xml:space="preserve">   D'AUTRES MATIERES TEXTILES</v>
      </c>
      <c r="C10865" s="4">
        <v>105</v>
      </c>
      <c r="D10865" s="4">
        <v>184500</v>
      </c>
    </row>
    <row r="10866" spans="1:4" x14ac:dyDescent="0.25">
      <c r="A10866" t="str">
        <f>T("   630491")</f>
        <v xml:space="preserve">   630491</v>
      </c>
      <c r="B10866" t="str">
        <f>T("   EN BONNETERIE")</f>
        <v xml:space="preserve">   EN BONNETERIE</v>
      </c>
      <c r="C10866" s="4">
        <v>27550</v>
      </c>
      <c r="D10866" s="4">
        <v>9016416</v>
      </c>
    </row>
    <row r="10867" spans="1:4" x14ac:dyDescent="0.25">
      <c r="A10867" t="str">
        <f>T("   630510")</f>
        <v xml:space="preserve">   630510</v>
      </c>
      <c r="B10867" t="str">
        <f>T("   DE JUTE OU D'AUTRES FIBRES TEXTILES LIBERIENNES DU N° 53.03")</f>
        <v xml:space="preserve">   DE JUTE OU D'AUTRES FIBRES TEXTILES LIBERIENNES DU N° 53.03</v>
      </c>
      <c r="C10867" s="4">
        <v>956</v>
      </c>
      <c r="D10867" s="4">
        <v>613217</v>
      </c>
    </row>
    <row r="10868" spans="1:4" x14ac:dyDescent="0.25">
      <c r="A10868" t="str">
        <f>T("   630533")</f>
        <v xml:space="preserve">   630533</v>
      </c>
      <c r="B10868" t="str">
        <f>T("   AUTRES, OBTENUES A PARTIR DE LAMES OU FORMES SIMILAIRES DE POLYETHYLENE OU DE POLYPR")</f>
        <v xml:space="preserve">   AUTRES, OBTENUES A PARTIR DE LAMES OU FORMES SIMILAIRES DE POLYETHYLENE OU DE POLYPR</v>
      </c>
      <c r="C10868" s="4">
        <v>670</v>
      </c>
      <c r="D10868" s="4">
        <v>564535</v>
      </c>
    </row>
    <row r="10869" spans="1:4" x14ac:dyDescent="0.25">
      <c r="A10869" t="str">
        <f>T("   630539")</f>
        <v xml:space="preserve">   630539</v>
      </c>
      <c r="B10869" t="str">
        <f>T("   AUTRES")</f>
        <v xml:space="preserve">   AUTRES</v>
      </c>
      <c r="C10869" s="4">
        <v>252</v>
      </c>
      <c r="D10869" s="4">
        <v>1953610</v>
      </c>
    </row>
    <row r="10870" spans="1:4" x14ac:dyDescent="0.25">
      <c r="A10870" t="str">
        <f>T("   640110")</f>
        <v xml:space="preserve">   640110</v>
      </c>
      <c r="B10870" t="str">
        <f>T("   CHAUSSURES COMPORTANT, A L'AVANT, UNE COQUILLE DE PROTECTION EN METAL")</f>
        <v xml:space="preserve">   CHAUSSURES COMPORTANT, A L'AVANT, UNE COQUILLE DE PROTECTION EN METAL</v>
      </c>
      <c r="C10870" s="4">
        <v>100</v>
      </c>
      <c r="D10870" s="4">
        <v>80000</v>
      </c>
    </row>
    <row r="10871" spans="1:4" x14ac:dyDescent="0.25">
      <c r="A10871" t="str">
        <f>T("   640319")</f>
        <v xml:space="preserve">   640319</v>
      </c>
      <c r="B10871" t="str">
        <f>T("   AUTRES")</f>
        <v xml:space="preserve">   AUTRES</v>
      </c>
      <c r="C10871" s="4">
        <v>100</v>
      </c>
      <c r="D10871" s="4">
        <v>129500</v>
      </c>
    </row>
    <row r="10872" spans="1:4" x14ac:dyDescent="0.25">
      <c r="A10872" t="str">
        <f>T("   640340")</f>
        <v xml:space="preserve">   640340</v>
      </c>
      <c r="B10872" t="str">
        <f>T("   AUTRES CHAUSSURES, COMPORTANT, A L'AVANT, UNE COQUILLE DE PROTECTION EN METAL")</f>
        <v xml:space="preserve">   AUTRES CHAUSSURES, COMPORTANT, A L'AVANT, UNE COQUILLE DE PROTECTION EN METAL</v>
      </c>
      <c r="C10872" s="4">
        <v>35</v>
      </c>
      <c r="D10872" s="4">
        <v>209116</v>
      </c>
    </row>
    <row r="10873" spans="1:4" x14ac:dyDescent="0.25">
      <c r="A10873" t="str">
        <f>T("   640590")</f>
        <v xml:space="preserve">   640590</v>
      </c>
      <c r="B10873" t="str">
        <f>T("   AUTRES")</f>
        <v xml:space="preserve">   AUTRES</v>
      </c>
      <c r="C10873" s="4">
        <v>101</v>
      </c>
      <c r="D10873" s="4">
        <v>263000</v>
      </c>
    </row>
    <row r="10874" spans="1:4" x14ac:dyDescent="0.25">
      <c r="A10874" t="str">
        <f>T("   730820")</f>
        <v xml:space="preserve">   730820</v>
      </c>
      <c r="B10874" t="str">
        <f>T("   TOURS ET PYLONES")</f>
        <v xml:space="preserve">   TOURS ET PYLONES</v>
      </c>
      <c r="C10874" s="4">
        <v>14350</v>
      </c>
      <c r="D10874" s="4">
        <v>24073272</v>
      </c>
    </row>
    <row r="10875" spans="1:4" x14ac:dyDescent="0.25">
      <c r="A10875" t="str">
        <f>T("   731100")</f>
        <v xml:space="preserve">   731100</v>
      </c>
      <c r="B10875" t="str">
        <f>T("   RECIPIENTS POUR GAZ COMPRIMES OU LIQUEFIES, EN FONTE, FER OU ACIER.")</f>
        <v xml:space="preserve">   RECIPIENTS POUR GAZ COMPRIMES OU LIQUEFIES, EN FONTE, FER OU ACIER.</v>
      </c>
      <c r="C10875" s="4">
        <v>784146</v>
      </c>
      <c r="D10875" s="4">
        <v>960183514</v>
      </c>
    </row>
    <row r="10876" spans="1:4" x14ac:dyDescent="0.25">
      <c r="A10876" t="str">
        <f>T("   732399")</f>
        <v xml:space="preserve">   732399</v>
      </c>
      <c r="B10876" t="str">
        <f>T("   AUTRES")</f>
        <v xml:space="preserve">   AUTRES</v>
      </c>
      <c r="C10876" s="4">
        <v>6080</v>
      </c>
      <c r="D10876" s="4">
        <v>10934254</v>
      </c>
    </row>
    <row r="10877" spans="1:4" x14ac:dyDescent="0.25">
      <c r="A10877" t="str">
        <f>T("   841510")</f>
        <v xml:space="preserve">   841510</v>
      </c>
      <c r="B10877" t="str">
        <f>T("   DU TYPE MURAL OU POUR FENETRES, FORMANT UN SEUL CORPS OU DU TYPE «SPLITSYSTEM» (SYST")</f>
        <v xml:space="preserve">   DU TYPE MURAL OU POUR FENETRES, FORMANT UN SEUL CORPS OU DU TYPE «SPLITSYSTEM» (SYST</v>
      </c>
      <c r="C10877" s="4">
        <v>185558</v>
      </c>
      <c r="D10877" s="4">
        <v>139056050</v>
      </c>
    </row>
    <row r="10878" spans="1:4" x14ac:dyDescent="0.25">
      <c r="A10878" t="str">
        <f>T("   841829")</f>
        <v xml:space="preserve">   841829</v>
      </c>
      <c r="B10878" t="str">
        <f>T("   AUTRES")</f>
        <v xml:space="preserve">   AUTRES</v>
      </c>
      <c r="C10878" s="4">
        <v>33197</v>
      </c>
      <c r="D10878" s="4">
        <v>34819969</v>
      </c>
    </row>
    <row r="10879" spans="1:4" x14ac:dyDescent="0.25">
      <c r="A10879" t="str">
        <f>T("   844311")</f>
        <v xml:space="preserve">   844311</v>
      </c>
      <c r="B10879" t="str">
        <f>T("   MACHINES ET APPAREILS A IMPRIMER OFFSET, ALIMENTES EN BOBINES")</f>
        <v xml:space="preserve">   MACHINES ET APPAREILS A IMPRIMER OFFSET, ALIMENTES EN BOBINES</v>
      </c>
      <c r="C10879" s="4">
        <v>463</v>
      </c>
      <c r="D10879" s="4">
        <v>15863396</v>
      </c>
    </row>
    <row r="10880" spans="1:4" x14ac:dyDescent="0.25">
      <c r="A10880" t="str">
        <f>T("   851712")</f>
        <v xml:space="preserve">   851712</v>
      </c>
      <c r="B10880" t="str">
        <f>T("   TELEPHONES POUR RESEAUX CELLULAIRES ET POUR AUTRES RESEAUX SANS FIL")</f>
        <v xml:space="preserve">   TELEPHONES POUR RESEAUX CELLULAIRES ET POUR AUTRES RESEAUX SANS FIL</v>
      </c>
      <c r="C10880" s="4">
        <v>353</v>
      </c>
      <c r="D10880" s="4">
        <v>31439145</v>
      </c>
    </row>
    <row r="10881" spans="1:4" x14ac:dyDescent="0.25">
      <c r="A10881" t="str">
        <f>T("   851770")</f>
        <v xml:space="preserve">   851770</v>
      </c>
      <c r="B10881" t="str">
        <f>T("   PARTIES")</f>
        <v xml:space="preserve">   PARTIES</v>
      </c>
      <c r="C10881" s="4">
        <v>181</v>
      </c>
      <c r="D10881" s="4">
        <v>16936409</v>
      </c>
    </row>
    <row r="10882" spans="1:4" x14ac:dyDescent="0.25">
      <c r="A10882" t="str">
        <f>T("   852719")</f>
        <v xml:space="preserve">   852719</v>
      </c>
      <c r="B10882" t="str">
        <f>T("   AUTRES")</f>
        <v xml:space="preserve">   AUTRES</v>
      </c>
      <c r="C10882" s="4">
        <v>2624</v>
      </c>
      <c r="D10882" s="4">
        <v>4754907</v>
      </c>
    </row>
    <row r="10883" spans="1:4" x14ac:dyDescent="0.25">
      <c r="A10883" t="str">
        <f>T("   852910")</f>
        <v xml:space="preserve">   852910</v>
      </c>
      <c r="B10883" t="str">
        <f>T("   ANTENNES ET REFLECTEURS D’ANTENNES DE TOUS TYPES; PARTIES RECONNAISSABLES COMME ETANT")</f>
        <v xml:space="preserve">   ANTENNES ET REFLECTEURS D’ANTENNES DE TOUS TYPES; PARTIES RECONNAISSABLES COMME ETANT</v>
      </c>
      <c r="C10883" s="4">
        <v>259</v>
      </c>
      <c r="D10883" s="4">
        <v>23293163</v>
      </c>
    </row>
    <row r="10884" spans="1:4" x14ac:dyDescent="0.25">
      <c r="A10884" t="str">
        <f>T("   852990")</f>
        <v xml:space="preserve">   852990</v>
      </c>
      <c r="B10884" t="str">
        <f>T("   AUTRES")</f>
        <v xml:space="preserve">   AUTRES</v>
      </c>
      <c r="C10884" s="4">
        <v>147</v>
      </c>
      <c r="D10884" s="4">
        <v>8523636</v>
      </c>
    </row>
    <row r="10885" spans="1:4" x14ac:dyDescent="0.25">
      <c r="A10885" t="str">
        <f>T("   853690")</f>
        <v xml:space="preserve">   853690</v>
      </c>
      <c r="B10885" t="str">
        <f>T("   AUTRES APPAREILS")</f>
        <v xml:space="preserve">   AUTRES APPAREILS</v>
      </c>
      <c r="C10885" s="4">
        <v>34944</v>
      </c>
      <c r="D10885" s="4">
        <v>19226188</v>
      </c>
    </row>
    <row r="10886" spans="1:4" x14ac:dyDescent="0.25">
      <c r="A10886" t="str">
        <f>T("   854442")</f>
        <v xml:space="preserve">   854442</v>
      </c>
      <c r="B10886" t="str">
        <f>T("   MUNIS DE PIECES DE CONNEXION")</f>
        <v xml:space="preserve">   MUNIS DE PIECES DE CONNEXION</v>
      </c>
      <c r="C10886" s="4">
        <v>99</v>
      </c>
      <c r="D10886" s="4">
        <v>8843131</v>
      </c>
    </row>
    <row r="10887" spans="1:4" x14ac:dyDescent="0.25">
      <c r="A10887" t="str">
        <f>T("   854449")</f>
        <v xml:space="preserve">   854449</v>
      </c>
      <c r="B10887" t="str">
        <f>T("   AUTRES")</f>
        <v xml:space="preserve">   AUTRES</v>
      </c>
      <c r="C10887" s="4">
        <v>364</v>
      </c>
      <c r="D10887" s="4">
        <v>31941522</v>
      </c>
    </row>
    <row r="10888" spans="1:4" x14ac:dyDescent="0.25">
      <c r="A10888" t="str">
        <f>T("   854690")</f>
        <v xml:space="preserve">   854690</v>
      </c>
      <c r="B10888" t="str">
        <f>T("   AUTRES")</f>
        <v xml:space="preserve">   AUTRES</v>
      </c>
      <c r="C10888" s="4">
        <v>312</v>
      </c>
      <c r="D10888" s="4">
        <v>10694044</v>
      </c>
    </row>
    <row r="10889" spans="1:4" x14ac:dyDescent="0.25">
      <c r="A10889" t="str">
        <f>T("   870322")</f>
        <v xml:space="preserve">   870322</v>
      </c>
      <c r="B10889" t="str">
        <f>T("   D’UNE CYLINDREE EXCEDANT 1.000 CM³ MAIS N’EXCEDANT PAS 1.500 CM³")</f>
        <v xml:space="preserve">   D’UNE CYLINDREE EXCEDANT 1.000 CM³ MAIS N’EXCEDANT PAS 1.500 CM³</v>
      </c>
      <c r="C10889" s="4">
        <v>12935</v>
      </c>
      <c r="D10889" s="4">
        <v>88088757</v>
      </c>
    </row>
    <row r="10890" spans="1:4" x14ac:dyDescent="0.25">
      <c r="A10890" t="str">
        <f>T("   870323")</f>
        <v xml:space="preserve">   870323</v>
      </c>
      <c r="B10890" t="str">
        <f>T("   D’UNE CYLINDREE EXCEDANT 1.500 CM³ MAIS N’EXCEDANT PAS 3.000 CM³")</f>
        <v xml:space="preserve">   D’UNE CYLINDREE EXCEDANT 1.500 CM³ MAIS N’EXCEDANT PAS 3.000 CM³</v>
      </c>
      <c r="C10890" s="4">
        <v>750</v>
      </c>
      <c r="D10890" s="4">
        <v>1200000</v>
      </c>
    </row>
    <row r="10891" spans="1:4" x14ac:dyDescent="0.25">
      <c r="A10891" t="str">
        <f>T("   870421")</f>
        <v xml:space="preserve">   870421</v>
      </c>
      <c r="B10891" t="str">
        <f>T("   D'UN POIDS EN CHARGE MAXIMAL N'EXCEDANT PAS 5 TONNES")</f>
        <v xml:space="preserve">   D'UN POIDS EN CHARGE MAXIMAL N'EXCEDANT PAS 5 TONNES</v>
      </c>
      <c r="C10891" s="4">
        <v>4000</v>
      </c>
      <c r="D10891" s="4">
        <v>12135260</v>
      </c>
    </row>
    <row r="10892" spans="1:4" x14ac:dyDescent="0.25">
      <c r="A10892" t="str">
        <f>T("   870422")</f>
        <v xml:space="preserve">   870422</v>
      </c>
      <c r="B10892" t="str">
        <f>T("   D'UN POIDS EN CHARGE MAXIMAL EXCEDANT 5 TONNES MAIS N'EXCEDANT PAS 20 TONNES")</f>
        <v xml:space="preserve">   D'UN POIDS EN CHARGE MAXIMAL EXCEDANT 5 TONNES MAIS N'EXCEDANT PAS 20 TONNES</v>
      </c>
      <c r="C10892" s="4">
        <v>38401</v>
      </c>
      <c r="D10892" s="4">
        <v>106272144</v>
      </c>
    </row>
    <row r="10893" spans="1:4" x14ac:dyDescent="0.25">
      <c r="A10893" t="str">
        <f>T("   870899")</f>
        <v xml:space="preserve">   870899</v>
      </c>
      <c r="B10893" t="str">
        <f>T("   AUTRES")</f>
        <v xml:space="preserve">   AUTRES</v>
      </c>
      <c r="C10893" s="4">
        <v>483</v>
      </c>
      <c r="D10893" s="4">
        <v>3506753</v>
      </c>
    </row>
    <row r="10894" spans="1:4" x14ac:dyDescent="0.25">
      <c r="A10894" t="str">
        <f>T("   871639")</f>
        <v xml:space="preserve">   871639</v>
      </c>
      <c r="B10894" t="str">
        <f>T("   AUTRES")</f>
        <v xml:space="preserve">   AUTRES</v>
      </c>
      <c r="C10894" s="4">
        <v>12000</v>
      </c>
      <c r="D10894" s="4">
        <v>2000000</v>
      </c>
    </row>
    <row r="10895" spans="1:4" x14ac:dyDescent="0.25">
      <c r="A10895" t="str">
        <f>T("   890200")</f>
        <v xml:space="preserve">   890200</v>
      </c>
      <c r="B10895" t="str">
        <f>T("   BATEAUX DE PECHE; NAVIRESUSINES ET AUTRES BATEAUX POUR LE TRAITEMENT OU LA MISE EN CON")</f>
        <v xml:space="preserve">   BATEAUX DE PECHE; NAVIRESUSINES ET AUTRES BATEAUX POUR LE TRAITEMENT OU LA MISE EN CON</v>
      </c>
      <c r="C10895" s="4">
        <v>4900</v>
      </c>
      <c r="D10895" s="4">
        <v>8404484</v>
      </c>
    </row>
    <row r="10896" spans="1:4" x14ac:dyDescent="0.25">
      <c r="A10896" t="str">
        <f>T("   940490")</f>
        <v xml:space="preserve">   940490</v>
      </c>
      <c r="B10896" t="str">
        <f>T("   AUTRES")</f>
        <v xml:space="preserve">   AUTRES</v>
      </c>
      <c r="C10896" s="4">
        <v>25000</v>
      </c>
      <c r="D10896" s="4">
        <v>6355805</v>
      </c>
    </row>
    <row r="10897" spans="1:4" s="5" customFormat="1" x14ac:dyDescent="0.25">
      <c r="A10897" s="5" t="str">
        <f>T("   ZZ_Total_Produit_SH6")</f>
        <v xml:space="preserve">   ZZ_Total_Produit_SH6</v>
      </c>
      <c r="B10897" s="5" t="str">
        <f>T("   ZZ_Total_Produit_SH6")</f>
        <v xml:space="preserve">   ZZ_Total_Produit_SH6</v>
      </c>
      <c r="C10897" s="1">
        <v>620464621</v>
      </c>
      <c r="D10897" s="1">
        <v>222699200500.70801</v>
      </c>
    </row>
    <row r="10898" spans="1:4" s="5" customFormat="1" x14ac:dyDescent="0.25">
      <c r="B10898" s="5" t="str">
        <f>T("Tokelau")</f>
        <v>Tokelau</v>
      </c>
      <c r="C10898" s="1"/>
      <c r="D10898" s="1"/>
    </row>
    <row r="10899" spans="1:4" x14ac:dyDescent="0.25">
      <c r="A10899" t="str">
        <f>T("   610990")</f>
        <v xml:space="preserve">   610990</v>
      </c>
      <c r="B10899" t="str">
        <f>T("   D'AUTRES MATIERES TEXTILES")</f>
        <v xml:space="preserve">   D'AUTRES MATIERES TEXTILES</v>
      </c>
      <c r="C10899" s="4">
        <v>360</v>
      </c>
      <c r="D10899" s="4">
        <v>563120</v>
      </c>
    </row>
    <row r="10900" spans="1:4" x14ac:dyDescent="0.25">
      <c r="A10900" t="str">
        <f>T("   850300")</f>
        <v xml:space="preserve">   850300</v>
      </c>
      <c r="B10900" t="str">
        <f>T("   PARTIES RECONNAISSABLES COMME ETANT EXCLUSIVEMENT OU PRINCIPALEMENT DESTINEES AUX MACHI")</f>
        <v xml:space="preserve">   PARTIES RECONNAISSABLES COMME ETANT EXCLUSIVEMENT OU PRINCIPALEMENT DESTINEES AUX MACHI</v>
      </c>
      <c r="C10900" s="4">
        <v>16</v>
      </c>
      <c r="D10900" s="4">
        <v>356177</v>
      </c>
    </row>
    <row r="10901" spans="1:4" x14ac:dyDescent="0.25">
      <c r="A10901" t="str">
        <f>T("   853710")</f>
        <v xml:space="preserve">   853710</v>
      </c>
      <c r="B10901" t="str">
        <f>T("   POUR UNE TENSION N'EXCEDANT PAS 1.000 V")</f>
        <v xml:space="preserve">   POUR UNE TENSION N'EXCEDANT PAS 1.000 V</v>
      </c>
      <c r="C10901" s="4">
        <v>460</v>
      </c>
      <c r="D10901" s="4">
        <v>883578</v>
      </c>
    </row>
    <row r="10902" spans="1:4" s="5" customFormat="1" x14ac:dyDescent="0.25">
      <c r="A10902" s="5" t="str">
        <f>T("   ZZ_Total_Produit_SH6")</f>
        <v xml:space="preserve">   ZZ_Total_Produit_SH6</v>
      </c>
      <c r="B10902" s="5" t="str">
        <f>T("   ZZ_Total_Produit_SH6")</f>
        <v xml:space="preserve">   ZZ_Total_Produit_SH6</v>
      </c>
      <c r="C10902" s="1">
        <v>836</v>
      </c>
      <c r="D10902" s="1">
        <v>1802875</v>
      </c>
    </row>
    <row r="10903" spans="1:4" s="5" customFormat="1" x14ac:dyDescent="0.25">
      <c r="B10903" s="5" t="str">
        <f>T("Turkménistan")</f>
        <v>Turkménistan</v>
      </c>
      <c r="C10903" s="1"/>
      <c r="D10903" s="1"/>
    </row>
    <row r="10904" spans="1:4" x14ac:dyDescent="0.25">
      <c r="A10904" t="str">
        <f>T("   840999")</f>
        <v xml:space="preserve">   840999</v>
      </c>
      <c r="B10904" t="str">
        <f>T("   AUTRES")</f>
        <v xml:space="preserve">   AUTRES</v>
      </c>
      <c r="C10904" s="4">
        <v>267</v>
      </c>
      <c r="D10904" s="4">
        <v>425384</v>
      </c>
    </row>
    <row r="10905" spans="1:4" s="5" customFormat="1" x14ac:dyDescent="0.25">
      <c r="A10905" s="5" t="str">
        <f>T("   ZZ_Total_Produit_SH6")</f>
        <v xml:space="preserve">   ZZ_Total_Produit_SH6</v>
      </c>
      <c r="B10905" s="5" t="str">
        <f>T("   ZZ_Total_Produit_SH6")</f>
        <v xml:space="preserve">   ZZ_Total_Produit_SH6</v>
      </c>
      <c r="C10905" s="1">
        <v>267</v>
      </c>
      <c r="D10905" s="1">
        <v>425384</v>
      </c>
    </row>
    <row r="10906" spans="1:4" s="5" customFormat="1" x14ac:dyDescent="0.25">
      <c r="B10906" s="5" t="str">
        <f>T("Tunisie")</f>
        <v>Tunisie</v>
      </c>
      <c r="C10906" s="1"/>
      <c r="D10906" s="1"/>
    </row>
    <row r="10907" spans="1:4" x14ac:dyDescent="0.25">
      <c r="A10907" t="str">
        <f>T("   020727")</f>
        <v xml:space="preserve">   020727</v>
      </c>
      <c r="B10907" t="str">
        <f>T("   MORCEAUX ET ABATS, CONGELES")</f>
        <v xml:space="preserve">   MORCEAUX ET ABATS, CONGELES</v>
      </c>
      <c r="C10907" s="4">
        <v>109500</v>
      </c>
      <c r="D10907" s="4">
        <v>59090564</v>
      </c>
    </row>
    <row r="10908" spans="1:4" x14ac:dyDescent="0.25">
      <c r="A10908" t="str">
        <f>T("   110100")</f>
        <v xml:space="preserve">   110100</v>
      </c>
      <c r="B10908" t="str">
        <f>T("   FARINES DE FROMENT (BLE) OU DE METEIL.")</f>
        <v xml:space="preserve">   FARINES DE FROMENT (BLE) OU DE METEIL.</v>
      </c>
      <c r="C10908" s="4">
        <v>537000</v>
      </c>
      <c r="D10908" s="4">
        <v>80769000</v>
      </c>
    </row>
    <row r="10909" spans="1:4" x14ac:dyDescent="0.25">
      <c r="A10909" t="str">
        <f>T("   110311")</f>
        <v xml:space="preserve">   110311</v>
      </c>
      <c r="B10909" t="str">
        <f>T("   DE FROMENT (BLE)")</f>
        <v xml:space="preserve">   DE FROMENT (BLE)</v>
      </c>
      <c r="C10909" s="4">
        <v>7226800</v>
      </c>
      <c r="D10909" s="4">
        <v>1466619449</v>
      </c>
    </row>
    <row r="10910" spans="1:4" x14ac:dyDescent="0.25">
      <c r="A10910" t="str">
        <f>T("   151710")</f>
        <v xml:space="preserve">   151710</v>
      </c>
      <c r="B10910" t="str">
        <f>T("   Margarine, a l'exclusion de la margarine liquide")</f>
        <v xml:space="preserve">   Margarine, a l'exclusion de la margarine liquide</v>
      </c>
      <c r="C10910" s="4">
        <v>73725</v>
      </c>
      <c r="D10910" s="4">
        <v>34924214</v>
      </c>
    </row>
    <row r="10911" spans="1:4" x14ac:dyDescent="0.25">
      <c r="A10911" t="str">
        <f>T("   160413")</f>
        <v xml:space="preserve">   160413</v>
      </c>
      <c r="B10911" t="str">
        <f>T("   SARDINES, SARDINELLES ET SPRATS OU ESPROTS")</f>
        <v xml:space="preserve">   SARDINES, SARDINELLES ET SPRATS OU ESPROTS</v>
      </c>
      <c r="C10911" s="4">
        <v>25701</v>
      </c>
      <c r="D10911" s="4">
        <v>5451000</v>
      </c>
    </row>
    <row r="10912" spans="1:4" x14ac:dyDescent="0.25">
      <c r="A10912" t="str">
        <f>T("   190219")</f>
        <v xml:space="preserve">   190219</v>
      </c>
      <c r="B10912" t="str">
        <f>T("   AUTRES")</f>
        <v xml:space="preserve">   AUTRES</v>
      </c>
      <c r="C10912" s="4">
        <v>52632</v>
      </c>
      <c r="D10912" s="4">
        <v>11669528</v>
      </c>
    </row>
    <row r="10913" spans="1:4" x14ac:dyDescent="0.25">
      <c r="A10913" t="str">
        <f>T("   190230")</f>
        <v xml:space="preserve">   190230</v>
      </c>
      <c r="B10913" t="str">
        <f>T("   AUTRES PATES ALIMENTAIRES")</f>
        <v xml:space="preserve">   AUTRES PATES ALIMENTAIRES</v>
      </c>
      <c r="C10913" s="4">
        <v>41844</v>
      </c>
      <c r="D10913" s="4">
        <v>9140387</v>
      </c>
    </row>
    <row r="10914" spans="1:4" x14ac:dyDescent="0.25">
      <c r="A10914" t="str">
        <f>T("   190240")</f>
        <v xml:space="preserve">   190240</v>
      </c>
      <c r="B10914" t="str">
        <f>T("   COUSCOUS")</f>
        <v xml:space="preserve">   COUSCOUS</v>
      </c>
      <c r="C10914" s="4">
        <v>199112</v>
      </c>
      <c r="D10914" s="4">
        <v>44896348</v>
      </c>
    </row>
    <row r="10915" spans="1:4" x14ac:dyDescent="0.25">
      <c r="A10915" t="str">
        <f>T("   190531")</f>
        <v xml:space="preserve">   190531</v>
      </c>
      <c r="B10915" t="str">
        <f>T("   BISCUITS ADDITIONNES D’EDULCORANTS")</f>
        <v xml:space="preserve">   BISCUITS ADDITIONNES D’EDULCORANTS</v>
      </c>
      <c r="C10915" s="4">
        <v>11056</v>
      </c>
      <c r="D10915" s="4">
        <v>5402487</v>
      </c>
    </row>
    <row r="10916" spans="1:4" x14ac:dyDescent="0.25">
      <c r="A10916" t="str">
        <f>T("   190590")</f>
        <v xml:space="preserve">   190590</v>
      </c>
      <c r="B10916" t="str">
        <f>T("   AUTRES")</f>
        <v xml:space="preserve">   AUTRES</v>
      </c>
      <c r="C10916" s="4">
        <v>102732</v>
      </c>
      <c r="D10916" s="4">
        <v>30184222</v>
      </c>
    </row>
    <row r="10917" spans="1:4" x14ac:dyDescent="0.25">
      <c r="A10917" t="str">
        <f>T("   200980")</f>
        <v xml:space="preserve">   200980</v>
      </c>
      <c r="B10917" t="str">
        <f>T("   AUTRES JUS DE FRUITS OU DE LEGUMES,SANS ALCOOL,SUCRES OU NON")</f>
        <v xml:space="preserve">   AUTRES JUS DE FRUITS OU DE LEGUMES,SANS ALCOOL,SUCRES OU NON</v>
      </c>
      <c r="C10917" s="4">
        <v>4340</v>
      </c>
      <c r="D10917" s="4">
        <v>1122348</v>
      </c>
    </row>
    <row r="10918" spans="1:4" x14ac:dyDescent="0.25">
      <c r="A10918" t="str">
        <f>T("   220210")</f>
        <v xml:space="preserve">   220210</v>
      </c>
      <c r="B10918" t="str">
        <f>T("   EAUX, Y COMPRIS LES EAUX MINERALES ET LES EAUX GAZEIFIEES, ADDITIONNEES DE SUCRE OU D")</f>
        <v xml:space="preserve">   EAUX, Y COMPRIS LES EAUX MINERALES ET LES EAUX GAZEIFIEES, ADDITIONNEES DE SUCRE OU D</v>
      </c>
      <c r="C10918" s="4">
        <v>89100</v>
      </c>
      <c r="D10918" s="4">
        <v>15947500</v>
      </c>
    </row>
    <row r="10919" spans="1:4" x14ac:dyDescent="0.25">
      <c r="A10919" t="str">
        <f>T("   220290")</f>
        <v xml:space="preserve">   220290</v>
      </c>
      <c r="B10919" t="str">
        <f>T("   AUTRES")</f>
        <v xml:space="preserve">   AUTRES</v>
      </c>
      <c r="C10919" s="4">
        <v>53686</v>
      </c>
      <c r="D10919" s="4">
        <v>7349676</v>
      </c>
    </row>
    <row r="10920" spans="1:4" x14ac:dyDescent="0.25">
      <c r="A10920" t="str">
        <f>T("   250100")</f>
        <v xml:space="preserve">   250100</v>
      </c>
      <c r="B10920" t="str">
        <f>T("   SEL (Y COMPRIS LE SEL PREPARE POUR LA TABLE ET LE SEL DENATURE) ET CHLORURE DE SODIUM P")</f>
        <v xml:space="preserve">   SEL (Y COMPRIS LE SEL PREPARE POUR LA TABLE ET LE SEL DENATURE) ET CHLORURE DE SODIUM P</v>
      </c>
      <c r="C10920" s="4">
        <v>70336</v>
      </c>
      <c r="D10920" s="4">
        <v>5273995</v>
      </c>
    </row>
    <row r="10921" spans="1:4" x14ac:dyDescent="0.25">
      <c r="A10921" t="str">
        <f>T("   252010")</f>
        <v xml:space="preserve">   252010</v>
      </c>
      <c r="B10921" t="str">
        <f>T("   Gypse; anhydrite")</f>
        <v xml:space="preserve">   Gypse; anhydrite</v>
      </c>
      <c r="C10921" s="4">
        <v>560000</v>
      </c>
      <c r="D10921" s="4">
        <v>1035426</v>
      </c>
    </row>
    <row r="10922" spans="1:4" x14ac:dyDescent="0.25">
      <c r="A10922" t="str">
        <f>T("   252020")</f>
        <v xml:space="preserve">   252020</v>
      </c>
      <c r="B10922" t="str">
        <f>T("   PLATRES")</f>
        <v xml:space="preserve">   PLATRES</v>
      </c>
      <c r="C10922" s="4">
        <v>2543433</v>
      </c>
      <c r="D10922" s="4">
        <v>127739039</v>
      </c>
    </row>
    <row r="10923" spans="1:4" x14ac:dyDescent="0.25">
      <c r="A10923" t="str">
        <f>T("   252220")</f>
        <v xml:space="preserve">   252220</v>
      </c>
      <c r="B10923" t="str">
        <f>T("   CHAUX ETEINTE")</f>
        <v xml:space="preserve">   CHAUX ETEINTE</v>
      </c>
      <c r="C10923" s="4">
        <v>31</v>
      </c>
      <c r="D10923" s="4">
        <v>8957</v>
      </c>
    </row>
    <row r="10924" spans="1:4" x14ac:dyDescent="0.25">
      <c r="A10924" t="str">
        <f>T("   252321")</f>
        <v xml:space="preserve">   252321</v>
      </c>
      <c r="B10924" t="str">
        <f>T("   CIMENTS BLANCS, MEME COLORES ARTIFICIELLEMENT")</f>
        <v xml:space="preserve">   CIMENTS BLANCS, MEME COLORES ARTIFICIELLEMENT</v>
      </c>
      <c r="C10924" s="4">
        <v>973217</v>
      </c>
      <c r="D10924" s="4">
        <v>68608536</v>
      </c>
    </row>
    <row r="10925" spans="1:4" x14ac:dyDescent="0.25">
      <c r="A10925" t="str">
        <f>T("   283620")</f>
        <v xml:space="preserve">   283620</v>
      </c>
      <c r="B10925" t="str">
        <f>T("   Carbonate de disodium")</f>
        <v xml:space="preserve">   Carbonate de disodium</v>
      </c>
      <c r="C10925" s="4">
        <v>125300</v>
      </c>
      <c r="D10925" s="4">
        <v>989020</v>
      </c>
    </row>
    <row r="10926" spans="1:4" x14ac:dyDescent="0.25">
      <c r="A10926" t="str">
        <f>T("   283650")</f>
        <v xml:space="preserve">   283650</v>
      </c>
      <c r="B10926" t="str">
        <f>T("   Carbonate de calcium")</f>
        <v xml:space="preserve">   Carbonate de calcium</v>
      </c>
      <c r="C10926" s="4">
        <v>1812853</v>
      </c>
      <c r="D10926" s="4">
        <v>109601985</v>
      </c>
    </row>
    <row r="10927" spans="1:4" x14ac:dyDescent="0.25">
      <c r="A10927" t="str">
        <f>T("   300490")</f>
        <v xml:space="preserve">   300490</v>
      </c>
      <c r="B10927" t="str">
        <f>T("   AUTRES")</f>
        <v xml:space="preserve">   AUTRES</v>
      </c>
      <c r="C10927" s="4">
        <v>222</v>
      </c>
      <c r="D10927" s="4">
        <v>13477419</v>
      </c>
    </row>
    <row r="10928" spans="1:4" x14ac:dyDescent="0.25">
      <c r="A10928" t="str">
        <f>T("   310590")</f>
        <v xml:space="preserve">   310590</v>
      </c>
      <c r="B10928" t="str">
        <f>T("   AUTRES")</f>
        <v xml:space="preserve">   AUTRES</v>
      </c>
      <c r="C10928" s="4">
        <v>8140</v>
      </c>
      <c r="D10928" s="4">
        <v>2850000</v>
      </c>
    </row>
    <row r="10929" spans="1:4" x14ac:dyDescent="0.25">
      <c r="A10929" t="str">
        <f>T("   320611")</f>
        <v xml:space="preserve">   320611</v>
      </c>
      <c r="B10929" t="str">
        <f>T("   CONTENANT EN POIDS 80 % OU PLUS DE DIOXYDE DE TITANE, CALCULE SUR MATIERE SECHE")</f>
        <v xml:space="preserve">   CONTENANT EN POIDS 80 % OU PLUS DE DIOXYDE DE TITANE, CALCULE SUR MATIERE SECHE</v>
      </c>
      <c r="C10929" s="4">
        <v>1020</v>
      </c>
      <c r="D10929" s="4">
        <v>947180</v>
      </c>
    </row>
    <row r="10930" spans="1:4" x14ac:dyDescent="0.25">
      <c r="A10930" t="str">
        <f>T("   320890")</f>
        <v xml:space="preserve">   320890</v>
      </c>
      <c r="B10930" t="str">
        <f>T("   AUTRES")</f>
        <v xml:space="preserve">   AUTRES</v>
      </c>
      <c r="C10930" s="4">
        <v>20624</v>
      </c>
      <c r="D10930" s="4">
        <v>5024581</v>
      </c>
    </row>
    <row r="10931" spans="1:4" x14ac:dyDescent="0.25">
      <c r="A10931" t="str">
        <f>T("   350699")</f>
        <v xml:space="preserve">   350699</v>
      </c>
      <c r="B10931" t="str">
        <f>T("   AUTRES")</f>
        <v xml:space="preserve">   AUTRES</v>
      </c>
      <c r="C10931" s="4">
        <v>50543</v>
      </c>
      <c r="D10931" s="4">
        <v>21159207</v>
      </c>
    </row>
    <row r="10932" spans="1:4" x14ac:dyDescent="0.25">
      <c r="A10932" t="str">
        <f>T("   380899")</f>
        <v xml:space="preserve">   380899</v>
      </c>
      <c r="B10932" t="str">
        <f>T("   AUTRES")</f>
        <v xml:space="preserve">   AUTRES</v>
      </c>
      <c r="C10932" s="4">
        <v>1020</v>
      </c>
      <c r="D10932" s="4">
        <v>941959</v>
      </c>
    </row>
    <row r="10933" spans="1:4" x14ac:dyDescent="0.25">
      <c r="A10933" t="str">
        <f>T("   381400")</f>
        <v xml:space="preserve">   381400</v>
      </c>
      <c r="B10933" t="str">
        <f>T("   SOLVANTS ET DILUANTS ORGANIQUES COMPOSITES, NON DENOMMES NI COMPRIS AILLEURS; PREPARATI")</f>
        <v xml:space="preserve">   SOLVANTS ET DILUANTS ORGANIQUES COMPOSITES, NON DENOMMES NI COMPRIS AILLEURS; PREPARATI</v>
      </c>
      <c r="C10933" s="4">
        <v>81600</v>
      </c>
      <c r="D10933" s="4">
        <v>39048479</v>
      </c>
    </row>
    <row r="10934" spans="1:4" x14ac:dyDescent="0.25">
      <c r="A10934" t="str">
        <f>T("   382440")</f>
        <v xml:space="preserve">   382440</v>
      </c>
      <c r="B10934" t="str">
        <f>T("   ADDITIFS PREPARES POUR CIMENTS, MORTIERS OU BETONS")</f>
        <v xml:space="preserve">   ADDITIFS PREPARES POUR CIMENTS, MORTIERS OU BETONS</v>
      </c>
      <c r="C10934" s="4">
        <v>77613</v>
      </c>
      <c r="D10934" s="4">
        <v>62484086</v>
      </c>
    </row>
    <row r="10935" spans="1:4" x14ac:dyDescent="0.25">
      <c r="A10935" t="str">
        <f>T("   382450")</f>
        <v xml:space="preserve">   382450</v>
      </c>
      <c r="B10935" t="str">
        <f>T("   MORTIERS ET BETONS, NON REFRACTAIRES")</f>
        <v xml:space="preserve">   MORTIERS ET BETONS, NON REFRACTAIRES</v>
      </c>
      <c r="C10935" s="4">
        <v>11274</v>
      </c>
      <c r="D10935" s="4">
        <v>2542620</v>
      </c>
    </row>
    <row r="10936" spans="1:4" x14ac:dyDescent="0.25">
      <c r="A10936" t="str">
        <f>T("   390390")</f>
        <v xml:space="preserve">   390390</v>
      </c>
      <c r="B10936" t="str">
        <f>T("   AUTRES")</f>
        <v xml:space="preserve">   AUTRES</v>
      </c>
      <c r="C10936" s="4">
        <v>51200</v>
      </c>
      <c r="D10936" s="4">
        <v>41313503</v>
      </c>
    </row>
    <row r="10937" spans="1:4" x14ac:dyDescent="0.25">
      <c r="A10937" t="str">
        <f>T("   390519")</f>
        <v xml:space="preserve">   390519</v>
      </c>
      <c r="B10937" t="str">
        <f>T("   AUTRES")</f>
        <v xml:space="preserve">   AUTRES</v>
      </c>
      <c r="C10937" s="4">
        <v>6400</v>
      </c>
      <c r="D10937" s="4">
        <v>5512281</v>
      </c>
    </row>
    <row r="10938" spans="1:4" x14ac:dyDescent="0.25">
      <c r="A10938" t="str">
        <f>T("   390529")</f>
        <v xml:space="preserve">   390529</v>
      </c>
      <c r="B10938" t="str">
        <f>T("   AUTRES")</f>
        <v xml:space="preserve">   AUTRES</v>
      </c>
      <c r="C10938" s="4">
        <v>20220</v>
      </c>
      <c r="D10938" s="4">
        <v>11445190</v>
      </c>
    </row>
    <row r="10939" spans="1:4" x14ac:dyDescent="0.25">
      <c r="A10939" t="str">
        <f>T("   390530")</f>
        <v xml:space="preserve">   390530</v>
      </c>
      <c r="B10939" t="str">
        <f>T("   POLY(ALCOOL VINYLIQUE), MEME CONTENANT DES GROUPES ACETATE NON HYDROLYSES")</f>
        <v xml:space="preserve">   POLY(ALCOOL VINYLIQUE), MEME CONTENANT DES GROUPES ACETATE NON HYDROLYSES</v>
      </c>
      <c r="C10939" s="4">
        <v>5060</v>
      </c>
      <c r="D10939" s="4">
        <v>2917055</v>
      </c>
    </row>
    <row r="10940" spans="1:4" x14ac:dyDescent="0.25">
      <c r="A10940" t="str">
        <f>T("   390750")</f>
        <v xml:space="preserve">   390750</v>
      </c>
      <c r="B10940" t="str">
        <f>T("   RESINES ALKYDES")</f>
        <v xml:space="preserve">   RESINES ALKYDES</v>
      </c>
      <c r="C10940" s="4">
        <v>52240</v>
      </c>
      <c r="D10940" s="4">
        <v>45588833</v>
      </c>
    </row>
    <row r="10941" spans="1:4" x14ac:dyDescent="0.25">
      <c r="A10941" t="str">
        <f>T("   392490")</f>
        <v xml:space="preserve">   392490</v>
      </c>
      <c r="B10941" t="str">
        <f>T("   AUTRES")</f>
        <v xml:space="preserve">   AUTRES</v>
      </c>
      <c r="C10941" s="4">
        <v>2153</v>
      </c>
      <c r="D10941" s="4">
        <v>2597602</v>
      </c>
    </row>
    <row r="10942" spans="1:4" x14ac:dyDescent="0.25">
      <c r="A10942" t="str">
        <f>T("   400211")</f>
        <v xml:space="preserve">   400211</v>
      </c>
      <c r="B10942" t="str">
        <f>T("   LATEX")</f>
        <v xml:space="preserve">   LATEX</v>
      </c>
      <c r="C10942" s="4">
        <v>39353</v>
      </c>
      <c r="D10942" s="4">
        <v>40738040</v>
      </c>
    </row>
    <row r="10943" spans="1:4" x14ac:dyDescent="0.25">
      <c r="A10943" t="str">
        <f>T("   441890")</f>
        <v xml:space="preserve">   441890</v>
      </c>
      <c r="B10943" t="str">
        <f>T("   AUTRES")</f>
        <v xml:space="preserve">   AUTRES</v>
      </c>
      <c r="C10943" s="4">
        <v>170</v>
      </c>
      <c r="D10943" s="4">
        <v>51826</v>
      </c>
    </row>
    <row r="10944" spans="1:4" x14ac:dyDescent="0.25">
      <c r="A10944" t="str">
        <f>T("   480550")</f>
        <v xml:space="preserve">   480550</v>
      </c>
      <c r="B10944" t="str">
        <f>T("   PAPIER ET CARTON FEUTRE, PAPIER ET CARTON LAINEUX")</f>
        <v xml:space="preserve">   PAPIER ET CARTON FEUTRE, PAPIER ET CARTON LAINEUX</v>
      </c>
      <c r="C10944" s="4">
        <v>175</v>
      </c>
      <c r="D10944" s="4">
        <v>1738294</v>
      </c>
    </row>
    <row r="10945" spans="1:4" x14ac:dyDescent="0.25">
      <c r="A10945" t="str">
        <f>T("   481820")</f>
        <v xml:space="preserve">   481820</v>
      </c>
      <c r="B10945" t="str">
        <f>T("   MOUCHOIRS, SERVIETTES A DEMAQUILLER ET ESSUIEMAINS")</f>
        <v xml:space="preserve">   MOUCHOIRS, SERVIETTES A DEMAQUILLER ET ESSUIEMAINS</v>
      </c>
      <c r="C10945" s="4">
        <v>9121</v>
      </c>
      <c r="D10945" s="4">
        <v>5461523</v>
      </c>
    </row>
    <row r="10946" spans="1:4" x14ac:dyDescent="0.25">
      <c r="A10946" t="str">
        <f>T("   481840")</f>
        <v xml:space="preserve">   481840</v>
      </c>
      <c r="B10946" t="str">
        <f>T("   SERVIETTES,TAMPONS HYGIENIQUES,COUCHES POUR BEBES ET SIMILAIRES EN PAPIER")</f>
        <v xml:space="preserve">   SERVIETTES,TAMPONS HYGIENIQUES,COUCHES POUR BEBES ET SIMILAIRES EN PAPIER</v>
      </c>
      <c r="C10946" s="4">
        <v>88297</v>
      </c>
      <c r="D10946" s="4">
        <v>63329239</v>
      </c>
    </row>
    <row r="10947" spans="1:4" x14ac:dyDescent="0.25">
      <c r="A10947" t="str">
        <f>T("   481890")</f>
        <v xml:space="preserve">   481890</v>
      </c>
      <c r="B10947" t="str">
        <f>T("   AUTRES")</f>
        <v xml:space="preserve">   AUTRES</v>
      </c>
      <c r="C10947" s="4">
        <v>9476</v>
      </c>
      <c r="D10947" s="4">
        <v>4369198</v>
      </c>
    </row>
    <row r="10948" spans="1:4" x14ac:dyDescent="0.25">
      <c r="A10948" t="str">
        <f>T("   482110")</f>
        <v xml:space="preserve">   482110</v>
      </c>
      <c r="B10948" t="str">
        <f>T("   IMPRIMEES")</f>
        <v xml:space="preserve">   IMPRIMEES</v>
      </c>
      <c r="C10948" s="4">
        <v>51</v>
      </c>
      <c r="D10948" s="4">
        <v>13000</v>
      </c>
    </row>
    <row r="10949" spans="1:4" x14ac:dyDescent="0.25">
      <c r="A10949" t="str">
        <f>T("   490199")</f>
        <v xml:space="preserve">   490199</v>
      </c>
      <c r="B10949" t="str">
        <f>T("   AUTRES")</f>
        <v xml:space="preserve">   AUTRES</v>
      </c>
      <c r="C10949" s="4">
        <v>37</v>
      </c>
      <c r="D10949" s="4">
        <v>58141</v>
      </c>
    </row>
    <row r="10950" spans="1:4" x14ac:dyDescent="0.25">
      <c r="A10950" t="str">
        <f>T("   490290")</f>
        <v xml:space="preserve">   490290</v>
      </c>
      <c r="B10950" t="str">
        <f>T("   AUTRES")</f>
        <v xml:space="preserve">   AUTRES</v>
      </c>
      <c r="C10950" s="4">
        <v>450</v>
      </c>
      <c r="D10950" s="4">
        <v>2093168</v>
      </c>
    </row>
    <row r="10951" spans="1:4" x14ac:dyDescent="0.25">
      <c r="A10951" t="str">
        <f>T("   491110")</f>
        <v xml:space="preserve">   491110</v>
      </c>
      <c r="B10951" t="str">
        <f>T("   IMPRIMES PUBLICITAIRES, CATALOGUES COMMERCIAUX ET SIMILAIRES")</f>
        <v xml:space="preserve">   IMPRIMES PUBLICITAIRES, CATALOGUES COMMERCIAUX ET SIMILAIRES</v>
      </c>
      <c r="C10951" s="4">
        <v>1198</v>
      </c>
      <c r="D10951" s="4">
        <v>1297127</v>
      </c>
    </row>
    <row r="10952" spans="1:4" x14ac:dyDescent="0.25">
      <c r="A10952" t="str">
        <f>T("   610349")</f>
        <v xml:space="preserve">   610349</v>
      </c>
      <c r="B10952" t="str">
        <f>T("   D'AUTRES MATIERES TEXTILES")</f>
        <v xml:space="preserve">   D'AUTRES MATIERES TEXTILES</v>
      </c>
      <c r="C10952" s="4">
        <v>600</v>
      </c>
      <c r="D10952" s="4">
        <v>110000</v>
      </c>
    </row>
    <row r="10953" spans="1:4" x14ac:dyDescent="0.25">
      <c r="A10953" t="str">
        <f>T("   611780")</f>
        <v xml:space="preserve">   611780</v>
      </c>
      <c r="B10953" t="str">
        <f>T("   AUTRES ACCESSOIRES")</f>
        <v xml:space="preserve">   AUTRES ACCESSOIRES</v>
      </c>
      <c r="C10953" s="4">
        <v>32</v>
      </c>
      <c r="D10953" s="4">
        <v>400000</v>
      </c>
    </row>
    <row r="10954" spans="1:4" x14ac:dyDescent="0.25">
      <c r="A10954" t="str">
        <f>T("   620590")</f>
        <v xml:space="preserve">   620590</v>
      </c>
      <c r="B10954" t="str">
        <f>T("   D'AUTRES MATIERES TEXTILES")</f>
        <v xml:space="preserve">   D'AUTRES MATIERES TEXTILES</v>
      </c>
      <c r="C10954" s="4">
        <v>1370</v>
      </c>
      <c r="D10954" s="4">
        <v>1905000</v>
      </c>
    </row>
    <row r="10955" spans="1:4" x14ac:dyDescent="0.25">
      <c r="A10955" t="str">
        <f>T("   621040")</f>
        <v xml:space="preserve">   621040</v>
      </c>
      <c r="B10955" t="str">
        <f>T("   AUTRES VETEMENTS POUR HOMMES OU GARCONNETS")</f>
        <v xml:space="preserve">   AUTRES VETEMENTS POUR HOMMES OU GARCONNETS</v>
      </c>
      <c r="C10955" s="4">
        <v>1100</v>
      </c>
      <c r="D10955" s="4">
        <v>1000000</v>
      </c>
    </row>
    <row r="10956" spans="1:4" x14ac:dyDescent="0.25">
      <c r="A10956" t="str">
        <f>T("   621050")</f>
        <v xml:space="preserve">   621050</v>
      </c>
      <c r="B10956" t="str">
        <f>T("   AUTRES VETEMENTS POUR FEMMES OU FILLETTES")</f>
        <v xml:space="preserve">   AUTRES VETEMENTS POUR FEMMES OU FILLETTES</v>
      </c>
      <c r="C10956" s="4">
        <v>30</v>
      </c>
      <c r="D10956" s="4">
        <v>380000</v>
      </c>
    </row>
    <row r="10957" spans="1:4" x14ac:dyDescent="0.25">
      <c r="A10957" t="str">
        <f>T("   630900")</f>
        <v xml:space="preserve">   630900</v>
      </c>
      <c r="B10957" t="str">
        <f>T("   ARTICLES DE FRIPERIE.")</f>
        <v xml:space="preserve">   ARTICLES DE FRIPERIE.</v>
      </c>
      <c r="C10957" s="4">
        <v>37000</v>
      </c>
      <c r="D10957" s="4">
        <v>19661872</v>
      </c>
    </row>
    <row r="10958" spans="1:4" x14ac:dyDescent="0.25">
      <c r="A10958" t="str">
        <f>T("   640320")</f>
        <v xml:space="preserve">   640320</v>
      </c>
      <c r="B10958" t="str">
        <f>T("   CHAUSSURES A SEMELLES EXTERIEURES EN CUIR NATUREL ET DESSUS CONSTITUES PAR DES LANIER")</f>
        <v xml:space="preserve">   CHAUSSURES A SEMELLES EXTERIEURES EN CUIR NATUREL ET DESSUS CONSTITUES PAR DES LANIER</v>
      </c>
      <c r="C10958" s="4">
        <v>340</v>
      </c>
      <c r="D10958" s="4">
        <v>499800</v>
      </c>
    </row>
    <row r="10959" spans="1:4" x14ac:dyDescent="0.25">
      <c r="A10959" t="str">
        <f>T("   691090")</f>
        <v xml:space="preserve">   691090</v>
      </c>
      <c r="B10959" t="str">
        <f>T("   AUTRES")</f>
        <v xml:space="preserve">   AUTRES</v>
      </c>
      <c r="C10959" s="4">
        <v>17088</v>
      </c>
      <c r="D10959" s="4">
        <v>6552102</v>
      </c>
    </row>
    <row r="10960" spans="1:4" x14ac:dyDescent="0.25">
      <c r="A10960" t="str">
        <f>T("   701190")</f>
        <v xml:space="preserve">   701190</v>
      </c>
      <c r="B10960" t="str">
        <f>T("   AUTRES")</f>
        <v xml:space="preserve">   AUTRES</v>
      </c>
      <c r="C10960" s="4">
        <v>67603</v>
      </c>
      <c r="D10960" s="4">
        <v>21297227</v>
      </c>
    </row>
    <row r="10961" spans="1:4" x14ac:dyDescent="0.25">
      <c r="A10961" t="str">
        <f>T("   730890")</f>
        <v xml:space="preserve">   730890</v>
      </c>
      <c r="B10961" t="str">
        <f>T("   AUTRES")</f>
        <v xml:space="preserve">   AUTRES</v>
      </c>
      <c r="C10961" s="4">
        <v>2590</v>
      </c>
      <c r="D10961" s="4">
        <v>3799976</v>
      </c>
    </row>
    <row r="10962" spans="1:4" x14ac:dyDescent="0.25">
      <c r="A10962" t="str">
        <f>T("   731021")</f>
        <v xml:space="preserve">   731021</v>
      </c>
      <c r="B10962" t="str">
        <f>T("   BOITES A FERMER PAR SOUDAGE OU SERTISSAGE")</f>
        <v xml:space="preserve">   BOITES A FERMER PAR SOUDAGE OU SERTISSAGE</v>
      </c>
      <c r="C10962" s="4">
        <v>27833</v>
      </c>
      <c r="D10962" s="4">
        <v>24595220</v>
      </c>
    </row>
    <row r="10963" spans="1:4" x14ac:dyDescent="0.25">
      <c r="A10963" t="str">
        <f>T("   731815")</f>
        <v xml:space="preserve">   731815</v>
      </c>
      <c r="B10963" t="str">
        <f>T("   AUTRES VIS ET BOULONS, MEME AVEC LEURS ECROUS OU RONDELLES")</f>
        <v xml:space="preserve">   AUTRES VIS ET BOULONS, MEME AVEC LEURS ECROUS OU RONDELLES</v>
      </c>
      <c r="C10963" s="4">
        <v>20359</v>
      </c>
      <c r="D10963" s="4">
        <v>5322460</v>
      </c>
    </row>
    <row r="10964" spans="1:4" x14ac:dyDescent="0.25">
      <c r="A10964" t="str">
        <f>T("   732394")</f>
        <v xml:space="preserve">   732394</v>
      </c>
      <c r="B10964" t="str">
        <f>T("   EN FER OU EN ACIER, EMAILLES")</f>
        <v xml:space="preserve">   EN FER OU EN ACIER, EMAILLES</v>
      </c>
      <c r="C10964" s="4">
        <v>200</v>
      </c>
      <c r="D10964" s="4">
        <v>350000</v>
      </c>
    </row>
    <row r="10965" spans="1:4" x14ac:dyDescent="0.25">
      <c r="A10965" t="str">
        <f>T("   732399")</f>
        <v xml:space="preserve">   732399</v>
      </c>
      <c r="B10965" t="str">
        <f>T("   AUTRES")</f>
        <v xml:space="preserve">   AUTRES</v>
      </c>
      <c r="C10965" s="4">
        <v>1500</v>
      </c>
      <c r="D10965" s="4">
        <v>2000000</v>
      </c>
    </row>
    <row r="10966" spans="1:4" x14ac:dyDescent="0.25">
      <c r="A10966" t="str">
        <f>T("   732690")</f>
        <v xml:space="preserve">   732690</v>
      </c>
      <c r="B10966" t="str">
        <f>T("   AUTRES")</f>
        <v xml:space="preserve">   AUTRES</v>
      </c>
      <c r="C10966" s="4">
        <v>15889</v>
      </c>
      <c r="D10966" s="4">
        <v>194050515</v>
      </c>
    </row>
    <row r="10967" spans="1:4" x14ac:dyDescent="0.25">
      <c r="A10967" t="str">
        <f>T("   760429")</f>
        <v xml:space="preserve">   760429</v>
      </c>
      <c r="B10967" t="str">
        <f>T("   AUTRES")</f>
        <v xml:space="preserve">   AUTRES</v>
      </c>
      <c r="C10967" s="4">
        <v>21080</v>
      </c>
      <c r="D10967" s="4">
        <v>13284141</v>
      </c>
    </row>
    <row r="10968" spans="1:4" x14ac:dyDescent="0.25">
      <c r="A10968" t="str">
        <f>T("   760611")</f>
        <v xml:space="preserve">   760611</v>
      </c>
      <c r="B10968" t="str">
        <f>T("   EN ALUMINIUM NON ALLIE")</f>
        <v xml:space="preserve">   EN ALUMINIUM NON ALLIE</v>
      </c>
      <c r="C10968" s="4">
        <v>129950</v>
      </c>
      <c r="D10968" s="4">
        <v>21845986</v>
      </c>
    </row>
    <row r="10969" spans="1:4" x14ac:dyDescent="0.25">
      <c r="A10969" t="str">
        <f>T("   820130")</f>
        <v xml:space="preserve">   820130</v>
      </c>
      <c r="B10969" t="str">
        <f>T("   Pioches, pics, houes, binettes, rateaux et racloirs")</f>
        <v xml:space="preserve">   Pioches, pics, houes, binettes, rateaux et racloirs</v>
      </c>
      <c r="C10969" s="4">
        <v>4558</v>
      </c>
      <c r="D10969" s="4">
        <v>3400497</v>
      </c>
    </row>
    <row r="10970" spans="1:4" x14ac:dyDescent="0.25">
      <c r="A10970" t="str">
        <f>T("   820719")</f>
        <v xml:space="preserve">   820719</v>
      </c>
      <c r="B10970" t="str">
        <f>T("   AUTRES, Y COMPRIS LES PARTIES")</f>
        <v xml:space="preserve">   AUTRES, Y COMPRIS LES PARTIES</v>
      </c>
      <c r="C10970" s="4">
        <v>532</v>
      </c>
      <c r="D10970" s="4">
        <v>49890179</v>
      </c>
    </row>
    <row r="10971" spans="1:4" x14ac:dyDescent="0.25">
      <c r="A10971" t="str">
        <f>T("   830210")</f>
        <v xml:space="preserve">   830210</v>
      </c>
      <c r="B10971" t="str">
        <f>T("   CHARNIERES DE TOUS GENRES (Y COMPRIS LES PAUMELLES ET PENTURES)")</f>
        <v xml:space="preserve">   CHARNIERES DE TOUS GENRES (Y COMPRIS LES PAUMELLES ET PENTURES)</v>
      </c>
      <c r="C10971" s="4">
        <v>11362</v>
      </c>
      <c r="D10971" s="4">
        <v>6535986</v>
      </c>
    </row>
    <row r="10972" spans="1:4" x14ac:dyDescent="0.25">
      <c r="A10972" t="str">
        <f>T("   830242")</f>
        <v xml:space="preserve">   830242</v>
      </c>
      <c r="B10972" t="str">
        <f>T("   AUTRES, POUR MEUBLES")</f>
        <v xml:space="preserve">   AUTRES, POUR MEUBLES</v>
      </c>
      <c r="C10972" s="4">
        <v>360</v>
      </c>
      <c r="D10972" s="4">
        <v>1243824</v>
      </c>
    </row>
    <row r="10973" spans="1:4" x14ac:dyDescent="0.25">
      <c r="A10973" t="str">
        <f>T("   841830")</f>
        <v xml:space="preserve">   841830</v>
      </c>
      <c r="B10973" t="str">
        <f>T("   MEUBLES CONGELATEURSCONSERVATEURS DU TYPE COFFRE, D'UNE CAPACITE N'EXCEDANT PAS 800 ")</f>
        <v xml:space="preserve">   MEUBLES CONGELATEURSCONSERVATEURS DU TYPE COFFRE, D'UNE CAPACITE N'EXCEDANT PAS 800 </v>
      </c>
      <c r="C10973" s="4">
        <v>4763</v>
      </c>
      <c r="D10973" s="4">
        <v>7646100</v>
      </c>
    </row>
    <row r="10974" spans="1:4" x14ac:dyDescent="0.25">
      <c r="A10974" t="str">
        <f>T("   842382")</f>
        <v xml:space="preserve">   842382</v>
      </c>
      <c r="B10974" t="str">
        <f>T("   D'UNE PORTEE EXCEDANT 30 KG MAIS N'EXCEDANT PAS 5.000 KG")</f>
        <v xml:space="preserve">   D'UNE PORTEE EXCEDANT 30 KG MAIS N'EXCEDANT PAS 5.000 KG</v>
      </c>
      <c r="C10974" s="4">
        <v>1700</v>
      </c>
      <c r="D10974" s="4">
        <v>7163084</v>
      </c>
    </row>
    <row r="10975" spans="1:4" x14ac:dyDescent="0.25">
      <c r="A10975" t="str">
        <f>T("   842940")</f>
        <v xml:space="preserve">   842940</v>
      </c>
      <c r="B10975" t="str">
        <f>T("   COMPACTEUSES ET ROULEAUX COMPRESSEURS")</f>
        <v xml:space="preserve">   COMPACTEUSES ET ROULEAUX COMPRESSEURS</v>
      </c>
      <c r="C10975" s="4">
        <v>64000</v>
      </c>
      <c r="D10975" s="4">
        <v>56560702</v>
      </c>
    </row>
    <row r="10976" spans="1:4" x14ac:dyDescent="0.25">
      <c r="A10976" t="str">
        <f>T("   842951")</f>
        <v xml:space="preserve">   842951</v>
      </c>
      <c r="B10976" t="str">
        <f>T("   CHARGEUSES ET CHARGEUSESPELLETEUSES A CHARGEMENT FRONTAL")</f>
        <v xml:space="preserve">   CHARGEUSES ET CHARGEUSESPELLETEUSES A CHARGEMENT FRONTAL</v>
      </c>
      <c r="C10976" s="4">
        <v>34600</v>
      </c>
      <c r="D10976" s="4">
        <v>97082080</v>
      </c>
    </row>
    <row r="10977" spans="1:4" x14ac:dyDescent="0.25">
      <c r="A10977" t="str">
        <f>T("   847190")</f>
        <v xml:space="preserve">   847190</v>
      </c>
      <c r="B10977" t="str">
        <f>T("   AUTRES")</f>
        <v xml:space="preserve">   AUTRES</v>
      </c>
      <c r="C10977" s="4">
        <v>14</v>
      </c>
      <c r="D10977" s="4">
        <v>1131531</v>
      </c>
    </row>
    <row r="10978" spans="1:4" x14ac:dyDescent="0.25">
      <c r="A10978" t="str">
        <f>T("   848180")</f>
        <v xml:space="preserve">   848180</v>
      </c>
      <c r="B10978" t="str">
        <f>T("   Autres articles de robinetterie et organes similaires")</f>
        <v xml:space="preserve">   Autres articles de robinetterie et organes similaires</v>
      </c>
      <c r="C10978" s="4">
        <v>2785</v>
      </c>
      <c r="D10978" s="4">
        <v>4967979</v>
      </c>
    </row>
    <row r="10979" spans="1:4" x14ac:dyDescent="0.25">
      <c r="A10979" t="str">
        <f>T("   848340")</f>
        <v xml:space="preserve">   848340</v>
      </c>
      <c r="B10979" t="str">
        <f>T("   ENGRENAGES ET ROUES DE FRICTION, AUTRES QUE LES ROUES DENTEES ET AUTRES ORGANES ELEME")</f>
        <v xml:space="preserve">   ENGRENAGES ET ROUES DE FRICTION, AUTRES QUE LES ROUES DENTEES ET AUTRES ORGANES ELEME</v>
      </c>
      <c r="C10979" s="4">
        <v>5</v>
      </c>
      <c r="D10979" s="4">
        <v>1430111</v>
      </c>
    </row>
    <row r="10980" spans="1:4" x14ac:dyDescent="0.25">
      <c r="A10980" t="str">
        <f>T("   850780")</f>
        <v xml:space="preserve">   850780</v>
      </c>
      <c r="B10980" t="str">
        <f>T("   AUTRES ACCUMULATEURS")</f>
        <v xml:space="preserve">   AUTRES ACCUMULATEURS</v>
      </c>
      <c r="C10980" s="4">
        <v>26483</v>
      </c>
      <c r="D10980" s="4">
        <v>11813572</v>
      </c>
    </row>
    <row r="10981" spans="1:4" x14ac:dyDescent="0.25">
      <c r="A10981" t="str">
        <f>T("   852872")</f>
        <v xml:space="preserve">   852872</v>
      </c>
      <c r="B10981" t="str">
        <f>T("   AUTRES, EN COULEURS")</f>
        <v xml:space="preserve">   AUTRES, EN COULEURS</v>
      </c>
      <c r="C10981" s="4">
        <v>100</v>
      </c>
      <c r="D10981" s="4">
        <v>50000</v>
      </c>
    </row>
    <row r="10982" spans="1:4" x14ac:dyDescent="0.25">
      <c r="A10982" t="str">
        <f>T("   853620")</f>
        <v xml:space="preserve">   853620</v>
      </c>
      <c r="B10982" t="str">
        <f>T("   DISJONCTEURS")</f>
        <v xml:space="preserve">   DISJONCTEURS</v>
      </c>
      <c r="C10982" s="4">
        <v>475</v>
      </c>
      <c r="D10982" s="4">
        <v>1536258</v>
      </c>
    </row>
    <row r="10983" spans="1:4" x14ac:dyDescent="0.25">
      <c r="A10983" t="str">
        <f>T("   853929")</f>
        <v xml:space="preserve">   853929</v>
      </c>
      <c r="B10983" t="str">
        <f>T("   AUTRES")</f>
        <v xml:space="preserve">   AUTRES</v>
      </c>
      <c r="C10983" s="4">
        <v>270</v>
      </c>
      <c r="D10983" s="4">
        <v>1931802</v>
      </c>
    </row>
    <row r="10984" spans="1:4" x14ac:dyDescent="0.25">
      <c r="A10984" t="str">
        <f>T("   854449")</f>
        <v xml:space="preserve">   854449</v>
      </c>
      <c r="B10984" t="str">
        <f>T("   AUTRES")</f>
        <v xml:space="preserve">   AUTRES</v>
      </c>
      <c r="C10984" s="4">
        <v>92897</v>
      </c>
      <c r="D10984" s="4">
        <v>21654832</v>
      </c>
    </row>
    <row r="10985" spans="1:4" x14ac:dyDescent="0.25">
      <c r="A10985" t="str">
        <f>T("   854790")</f>
        <v xml:space="preserve">   854790</v>
      </c>
      <c r="B10985" t="str">
        <f>T("   AUTRES")</f>
        <v xml:space="preserve">   AUTRES</v>
      </c>
      <c r="C10985" s="4">
        <v>2131</v>
      </c>
      <c r="D10985" s="4">
        <v>709013</v>
      </c>
    </row>
    <row r="10986" spans="1:4" x14ac:dyDescent="0.25">
      <c r="A10986" t="str">
        <f>T("   870323")</f>
        <v xml:space="preserve">   870323</v>
      </c>
      <c r="B10986" t="str">
        <f>T("   D’UNE CYLINDREE EXCEDANT 1.500 CM³ MAIS N’EXCEDANT PAS 3.000 CM³")</f>
        <v xml:space="preserve">   D’UNE CYLINDREE EXCEDANT 1.500 CM³ MAIS N’EXCEDANT PAS 3.000 CM³</v>
      </c>
      <c r="C10986" s="4">
        <v>3600</v>
      </c>
      <c r="D10986" s="4">
        <v>4403708</v>
      </c>
    </row>
    <row r="10987" spans="1:4" x14ac:dyDescent="0.25">
      <c r="A10987" t="str">
        <f>T("   870324")</f>
        <v xml:space="preserve">   870324</v>
      </c>
      <c r="B10987" t="str">
        <f>T("   D’UNE CYLINDREE EXCEDANT 3.000 CM³")</f>
        <v xml:space="preserve">   D’UNE CYLINDREE EXCEDANT 3.000 CM³</v>
      </c>
      <c r="C10987" s="4">
        <v>1950</v>
      </c>
      <c r="D10987" s="4">
        <v>6273491</v>
      </c>
    </row>
    <row r="10988" spans="1:4" x14ac:dyDescent="0.25">
      <c r="A10988" t="str">
        <f>T("   870332")</f>
        <v xml:space="preserve">   870332</v>
      </c>
      <c r="B10988" t="str">
        <f>T("   D'UNE CYLINDREE EXCEDANT 1.500 CM³ MAIS N'EXCEDANT PAS 2.500 CM³")</f>
        <v xml:space="preserve">   D'UNE CYLINDREE EXCEDANT 1.500 CM³ MAIS N'EXCEDANT PAS 2.500 CM³</v>
      </c>
      <c r="C10988" s="4">
        <v>1500</v>
      </c>
      <c r="D10988" s="4">
        <v>1200000</v>
      </c>
    </row>
    <row r="10989" spans="1:4" x14ac:dyDescent="0.25">
      <c r="A10989" t="str">
        <f>T("   870899")</f>
        <v xml:space="preserve">   870899</v>
      </c>
      <c r="B10989" t="str">
        <f>T("   AUTRES")</f>
        <v xml:space="preserve">   AUTRES</v>
      </c>
      <c r="C10989" s="4">
        <v>50</v>
      </c>
      <c r="D10989" s="4">
        <v>116000</v>
      </c>
    </row>
    <row r="10990" spans="1:4" x14ac:dyDescent="0.25">
      <c r="A10990" t="str">
        <f>T("   901380")</f>
        <v xml:space="preserve">   901380</v>
      </c>
      <c r="B10990" t="str">
        <f>T("   AUTRES DISPOSITIFS, APPAREILS ET INSTRUMENTS")</f>
        <v xml:space="preserve">   AUTRES DISPOSITIFS, APPAREILS ET INSTRUMENTS</v>
      </c>
      <c r="C10990" s="4">
        <v>10</v>
      </c>
      <c r="D10990" s="4">
        <v>40000</v>
      </c>
    </row>
    <row r="10991" spans="1:4" x14ac:dyDescent="0.25">
      <c r="A10991" t="str">
        <f>T("   902610")</f>
        <v xml:space="preserve">   902610</v>
      </c>
      <c r="B10991" t="str">
        <f>T("   POUR LA MESURE OU LE CONTROLE DU DEBIT OU DU NIVEAU DES LIQUIDES")</f>
        <v xml:space="preserve">   POUR LA MESURE OU LE CONTROLE DU DEBIT OU DU NIVEAU DES LIQUIDES</v>
      </c>
      <c r="C10991" s="4">
        <v>46</v>
      </c>
      <c r="D10991" s="4">
        <v>372000</v>
      </c>
    </row>
    <row r="10992" spans="1:4" x14ac:dyDescent="0.25">
      <c r="A10992" t="str">
        <f>T("   902830")</f>
        <v xml:space="preserve">   902830</v>
      </c>
      <c r="B10992" t="str">
        <f>T("   COMPTEURS D'ELECTRICITE")</f>
        <v xml:space="preserve">   COMPTEURS D'ELECTRICITE</v>
      </c>
      <c r="C10992" s="4">
        <v>96128.9</v>
      </c>
      <c r="D10992" s="4">
        <v>998096667</v>
      </c>
    </row>
    <row r="10993" spans="1:4" x14ac:dyDescent="0.25">
      <c r="A10993" t="str">
        <f>T("   940350")</f>
        <v xml:space="preserve">   940350</v>
      </c>
      <c r="B10993" t="str">
        <f>T("   MEUBLES EN BOIS DES TYPES UTILISES DANS LES CHAMBRES A COUCHER")</f>
        <v xml:space="preserve">   MEUBLES EN BOIS DES TYPES UTILISES DANS LES CHAMBRES A COUCHER</v>
      </c>
      <c r="C10993" s="4">
        <v>2200</v>
      </c>
      <c r="D10993" s="4">
        <v>1800000</v>
      </c>
    </row>
    <row r="10994" spans="1:4" x14ac:dyDescent="0.25">
      <c r="A10994" t="str">
        <f>T("   940360")</f>
        <v xml:space="preserve">   940360</v>
      </c>
      <c r="B10994" t="str">
        <f>T("   Autres meubles en bois")</f>
        <v xml:space="preserve">   Autres meubles en bois</v>
      </c>
      <c r="C10994" s="4">
        <v>49500</v>
      </c>
      <c r="D10994" s="4">
        <v>28000000</v>
      </c>
    </row>
    <row r="10995" spans="1:4" x14ac:dyDescent="0.25">
      <c r="A10995" t="str">
        <f>T("   940370")</f>
        <v xml:space="preserve">   940370</v>
      </c>
      <c r="B10995" t="str">
        <f>T("   MEUBLES EN MATIERES PLASTIQUES")</f>
        <v xml:space="preserve">   MEUBLES EN MATIERES PLASTIQUES</v>
      </c>
      <c r="C10995" s="4">
        <v>3813</v>
      </c>
      <c r="D10995" s="4">
        <v>3464200</v>
      </c>
    </row>
    <row r="10996" spans="1:4" x14ac:dyDescent="0.25">
      <c r="A10996" t="str">
        <f>T("   940540")</f>
        <v xml:space="preserve">   940540</v>
      </c>
      <c r="B10996" t="str">
        <f>T("   AUTRES APPAREILS D'ECLAIRAGE ELECTRIQUES")</f>
        <v xml:space="preserve">   AUTRES APPAREILS D'ECLAIRAGE ELECTRIQUES</v>
      </c>
      <c r="C10996" s="4">
        <v>6111</v>
      </c>
      <c r="D10996" s="4">
        <v>6483509</v>
      </c>
    </row>
    <row r="10997" spans="1:4" x14ac:dyDescent="0.25">
      <c r="A10997" t="str">
        <f>T("   950590")</f>
        <v xml:space="preserve">   950590</v>
      </c>
      <c r="B10997" t="str">
        <f>T("   AUTRES")</f>
        <v xml:space="preserve">   AUTRES</v>
      </c>
      <c r="C10997" s="4">
        <v>64</v>
      </c>
      <c r="D10997" s="4">
        <v>50000</v>
      </c>
    </row>
    <row r="10998" spans="1:4" x14ac:dyDescent="0.25">
      <c r="A10998" t="str">
        <f>T("   960839")</f>
        <v xml:space="preserve">   960839</v>
      </c>
      <c r="B10998" t="str">
        <f>T("   AUTRES STYLOS A PLUME ET AUTRES STYLOS")</f>
        <v xml:space="preserve">   AUTRES STYLOS A PLUME ET AUTRES STYLOS</v>
      </c>
      <c r="C10998" s="4">
        <v>56</v>
      </c>
      <c r="D10998" s="4">
        <v>125945</v>
      </c>
    </row>
    <row r="10999" spans="1:4" s="5" customFormat="1" x14ac:dyDescent="0.25">
      <c r="A10999" s="5" t="str">
        <f>T("   ZZ_Total_Produit_SH6")</f>
        <v xml:space="preserve">   ZZ_Total_Produit_SH6</v>
      </c>
      <c r="B10999" s="5" t="str">
        <f>T("   ZZ_Total_Produit_SH6")</f>
        <v xml:space="preserve">   ZZ_Total_Produit_SH6</v>
      </c>
      <c r="C10999" s="1">
        <v>15906682.9</v>
      </c>
      <c r="D10999" s="1">
        <v>4105050601</v>
      </c>
    </row>
    <row r="11000" spans="1:4" s="5" customFormat="1" x14ac:dyDescent="0.25">
      <c r="B11000" s="5" t="str">
        <f>T("Turquie")</f>
        <v>Turquie</v>
      </c>
      <c r="C11000" s="1"/>
      <c r="D11000" s="1"/>
    </row>
    <row r="11001" spans="1:4" x14ac:dyDescent="0.25">
      <c r="A11001" t="str">
        <f>T("   020450")</f>
        <v xml:space="preserve">   020450</v>
      </c>
      <c r="B11001" t="str">
        <f>T("   VIANDES DES ANIMAUX DE L'ESPECE CAPRINE")</f>
        <v xml:space="preserve">   VIANDES DES ANIMAUX DE L'ESPECE CAPRINE</v>
      </c>
      <c r="C11001" s="4">
        <v>45000</v>
      </c>
      <c r="D11001" s="4">
        <v>27990000</v>
      </c>
    </row>
    <row r="11002" spans="1:4" x14ac:dyDescent="0.25">
      <c r="A11002" t="str">
        <f>T("   020712")</f>
        <v xml:space="preserve">   020712</v>
      </c>
      <c r="B11002" t="str">
        <f>T("   NON DECOUPES EN MORCEAUX, CONGELES")</f>
        <v xml:space="preserve">   NON DECOUPES EN MORCEAUX, CONGELES</v>
      </c>
      <c r="C11002" s="4">
        <v>237000</v>
      </c>
      <c r="D11002" s="4">
        <v>139951515</v>
      </c>
    </row>
    <row r="11003" spans="1:4" x14ac:dyDescent="0.25">
      <c r="A11003" t="str">
        <f>T("   020714")</f>
        <v xml:space="preserve">   020714</v>
      </c>
      <c r="B11003" t="str">
        <f>T("   MORCEAUX ET ABATS, CONGELES")</f>
        <v xml:space="preserve">   MORCEAUX ET ABATS, CONGELES</v>
      </c>
      <c r="C11003" s="4">
        <v>75100</v>
      </c>
      <c r="D11003" s="4">
        <v>46706977</v>
      </c>
    </row>
    <row r="11004" spans="1:4" x14ac:dyDescent="0.25">
      <c r="A11004" t="str">
        <f>T("   020727")</f>
        <v xml:space="preserve">   020727</v>
      </c>
      <c r="B11004" t="str">
        <f>T("   MORCEAUX ET ABATS, CONGELES")</f>
        <v xml:space="preserve">   MORCEAUX ET ABATS, CONGELES</v>
      </c>
      <c r="C11004" s="4">
        <v>187500</v>
      </c>
      <c r="D11004" s="4">
        <v>116625433</v>
      </c>
    </row>
    <row r="11005" spans="1:4" x14ac:dyDescent="0.25">
      <c r="A11005" t="str">
        <f>T("   040210")</f>
        <v xml:space="preserve">   040210</v>
      </c>
      <c r="B11005" t="str">
        <f>T("   EN POUDRE, EN GRANULES OU SOUS D’AUTRES FORMES SOLIDES, D’UNE TENEUR EN POIDS DE MATI")</f>
        <v xml:space="preserve">   EN POUDRE, EN GRANULES OU SOUS D’AUTRES FORMES SOLIDES, D’UNE TENEUR EN POIDS DE MATI</v>
      </c>
      <c r="C11005" s="4">
        <v>192000</v>
      </c>
      <c r="D11005" s="4">
        <v>93303750</v>
      </c>
    </row>
    <row r="11006" spans="1:4" x14ac:dyDescent="0.25">
      <c r="A11006" t="str">
        <f>T("   050400")</f>
        <v xml:space="preserve">   050400</v>
      </c>
      <c r="B11006" t="str">
        <f>T("   BOYAUX, VESSIES ET ESTOMACS D'ANIMAUX, ENTIERS OU EN MORCEAUX, AUTRES QUE CEUX DE POISS")</f>
        <v xml:space="preserve">   BOYAUX, VESSIES ET ESTOMACS D'ANIMAUX, ENTIERS OU EN MORCEAUX, AUTRES QUE CEUX DE POISS</v>
      </c>
      <c r="C11006" s="4">
        <v>34510.839999999997</v>
      </c>
      <c r="D11006" s="4">
        <v>45000201</v>
      </c>
    </row>
    <row r="11007" spans="1:4" x14ac:dyDescent="0.25">
      <c r="A11007" t="str">
        <f>T("   090210")</f>
        <v xml:space="preserve">   090210</v>
      </c>
      <c r="B11007" t="str">
        <f>T("   THE VERT (NON FERMENTE) PRESENTE EN EMBALLAGES IMMEDIATS D'UN CONTENU N'EXCEDANT PAS")</f>
        <v xml:space="preserve">   THE VERT (NON FERMENTE) PRESENTE EN EMBALLAGES IMMEDIATS D'UN CONTENU N'EXCEDANT PAS</v>
      </c>
      <c r="C11007" s="4">
        <v>458</v>
      </c>
      <c r="D11007" s="4">
        <v>436655</v>
      </c>
    </row>
    <row r="11008" spans="1:4" x14ac:dyDescent="0.25">
      <c r="A11008" t="str">
        <f>T("   090220")</f>
        <v xml:space="preserve">   090220</v>
      </c>
      <c r="B11008" t="str">
        <f>T("   THE VERT (NON FERMENTE) PRESENTE AUTREMENT")</f>
        <v xml:space="preserve">   THE VERT (NON FERMENTE) PRESENTE AUTREMENT</v>
      </c>
      <c r="C11008" s="4">
        <v>271</v>
      </c>
      <c r="D11008" s="4">
        <v>1018197</v>
      </c>
    </row>
    <row r="11009" spans="1:4" x14ac:dyDescent="0.25">
      <c r="A11009" t="str">
        <f>T("   100190")</f>
        <v xml:space="preserve">   100190</v>
      </c>
      <c r="B11009" t="str">
        <f>T("   AUTRES FROMENT (BLE) ET METEIL")</f>
        <v xml:space="preserve">   AUTRES FROMENT (BLE) ET METEIL</v>
      </c>
      <c r="C11009" s="4">
        <v>766200</v>
      </c>
      <c r="D11009" s="4">
        <v>78930000</v>
      </c>
    </row>
    <row r="11010" spans="1:4" x14ac:dyDescent="0.25">
      <c r="A11010" t="str">
        <f>T("   100630")</f>
        <v xml:space="preserve">   100630</v>
      </c>
      <c r="B11010" t="str">
        <f>T("   RIZ SEMIBLANCHI OU BLANCHI, MEME POLI OU GLACE")</f>
        <v xml:space="preserve">   RIZ SEMIBLANCHI OU BLANCHI, MEME POLI OU GLACE</v>
      </c>
      <c r="C11010" s="4">
        <v>2076088</v>
      </c>
      <c r="D11010" s="4">
        <v>383325600</v>
      </c>
    </row>
    <row r="11011" spans="1:4" x14ac:dyDescent="0.25">
      <c r="A11011" t="str">
        <f>T("   100640")</f>
        <v xml:space="preserve">   100640</v>
      </c>
      <c r="B11011" t="str">
        <f>T("   RIZ EN BRISURES")</f>
        <v xml:space="preserve">   RIZ EN BRISURES</v>
      </c>
      <c r="C11011" s="4">
        <v>483763</v>
      </c>
      <c r="D11011" s="4">
        <v>177629078.38100001</v>
      </c>
    </row>
    <row r="11012" spans="1:4" x14ac:dyDescent="0.25">
      <c r="A11012" t="str">
        <f>T("   110100")</f>
        <v xml:space="preserve">   110100</v>
      </c>
      <c r="B11012" t="str">
        <f>T("   FARINES DE FROMENT (BLE) OU DE METEIL.")</f>
        <v xml:space="preserve">   FARINES DE FROMENT (BLE) OU DE METEIL.</v>
      </c>
      <c r="C11012" s="4">
        <v>40203425.799999997</v>
      </c>
      <c r="D11012" s="4">
        <v>10738170065.933001</v>
      </c>
    </row>
    <row r="11013" spans="1:4" x14ac:dyDescent="0.25">
      <c r="A11013" t="str">
        <f>T("   110290")</f>
        <v xml:space="preserve">   110290</v>
      </c>
      <c r="B11013" t="str">
        <f>T("   AUTRES")</f>
        <v xml:space="preserve">   AUTRES</v>
      </c>
      <c r="C11013" s="4">
        <v>265252</v>
      </c>
      <c r="D11013" s="4">
        <v>27205318</v>
      </c>
    </row>
    <row r="11014" spans="1:4" x14ac:dyDescent="0.25">
      <c r="A11014" t="str">
        <f>T("   110311")</f>
        <v xml:space="preserve">   110311</v>
      </c>
      <c r="B11014" t="str">
        <f>T("   DE FROMENT (BLE)")</f>
        <v xml:space="preserve">   DE FROMENT (BLE)</v>
      </c>
      <c r="C11014" s="4">
        <v>2165202</v>
      </c>
      <c r="D11014" s="4">
        <v>320742381</v>
      </c>
    </row>
    <row r="11015" spans="1:4" x14ac:dyDescent="0.25">
      <c r="A11015" t="str">
        <f>T("   151190")</f>
        <v xml:space="preserve">   151190</v>
      </c>
      <c r="B11015" t="str">
        <f>T("   AUTRES")</f>
        <v xml:space="preserve">   AUTRES</v>
      </c>
      <c r="C11015" s="4">
        <v>8134</v>
      </c>
      <c r="D11015" s="4">
        <v>2905435.7</v>
      </c>
    </row>
    <row r="11016" spans="1:4" x14ac:dyDescent="0.25">
      <c r="A11016" t="str">
        <f>T("   151229")</f>
        <v xml:space="preserve">   151229</v>
      </c>
      <c r="B11016" t="str">
        <f>T("   AUTRES")</f>
        <v xml:space="preserve">   AUTRES</v>
      </c>
      <c r="C11016" s="4">
        <v>13686</v>
      </c>
      <c r="D11016" s="4">
        <v>5500000</v>
      </c>
    </row>
    <row r="11017" spans="1:4" x14ac:dyDescent="0.25">
      <c r="A11017" t="str">
        <f>T("   151610")</f>
        <v xml:space="preserve">   151610</v>
      </c>
      <c r="B11017" t="str">
        <f>T("   GRAISSES ET HUILES ANIMALES ET LEURS FRACTIONS")</f>
        <v xml:space="preserve">   GRAISSES ET HUILES ANIMALES ET LEURS FRACTIONS</v>
      </c>
      <c r="C11017" s="4">
        <v>12360</v>
      </c>
      <c r="D11017" s="4">
        <v>5500000</v>
      </c>
    </row>
    <row r="11018" spans="1:4" x14ac:dyDescent="0.25">
      <c r="A11018" t="str">
        <f>T("   151620")</f>
        <v xml:space="preserve">   151620</v>
      </c>
      <c r="B11018" t="str">
        <f>T("   GRAISSES ET HUILES VEGETALES ET LEURS FRACTIONS")</f>
        <v xml:space="preserve">   GRAISSES ET HUILES VEGETALES ET LEURS FRACTIONS</v>
      </c>
      <c r="C11018" s="4">
        <v>345155</v>
      </c>
      <c r="D11018" s="4">
        <v>80800838</v>
      </c>
    </row>
    <row r="11019" spans="1:4" x14ac:dyDescent="0.25">
      <c r="A11019" t="str">
        <f>T("   160100")</f>
        <v xml:space="preserve">   160100</v>
      </c>
      <c r="B11019" t="str">
        <f>T("   SAUCISSES, SAUCISSONS ET PRODUITS SIMILAIRES, DE VIANDE, D'ABATS OU DE SANG; PREPARATIO")</f>
        <v xml:space="preserve">   SAUCISSES, SAUCISSONS ET PRODUITS SIMILAIRES, DE VIANDE, D'ABATS OU DE SANG; PREPARATIO</v>
      </c>
      <c r="C11019" s="4">
        <v>25010</v>
      </c>
      <c r="D11019" s="4">
        <v>18757832</v>
      </c>
    </row>
    <row r="11020" spans="1:4" x14ac:dyDescent="0.25">
      <c r="A11020" t="str">
        <f>T("   170199")</f>
        <v xml:space="preserve">   170199</v>
      </c>
      <c r="B11020" t="str">
        <f>T("   AUTRES")</f>
        <v xml:space="preserve">   AUTRES</v>
      </c>
      <c r="C11020" s="4">
        <v>405000</v>
      </c>
      <c r="D11020" s="4">
        <v>87548404.819000006</v>
      </c>
    </row>
    <row r="11021" spans="1:4" x14ac:dyDescent="0.25">
      <c r="A11021" t="str">
        <f>T("   170410")</f>
        <v xml:space="preserve">   170410</v>
      </c>
      <c r="B11021" t="str">
        <f>T("   GOMMES A MACHER (CHEWINGGUM), MEME ENROBEES DE SUCRE")</f>
        <v xml:space="preserve">   GOMMES A MACHER (CHEWINGGUM), MEME ENROBEES DE SUCRE</v>
      </c>
      <c r="C11021" s="4">
        <v>16575</v>
      </c>
      <c r="D11021" s="4">
        <v>5461500</v>
      </c>
    </row>
    <row r="11022" spans="1:4" x14ac:dyDescent="0.25">
      <c r="A11022" t="str">
        <f>T("   170490")</f>
        <v xml:space="preserve">   170490</v>
      </c>
      <c r="B11022" t="str">
        <f>T("   AUTRES")</f>
        <v xml:space="preserve">   AUTRES</v>
      </c>
      <c r="C11022" s="4">
        <v>379409</v>
      </c>
      <c r="D11022" s="4">
        <v>93464684</v>
      </c>
    </row>
    <row r="11023" spans="1:4" x14ac:dyDescent="0.25">
      <c r="A11023" t="str">
        <f>T("   190190")</f>
        <v xml:space="preserve">   190190</v>
      </c>
      <c r="B11023" t="str">
        <f>T("   AUTRES")</f>
        <v xml:space="preserve">   AUTRES</v>
      </c>
      <c r="C11023" s="4">
        <v>2592</v>
      </c>
      <c r="D11023" s="4">
        <v>1080498</v>
      </c>
    </row>
    <row r="11024" spans="1:4" x14ac:dyDescent="0.25">
      <c r="A11024" t="str">
        <f>T("   190219")</f>
        <v xml:space="preserve">   190219</v>
      </c>
      <c r="B11024" t="str">
        <f>T("   AUTRES")</f>
        <v xml:space="preserve">   AUTRES</v>
      </c>
      <c r="C11024" s="4">
        <v>5822782</v>
      </c>
      <c r="D11024" s="4">
        <v>897446158</v>
      </c>
    </row>
    <row r="11025" spans="1:4" x14ac:dyDescent="0.25">
      <c r="A11025" t="str">
        <f>T("   190220")</f>
        <v xml:space="preserve">   190220</v>
      </c>
      <c r="B11025" t="str">
        <f>T("   PATES ALIMENTAIRES FARCIES (MEME CUITES OU AUTREMENT PREPAREES)")</f>
        <v xml:space="preserve">   PATES ALIMENTAIRES FARCIES (MEME CUITES OU AUTREMENT PREPAREES)</v>
      </c>
      <c r="C11025" s="4">
        <v>607126</v>
      </c>
      <c r="D11025" s="4">
        <v>103826041</v>
      </c>
    </row>
    <row r="11026" spans="1:4" x14ac:dyDescent="0.25">
      <c r="A11026" t="str">
        <f>T("   190230")</f>
        <v xml:space="preserve">   190230</v>
      </c>
      <c r="B11026" t="str">
        <f>T("   AUTRES PATES ALIMENTAIRES")</f>
        <v xml:space="preserve">   AUTRES PATES ALIMENTAIRES</v>
      </c>
      <c r="C11026" s="4">
        <v>7565591</v>
      </c>
      <c r="D11026" s="4">
        <v>926658426</v>
      </c>
    </row>
    <row r="11027" spans="1:4" x14ac:dyDescent="0.25">
      <c r="A11027" t="str">
        <f>T("   190240")</f>
        <v xml:space="preserve">   190240</v>
      </c>
      <c r="B11027" t="str">
        <f>T("   COUSCOUS")</f>
        <v xml:space="preserve">   COUSCOUS</v>
      </c>
      <c r="C11027" s="4">
        <v>491096</v>
      </c>
      <c r="D11027" s="4">
        <v>142583000</v>
      </c>
    </row>
    <row r="11028" spans="1:4" x14ac:dyDescent="0.25">
      <c r="A11028" t="str">
        <f>T("   190531")</f>
        <v xml:space="preserve">   190531</v>
      </c>
      <c r="B11028" t="str">
        <f>T("   BISCUITS ADDITIONNES D’EDULCORANTS")</f>
        <v xml:space="preserve">   BISCUITS ADDITIONNES D’EDULCORANTS</v>
      </c>
      <c r="C11028" s="4">
        <v>101662</v>
      </c>
      <c r="D11028" s="4">
        <v>26148207</v>
      </c>
    </row>
    <row r="11029" spans="1:4" x14ac:dyDescent="0.25">
      <c r="A11029" t="str">
        <f>T("   190532")</f>
        <v xml:space="preserve">   190532</v>
      </c>
      <c r="B11029" t="str">
        <f>T("   GAUFRES ET GAUFRETTES")</f>
        <v xml:space="preserve">   GAUFRES ET GAUFRETTES</v>
      </c>
      <c r="C11029" s="4">
        <v>16485</v>
      </c>
      <c r="D11029" s="4">
        <v>5391991</v>
      </c>
    </row>
    <row r="11030" spans="1:4" x14ac:dyDescent="0.25">
      <c r="A11030" t="str">
        <f>T("   190590")</f>
        <v xml:space="preserve">   190590</v>
      </c>
      <c r="B11030" t="str">
        <f>T("   AUTRES")</f>
        <v xml:space="preserve">   AUTRES</v>
      </c>
      <c r="C11030" s="4">
        <v>450064.2</v>
      </c>
      <c r="D11030" s="4">
        <v>142827349</v>
      </c>
    </row>
    <row r="11031" spans="1:4" x14ac:dyDescent="0.25">
      <c r="A11031" t="str">
        <f>T("   200980")</f>
        <v xml:space="preserve">   200980</v>
      </c>
      <c r="B11031" t="str">
        <f>T("   AUTRES JUS DE FRUITS OU DE LEGUMES,SANS ALCOOL,SUCRES OU NON")</f>
        <v xml:space="preserve">   AUTRES JUS DE FRUITS OU DE LEGUMES,SANS ALCOOL,SUCRES OU NON</v>
      </c>
      <c r="C11031" s="4">
        <v>129771</v>
      </c>
      <c r="D11031" s="4">
        <v>20124637</v>
      </c>
    </row>
    <row r="11032" spans="1:4" x14ac:dyDescent="0.25">
      <c r="A11032" t="str">
        <f>T("   210690")</f>
        <v xml:space="preserve">   210690</v>
      </c>
      <c r="B11032" t="str">
        <f>T("   AUTRES")</f>
        <v xml:space="preserve">   AUTRES</v>
      </c>
      <c r="C11032" s="4">
        <v>17999</v>
      </c>
      <c r="D11032" s="4">
        <v>6915392</v>
      </c>
    </row>
    <row r="11033" spans="1:4" x14ac:dyDescent="0.25">
      <c r="A11033" t="str">
        <f>T("   220110")</f>
        <v xml:space="preserve">   220110</v>
      </c>
      <c r="B11033" t="str">
        <f>T("   EAUX MINERALES ET EAUX GAZEIFIEES")</f>
        <v xml:space="preserve">   EAUX MINERALES ET EAUX GAZEIFIEES</v>
      </c>
      <c r="C11033" s="4">
        <v>36040</v>
      </c>
      <c r="D11033" s="4">
        <v>5136814</v>
      </c>
    </row>
    <row r="11034" spans="1:4" x14ac:dyDescent="0.25">
      <c r="A11034" t="str">
        <f>T("   220210")</f>
        <v xml:space="preserve">   220210</v>
      </c>
      <c r="B11034" t="str">
        <f>T("   EAUX, Y COMPRIS LES EAUX MINERALES ET LES EAUX GAZEIFIEES, ADDITIONNEES DE SUCRE OU D")</f>
        <v xml:space="preserve">   EAUX, Y COMPRIS LES EAUX MINERALES ET LES EAUX GAZEIFIEES, ADDITIONNEES DE SUCRE OU D</v>
      </c>
      <c r="C11034" s="4">
        <v>53222</v>
      </c>
      <c r="D11034" s="4">
        <v>9678103</v>
      </c>
    </row>
    <row r="11035" spans="1:4" x14ac:dyDescent="0.25">
      <c r="A11035" t="str">
        <f>T("   220290")</f>
        <v xml:space="preserve">   220290</v>
      </c>
      <c r="B11035" t="str">
        <f>T("   AUTRES")</f>
        <v xml:space="preserve">   AUTRES</v>
      </c>
      <c r="C11035" s="4">
        <v>309037</v>
      </c>
      <c r="D11035" s="4">
        <v>32619036</v>
      </c>
    </row>
    <row r="11036" spans="1:4" x14ac:dyDescent="0.25">
      <c r="A11036" t="str">
        <f>T("   220300")</f>
        <v xml:space="preserve">   220300</v>
      </c>
      <c r="B11036" t="str">
        <f>T("   BIERES DE MALT.")</f>
        <v xml:space="preserve">   BIERES DE MALT.</v>
      </c>
      <c r="C11036" s="4">
        <v>1616204.35</v>
      </c>
      <c r="D11036" s="4">
        <v>367459740</v>
      </c>
    </row>
    <row r="11037" spans="1:4" x14ac:dyDescent="0.25">
      <c r="A11037" t="str">
        <f>T("   220600")</f>
        <v xml:space="preserve">   220600</v>
      </c>
      <c r="B11037" t="str">
        <f>T("   AUTRES BOISSONS FERMENTEES (CIDRE, POIRE, HYDROMEL, PAR EXEMPLE); MELANGES DE BOISSONS")</f>
        <v xml:space="preserve">   AUTRES BOISSONS FERMENTEES (CIDRE, POIRE, HYDROMEL, PAR EXEMPLE); MELANGES DE BOISSONS</v>
      </c>
      <c r="C11037" s="4">
        <v>53405</v>
      </c>
      <c r="D11037" s="4">
        <v>13383223</v>
      </c>
    </row>
    <row r="11038" spans="1:4" x14ac:dyDescent="0.25">
      <c r="A11038" t="str">
        <f>T("   220870")</f>
        <v xml:space="preserve">   220870</v>
      </c>
      <c r="B11038" t="str">
        <f>T("   LIQUEURS")</f>
        <v xml:space="preserve">   LIQUEURS</v>
      </c>
      <c r="C11038" s="4">
        <v>13215</v>
      </c>
      <c r="D11038" s="4">
        <v>2684188</v>
      </c>
    </row>
    <row r="11039" spans="1:4" x14ac:dyDescent="0.25">
      <c r="A11039" t="str">
        <f>T("   252020")</f>
        <v xml:space="preserve">   252020</v>
      </c>
      <c r="B11039" t="str">
        <f>T("   PLATRES")</f>
        <v xml:space="preserve">   PLATRES</v>
      </c>
      <c r="C11039" s="4">
        <v>364782</v>
      </c>
      <c r="D11039" s="4">
        <v>23282115</v>
      </c>
    </row>
    <row r="11040" spans="1:4" x14ac:dyDescent="0.25">
      <c r="A11040" t="str">
        <f>T("   252310")</f>
        <v xml:space="preserve">   252310</v>
      </c>
      <c r="B11040" t="str">
        <f>T("   CIMENTS NON PULVERISES DITS «CLINKERS»")</f>
        <v xml:space="preserve">   CIMENTS NON PULVERISES DITS «CLINKERS»</v>
      </c>
      <c r="C11040" s="4">
        <v>71000000</v>
      </c>
      <c r="D11040" s="4">
        <v>2485000000</v>
      </c>
    </row>
    <row r="11041" spans="1:4" x14ac:dyDescent="0.25">
      <c r="A11041" t="str">
        <f>T("   271011")</f>
        <v xml:space="preserve">   271011</v>
      </c>
      <c r="B11041" t="str">
        <f>T("   HUILLES DE PETROLE OU D'ESSENCE")</f>
        <v xml:space="preserve">   HUILLES DE PETROLE OU D'ESSENCE</v>
      </c>
      <c r="C11041" s="4">
        <v>16350</v>
      </c>
      <c r="D11041" s="4">
        <v>8856089</v>
      </c>
    </row>
    <row r="11042" spans="1:4" x14ac:dyDescent="0.25">
      <c r="A11042" t="str">
        <f>T("   271019")</f>
        <v xml:space="preserve">   271019</v>
      </c>
      <c r="B11042" t="str">
        <f>T("   AUTRES")</f>
        <v xml:space="preserve">   AUTRES</v>
      </c>
      <c r="C11042" s="4">
        <v>1144785</v>
      </c>
      <c r="D11042" s="4">
        <v>506112383</v>
      </c>
    </row>
    <row r="11043" spans="1:4" x14ac:dyDescent="0.25">
      <c r="A11043" t="str">
        <f>T("   283650")</f>
        <v xml:space="preserve">   283650</v>
      </c>
      <c r="B11043" t="str">
        <f>T("   Carbonate de calcium")</f>
        <v xml:space="preserve">   Carbonate de calcium</v>
      </c>
      <c r="C11043" s="4">
        <v>51000</v>
      </c>
      <c r="D11043" s="4">
        <v>6245953</v>
      </c>
    </row>
    <row r="11044" spans="1:4" x14ac:dyDescent="0.25">
      <c r="A11044" t="str">
        <f>T("   330300")</f>
        <v xml:space="preserve">   330300</v>
      </c>
      <c r="B11044" t="str">
        <f>T("   PARFUMS ET EAUX DE TOILETTE.")</f>
        <v xml:space="preserve">   PARFUMS ET EAUX DE TOILETTE.</v>
      </c>
      <c r="C11044" s="4">
        <v>365</v>
      </c>
      <c r="D11044" s="4">
        <v>640792</v>
      </c>
    </row>
    <row r="11045" spans="1:4" x14ac:dyDescent="0.25">
      <c r="A11045" t="str">
        <f>T("   330510")</f>
        <v xml:space="preserve">   330510</v>
      </c>
      <c r="B11045" t="str">
        <f>T("   Shampooings")</f>
        <v xml:space="preserve">   Shampooings</v>
      </c>
      <c r="C11045" s="4">
        <v>2000</v>
      </c>
      <c r="D11045" s="4">
        <v>1000000</v>
      </c>
    </row>
    <row r="11046" spans="1:4" x14ac:dyDescent="0.25">
      <c r="A11046" t="str">
        <f>T("   330520")</f>
        <v xml:space="preserve">   330520</v>
      </c>
      <c r="B11046" t="str">
        <f>T("   PREPARATIONS POUR L'ONDULATION OU LE DEFRISAGE PERMANENT")</f>
        <v xml:space="preserve">   PREPARATIONS POUR L'ONDULATION OU LE DEFRISAGE PERMANENT</v>
      </c>
      <c r="C11046" s="4">
        <v>6820</v>
      </c>
      <c r="D11046" s="4">
        <v>2344094</v>
      </c>
    </row>
    <row r="11047" spans="1:4" x14ac:dyDescent="0.25">
      <c r="A11047" t="str">
        <f>T("   330749")</f>
        <v xml:space="preserve">   330749</v>
      </c>
      <c r="B11047" t="str">
        <f>T("   AUTRES")</f>
        <v xml:space="preserve">   AUTRES</v>
      </c>
      <c r="C11047" s="4">
        <v>7076</v>
      </c>
      <c r="D11047" s="4">
        <v>15674971</v>
      </c>
    </row>
    <row r="11048" spans="1:4" x14ac:dyDescent="0.25">
      <c r="A11048" t="str">
        <f>T("   340111")</f>
        <v xml:space="preserve">   340111</v>
      </c>
      <c r="B11048" t="str">
        <f>T("   DE TOILETTE (Y COMPRIS CEUX A USAGES MEDICAUX)")</f>
        <v xml:space="preserve">   DE TOILETTE (Y COMPRIS CEUX A USAGES MEDICAUX)</v>
      </c>
      <c r="C11048" s="4">
        <v>143030</v>
      </c>
      <c r="D11048" s="4">
        <v>85386421</v>
      </c>
    </row>
    <row r="11049" spans="1:4" x14ac:dyDescent="0.25">
      <c r="A11049" t="str">
        <f>T("   340119")</f>
        <v xml:space="preserve">   340119</v>
      </c>
      <c r="B11049" t="str">
        <f>T("   AUTRES")</f>
        <v xml:space="preserve">   AUTRES</v>
      </c>
      <c r="C11049" s="4">
        <v>4560</v>
      </c>
      <c r="D11049" s="4">
        <v>1529536</v>
      </c>
    </row>
    <row r="11050" spans="1:4" x14ac:dyDescent="0.25">
      <c r="A11050" t="str">
        <f>T("   340120")</f>
        <v xml:space="preserve">   340120</v>
      </c>
      <c r="B11050" t="str">
        <f>T("   SAVONS SOUS AUTRES FORMES")</f>
        <v xml:space="preserve">   SAVONS SOUS AUTRES FORMES</v>
      </c>
      <c r="C11050" s="4">
        <v>21346</v>
      </c>
      <c r="D11050" s="4">
        <v>14312020</v>
      </c>
    </row>
    <row r="11051" spans="1:4" x14ac:dyDescent="0.25">
      <c r="A11051" t="str">
        <f>T("   340130")</f>
        <v xml:space="preserve">   340130</v>
      </c>
      <c r="B11051" t="str">
        <f>T("   PRODUITS ET PREPARATIONS ORGANIQUES TENSIOACTIFS DESTINES AU LAVAGE DE LA PEAU, SOUS")</f>
        <v xml:space="preserve">   PRODUITS ET PREPARATIONS ORGANIQUES TENSIOACTIFS DESTINES AU LAVAGE DE LA PEAU, SOUS</v>
      </c>
      <c r="C11051" s="4">
        <v>2000</v>
      </c>
      <c r="D11051" s="4">
        <v>1000000</v>
      </c>
    </row>
    <row r="11052" spans="1:4" x14ac:dyDescent="0.25">
      <c r="A11052" t="str">
        <f>T("   340220")</f>
        <v xml:space="preserve">   340220</v>
      </c>
      <c r="B11052" t="str">
        <f>T("   PREPARATIONS CONDITIONNEES POUR LA VENTE AU DETAIL")</f>
        <v xml:space="preserve">   PREPARATIONS CONDITIONNEES POUR LA VENTE AU DETAIL</v>
      </c>
      <c r="C11052" s="4">
        <v>20717</v>
      </c>
      <c r="D11052" s="4">
        <v>8232960</v>
      </c>
    </row>
    <row r="11053" spans="1:4" x14ac:dyDescent="0.25">
      <c r="A11053" t="str">
        <f>T("   340290")</f>
        <v xml:space="preserve">   340290</v>
      </c>
      <c r="B11053" t="str">
        <f>T("   AUTRES")</f>
        <v xml:space="preserve">   AUTRES</v>
      </c>
      <c r="C11053" s="4">
        <v>27736</v>
      </c>
      <c r="D11053" s="4">
        <v>16112911</v>
      </c>
    </row>
    <row r="11054" spans="1:4" x14ac:dyDescent="0.25">
      <c r="A11054" t="str">
        <f>T("   390110")</f>
        <v xml:space="preserve">   390110</v>
      </c>
      <c r="B11054" t="str">
        <f>T("   POLYETHYLENE D'UNE DENSITE INFERIEURE A 0,94")</f>
        <v xml:space="preserve">   POLYETHYLENE D'UNE DENSITE INFERIEURE A 0,94</v>
      </c>
      <c r="C11054" s="4">
        <v>32310</v>
      </c>
      <c r="D11054" s="4">
        <v>21787475</v>
      </c>
    </row>
    <row r="11055" spans="1:4" x14ac:dyDescent="0.25">
      <c r="A11055" t="str">
        <f>T("   390750")</f>
        <v xml:space="preserve">   390750</v>
      </c>
      <c r="B11055" t="str">
        <f>T("   RESINES ALKYDES")</f>
        <v xml:space="preserve">   RESINES ALKYDES</v>
      </c>
      <c r="C11055" s="4">
        <v>67846</v>
      </c>
      <c r="D11055" s="4">
        <v>70736717</v>
      </c>
    </row>
    <row r="11056" spans="1:4" x14ac:dyDescent="0.25">
      <c r="A11056" t="str">
        <f>T("   391722")</f>
        <v xml:space="preserve">   391722</v>
      </c>
      <c r="B11056" t="str">
        <f>T("   EN POLYMERES DU PROPYLENE")</f>
        <v xml:space="preserve">   EN POLYMERES DU PROPYLENE</v>
      </c>
      <c r="C11056" s="4">
        <v>8268</v>
      </c>
      <c r="D11056" s="4">
        <v>5296120</v>
      </c>
    </row>
    <row r="11057" spans="1:4" x14ac:dyDescent="0.25">
      <c r="A11057" t="str">
        <f>T("   391723")</f>
        <v xml:space="preserve">   391723</v>
      </c>
      <c r="B11057" t="str">
        <f>T("   EN POLYMERES DU CHLORURE DE VINYLE")</f>
        <v xml:space="preserve">   EN POLYMERES DU CHLORURE DE VINYLE</v>
      </c>
      <c r="C11057" s="4">
        <v>961</v>
      </c>
      <c r="D11057" s="4">
        <v>747781</v>
      </c>
    </row>
    <row r="11058" spans="1:4" x14ac:dyDescent="0.25">
      <c r="A11058" t="str">
        <f>T("   392329")</f>
        <v xml:space="preserve">   392329</v>
      </c>
      <c r="B11058" t="str">
        <f>T("   EN AUTRES MATIERES PLASTIQUES")</f>
        <v xml:space="preserve">   EN AUTRES MATIERES PLASTIQUES</v>
      </c>
      <c r="C11058" s="4">
        <v>10323</v>
      </c>
      <c r="D11058" s="4">
        <v>10706630</v>
      </c>
    </row>
    <row r="11059" spans="1:4" x14ac:dyDescent="0.25">
      <c r="A11059" t="str">
        <f>T("   392350")</f>
        <v xml:space="preserve">   392350</v>
      </c>
      <c r="B11059" t="str">
        <f>T("   BOUCHONS, COUVERCLES, CAPSULES ET AUTRES DISPOSITIFS DE FERMETURE")</f>
        <v xml:space="preserve">   BOUCHONS, COUVERCLES, CAPSULES ET AUTRES DISPOSITIFS DE FERMETURE</v>
      </c>
      <c r="C11059" s="4">
        <v>999</v>
      </c>
      <c r="D11059" s="4">
        <v>2880203</v>
      </c>
    </row>
    <row r="11060" spans="1:4" x14ac:dyDescent="0.25">
      <c r="A11060" t="str">
        <f>T("   392410")</f>
        <v xml:space="preserve">   392410</v>
      </c>
      <c r="B11060" t="str">
        <f>T("   VAISSELLE ET AUTRES ARTICLES POUR LE SERVICE DE LA TABLE OU DE LA CUISINE")</f>
        <v xml:space="preserve">   VAISSELLE ET AUTRES ARTICLES POUR LE SERVICE DE LA TABLE OU DE LA CUISINE</v>
      </c>
      <c r="C11060" s="4">
        <v>16808</v>
      </c>
      <c r="D11060" s="4">
        <v>5026758</v>
      </c>
    </row>
    <row r="11061" spans="1:4" x14ac:dyDescent="0.25">
      <c r="A11061" t="str">
        <f>T("   392490")</f>
        <v xml:space="preserve">   392490</v>
      </c>
      <c r="B11061" t="str">
        <f>T("   AUTRES")</f>
        <v xml:space="preserve">   AUTRES</v>
      </c>
      <c r="C11061" s="4">
        <v>12433</v>
      </c>
      <c r="D11061" s="4">
        <v>6452156</v>
      </c>
    </row>
    <row r="11062" spans="1:4" x14ac:dyDescent="0.25">
      <c r="A11062" t="str">
        <f>T("   392610")</f>
        <v xml:space="preserve">   392610</v>
      </c>
      <c r="B11062" t="str">
        <f>T("   ARTICLES DE BUREAU ET ARTICLES SCOLAIRES")</f>
        <v xml:space="preserve">   ARTICLES DE BUREAU ET ARTICLES SCOLAIRES</v>
      </c>
      <c r="C11062" s="4">
        <v>17465</v>
      </c>
      <c r="D11062" s="4">
        <v>10853962</v>
      </c>
    </row>
    <row r="11063" spans="1:4" x14ac:dyDescent="0.25">
      <c r="A11063" t="str">
        <f>T("   392690")</f>
        <v xml:space="preserve">   392690</v>
      </c>
      <c r="B11063" t="str">
        <f>T("   AUTRES")</f>
        <v xml:space="preserve">   AUTRES</v>
      </c>
      <c r="C11063" s="4">
        <v>1602</v>
      </c>
      <c r="D11063" s="4">
        <v>1331873</v>
      </c>
    </row>
    <row r="11064" spans="1:4" x14ac:dyDescent="0.25">
      <c r="A11064" t="str">
        <f>T("   420299")</f>
        <v xml:space="preserve">   420299</v>
      </c>
      <c r="B11064" t="str">
        <f>T("   AUTRES")</f>
        <v xml:space="preserve">   AUTRES</v>
      </c>
      <c r="C11064" s="4">
        <v>414</v>
      </c>
      <c r="D11064" s="4">
        <v>262392</v>
      </c>
    </row>
    <row r="11065" spans="1:4" x14ac:dyDescent="0.25">
      <c r="A11065" t="str">
        <f>T("   441039")</f>
        <v xml:space="preserve">   441039</v>
      </c>
      <c r="B11065" t="str">
        <f>T("   AUTRES PANNEAUX DE PARTICULES ET PANNEAUX SIMILAIRES EN BOIS")</f>
        <v xml:space="preserve">   AUTRES PANNEAUX DE PARTICULES ET PANNEAUX SIMILAIRES EN BOIS</v>
      </c>
      <c r="C11065" s="4">
        <v>72385</v>
      </c>
      <c r="D11065" s="4">
        <v>11646783</v>
      </c>
    </row>
    <row r="11066" spans="1:4" x14ac:dyDescent="0.25">
      <c r="A11066" t="str">
        <f>T("   441199")</f>
        <v xml:space="preserve">   441199</v>
      </c>
      <c r="B11066" t="str">
        <f>T("   AUTRES PANNEAUX DE FIBRES 0,35 G/CM3 ET -")</f>
        <v xml:space="preserve">   AUTRES PANNEAUX DE FIBRES 0,35 G/CM3 ET -</v>
      </c>
      <c r="C11066" s="4">
        <v>65271</v>
      </c>
      <c r="D11066" s="4">
        <v>11020290</v>
      </c>
    </row>
    <row r="11067" spans="1:4" x14ac:dyDescent="0.25">
      <c r="A11067" t="str">
        <f>T("   441820")</f>
        <v xml:space="preserve">   441820</v>
      </c>
      <c r="B11067" t="str">
        <f>T("   PORTES ET LEURS CADRES, CHAMBRANLES ET SEUILS")</f>
        <v xml:space="preserve">   PORTES ET LEURS CADRES, CHAMBRANLES ET SEUILS</v>
      </c>
      <c r="C11067" s="4">
        <v>10876</v>
      </c>
      <c r="D11067" s="4">
        <v>14241055</v>
      </c>
    </row>
    <row r="11068" spans="1:4" x14ac:dyDescent="0.25">
      <c r="A11068" t="str">
        <f>T("   480429")</f>
        <v xml:space="preserve">   480429</v>
      </c>
      <c r="B11068" t="str">
        <f>T("   AUTRES")</f>
        <v xml:space="preserve">   AUTRES</v>
      </c>
      <c r="C11068" s="4">
        <v>78400</v>
      </c>
      <c r="D11068" s="4">
        <v>55914030</v>
      </c>
    </row>
    <row r="11069" spans="1:4" x14ac:dyDescent="0.25">
      <c r="A11069" t="str">
        <f>T("   481810")</f>
        <v xml:space="preserve">   481810</v>
      </c>
      <c r="B11069" t="str">
        <f>T("   Papier hygienique")</f>
        <v xml:space="preserve">   Papier hygienique</v>
      </c>
      <c r="C11069" s="4">
        <v>3644</v>
      </c>
      <c r="D11069" s="4">
        <v>4289298</v>
      </c>
    </row>
    <row r="11070" spans="1:4" x14ac:dyDescent="0.25">
      <c r="A11070" t="str">
        <f>T("   481820")</f>
        <v xml:space="preserve">   481820</v>
      </c>
      <c r="B11070" t="str">
        <f>T("   MOUCHOIRS, SERVIETTES A DEMAQUILLER ET ESSUIEMAINS")</f>
        <v xml:space="preserve">   MOUCHOIRS, SERVIETTES A DEMAQUILLER ET ESSUIEMAINS</v>
      </c>
      <c r="C11070" s="4">
        <v>7784</v>
      </c>
      <c r="D11070" s="4">
        <v>4582136</v>
      </c>
    </row>
    <row r="11071" spans="1:4" x14ac:dyDescent="0.25">
      <c r="A11071" t="str">
        <f>T("   481840")</f>
        <v xml:space="preserve">   481840</v>
      </c>
      <c r="B11071" t="str">
        <f>T("   SERVIETTES,TAMPONS HYGIENIQUES,COUCHES POUR BEBES ET SIMILAIRES EN PAPIER")</f>
        <v xml:space="preserve">   SERVIETTES,TAMPONS HYGIENIQUES,COUCHES POUR BEBES ET SIMILAIRES EN PAPIER</v>
      </c>
      <c r="C11071" s="4">
        <v>228313</v>
      </c>
      <c r="D11071" s="4">
        <v>139239735</v>
      </c>
    </row>
    <row r="11072" spans="1:4" x14ac:dyDescent="0.25">
      <c r="A11072" t="str">
        <f>T("   481930")</f>
        <v xml:space="preserve">   481930</v>
      </c>
      <c r="B11072" t="str">
        <f>T("   SACS D'UNE LARGEUR A LA BASE DE 40 CM OU PLUS")</f>
        <v xml:space="preserve">   SACS D'UNE LARGEUR A LA BASE DE 40 CM OU PLUS</v>
      </c>
      <c r="C11072" s="4">
        <v>76400</v>
      </c>
      <c r="D11072" s="4">
        <v>57752832</v>
      </c>
    </row>
    <row r="11073" spans="1:4" x14ac:dyDescent="0.25">
      <c r="A11073" t="str">
        <f>T("   481940")</f>
        <v xml:space="preserve">   481940</v>
      </c>
      <c r="B11073" t="str">
        <f>T("   AUTRES SACS; SACHETS, POCHETTES (AUTRES QUE CELLES POUR DISQUES) ET CORNETS")</f>
        <v xml:space="preserve">   AUTRES SACS; SACHETS, POCHETTES (AUTRES QUE CELLES POUR DISQUES) ET CORNETS</v>
      </c>
      <c r="C11073" s="4">
        <v>235200</v>
      </c>
      <c r="D11073" s="4">
        <v>167740378</v>
      </c>
    </row>
    <row r="11074" spans="1:4" x14ac:dyDescent="0.25">
      <c r="A11074" t="str">
        <f>T("   490110")</f>
        <v xml:space="preserve">   490110</v>
      </c>
      <c r="B11074" t="str">
        <f>T("   EN FEUILLETS ISOLES, MEME PLIES")</f>
        <v xml:space="preserve">   EN FEUILLETS ISOLES, MEME PLIES</v>
      </c>
      <c r="C11074" s="4">
        <v>38930</v>
      </c>
      <c r="D11074" s="4">
        <v>8665532</v>
      </c>
    </row>
    <row r="11075" spans="1:4" x14ac:dyDescent="0.25">
      <c r="A11075" t="str">
        <f>T("   490199")</f>
        <v xml:space="preserve">   490199</v>
      </c>
      <c r="B11075" t="str">
        <f>T("   AUTRES")</f>
        <v xml:space="preserve">   AUTRES</v>
      </c>
      <c r="C11075" s="4">
        <v>185</v>
      </c>
      <c r="D11075" s="4">
        <v>74684</v>
      </c>
    </row>
    <row r="11076" spans="1:4" x14ac:dyDescent="0.25">
      <c r="A11076" t="str">
        <f>T("   491000")</f>
        <v xml:space="preserve">   491000</v>
      </c>
      <c r="B11076" t="str">
        <f>T("   CALENDRIERS DE TOUS GENRES, IMPRIMES, Y COMPRIS LES BLOCS DE CALENDRIERS A EFFEUILLER.")</f>
        <v xml:space="preserve">   CALENDRIERS DE TOUS GENRES, IMPRIMES, Y COMPRIS LES BLOCS DE CALENDRIERS A EFFEUILLER.</v>
      </c>
      <c r="C11076" s="4">
        <v>114</v>
      </c>
      <c r="D11076" s="4">
        <v>60000</v>
      </c>
    </row>
    <row r="11077" spans="1:4" x14ac:dyDescent="0.25">
      <c r="A11077" t="str">
        <f>T("   491110")</f>
        <v xml:space="preserve">   491110</v>
      </c>
      <c r="B11077" t="str">
        <f>T("   IMPRIMES PUBLICITAIRES, CATALOGUES COMMERCIAUX ET SIMILAIRES")</f>
        <v xml:space="preserve">   IMPRIMES PUBLICITAIRES, CATALOGUES COMMERCIAUX ET SIMILAIRES</v>
      </c>
      <c r="C11077" s="4">
        <v>358</v>
      </c>
      <c r="D11077" s="4">
        <v>366126</v>
      </c>
    </row>
    <row r="11078" spans="1:4" x14ac:dyDescent="0.25">
      <c r="A11078" t="str">
        <f>T("   520300")</f>
        <v xml:space="preserve">   520300</v>
      </c>
      <c r="B11078" t="str">
        <f>T("   COTON, CARDE OU PEIGNE.")</f>
        <v xml:space="preserve">   COTON, CARDE OU PEIGNE.</v>
      </c>
      <c r="C11078" s="4">
        <v>1049</v>
      </c>
      <c r="D11078" s="4">
        <v>1379172</v>
      </c>
    </row>
    <row r="11079" spans="1:4" x14ac:dyDescent="0.25">
      <c r="A11079" t="str">
        <f>T("   531090")</f>
        <v xml:space="preserve">   531090</v>
      </c>
      <c r="B11079" t="str">
        <f>T("   AUTRES")</f>
        <v xml:space="preserve">   AUTRES</v>
      </c>
      <c r="C11079" s="4">
        <v>1340</v>
      </c>
      <c r="D11079" s="4">
        <v>449102</v>
      </c>
    </row>
    <row r="11080" spans="1:4" x14ac:dyDescent="0.25">
      <c r="A11080" t="str">
        <f>T("   540792")</f>
        <v xml:space="preserve">   540792</v>
      </c>
      <c r="B11080" t="str">
        <f>T("   TEINTS")</f>
        <v xml:space="preserve">   TEINTS</v>
      </c>
      <c r="C11080" s="4">
        <v>3613</v>
      </c>
      <c r="D11080" s="4">
        <v>3277000</v>
      </c>
    </row>
    <row r="11081" spans="1:4" x14ac:dyDescent="0.25">
      <c r="A11081" t="str">
        <f>T("   551219")</f>
        <v xml:space="preserve">   551219</v>
      </c>
      <c r="B11081" t="str">
        <f>T("   AUTRES")</f>
        <v xml:space="preserve">   AUTRES</v>
      </c>
      <c r="C11081" s="4">
        <v>356</v>
      </c>
      <c r="D11081" s="4">
        <v>437525</v>
      </c>
    </row>
    <row r="11082" spans="1:4" x14ac:dyDescent="0.25">
      <c r="A11082" t="str">
        <f>T("   560110")</f>
        <v xml:space="preserve">   560110</v>
      </c>
      <c r="B11082" t="str">
        <f>T("   SERVIETTES,TAMPONS HYGIENIQUES,COUCHES BEBES,ARTICLES D'HYGIENE EN OUATES")</f>
        <v xml:space="preserve">   SERVIETTES,TAMPONS HYGIENIQUES,COUCHES BEBES,ARTICLES D'HYGIENE EN OUATES</v>
      </c>
      <c r="C11082" s="4">
        <v>18189</v>
      </c>
      <c r="D11082" s="4">
        <v>12891500</v>
      </c>
    </row>
    <row r="11083" spans="1:4" x14ac:dyDescent="0.25">
      <c r="A11083" t="str">
        <f>T("   560121")</f>
        <v xml:space="preserve">   560121</v>
      </c>
      <c r="B11083" t="str">
        <f>T("   DE COTON")</f>
        <v xml:space="preserve">   DE COTON</v>
      </c>
      <c r="C11083" s="4">
        <v>6892.4</v>
      </c>
      <c r="D11083" s="4">
        <v>5992900</v>
      </c>
    </row>
    <row r="11084" spans="1:4" x14ac:dyDescent="0.25">
      <c r="A11084" t="str">
        <f>T("   560900")</f>
        <v xml:space="preserve">   560900</v>
      </c>
      <c r="B11084" t="str">
        <f>T("   ARTICLES EN FILS, LAMES OU FORMES SIMILAIRES DES N°S 54.04 OU 54.05, FICELLES, CORDES O")</f>
        <v xml:space="preserve">   ARTICLES EN FILS, LAMES OU FORMES SIMILAIRES DES N°S 54.04 OU 54.05, FICELLES, CORDES O</v>
      </c>
      <c r="C11084" s="4">
        <v>110</v>
      </c>
      <c r="D11084" s="4">
        <v>404291</v>
      </c>
    </row>
    <row r="11085" spans="1:4" x14ac:dyDescent="0.25">
      <c r="A11085" t="str">
        <f>T("   570490")</f>
        <v xml:space="preserve">   570490</v>
      </c>
      <c r="B11085" t="str">
        <f>T("   AUTRES")</f>
        <v xml:space="preserve">   AUTRES</v>
      </c>
      <c r="C11085" s="4">
        <v>10260</v>
      </c>
      <c r="D11085" s="4">
        <v>9827969</v>
      </c>
    </row>
    <row r="11086" spans="1:4" x14ac:dyDescent="0.25">
      <c r="A11086" t="str">
        <f>T("   590700")</f>
        <v xml:space="preserve">   590700</v>
      </c>
      <c r="B11086" t="str">
        <f>T("   AUTRES TISSUS IMPREGNES, ENDUITS OU RECOUVERTS; TOILES PEINTES POUR DECORS DE THEATRES,")</f>
        <v xml:space="preserve">   AUTRES TISSUS IMPREGNES, ENDUITS OU RECOUVERTS; TOILES PEINTES POUR DECORS DE THEATRES,</v>
      </c>
      <c r="C11086" s="4">
        <v>250</v>
      </c>
      <c r="D11086" s="4">
        <v>499500</v>
      </c>
    </row>
    <row r="11087" spans="1:4" x14ac:dyDescent="0.25">
      <c r="A11087" t="str">
        <f>T("   610419")</f>
        <v xml:space="preserve">   610419</v>
      </c>
      <c r="B11087" t="str">
        <f>T("   D'AUTRES MATIERES TEXTILES")</f>
        <v xml:space="preserve">   D'AUTRES MATIERES TEXTILES</v>
      </c>
      <c r="C11087" s="4">
        <v>999</v>
      </c>
      <c r="D11087" s="4">
        <v>1401761</v>
      </c>
    </row>
    <row r="11088" spans="1:4" x14ac:dyDescent="0.25">
      <c r="A11088" t="str">
        <f>T("   610910")</f>
        <v xml:space="preserve">   610910</v>
      </c>
      <c r="B11088" t="str">
        <f>T("   DE COTON")</f>
        <v xml:space="preserve">   DE COTON</v>
      </c>
      <c r="C11088" s="4">
        <v>1489.65</v>
      </c>
      <c r="D11088" s="4">
        <v>1516801</v>
      </c>
    </row>
    <row r="11089" spans="1:4" x14ac:dyDescent="0.25">
      <c r="A11089" t="str">
        <f>T("   610990")</f>
        <v xml:space="preserve">   610990</v>
      </c>
      <c r="B11089" t="str">
        <f>T("   D'AUTRES MATIERES TEXTILES")</f>
        <v xml:space="preserve">   D'AUTRES MATIERES TEXTILES</v>
      </c>
      <c r="C11089" s="4">
        <v>512</v>
      </c>
      <c r="D11089" s="4">
        <v>984364</v>
      </c>
    </row>
    <row r="11090" spans="1:4" x14ac:dyDescent="0.25">
      <c r="A11090" t="str">
        <f>T("   611699")</f>
        <v xml:space="preserve">   611699</v>
      </c>
      <c r="B11090" t="str">
        <f>T("   D'AUTRES MATIERES TEXTILES")</f>
        <v xml:space="preserve">   D'AUTRES MATIERES TEXTILES</v>
      </c>
      <c r="C11090" s="4">
        <v>42</v>
      </c>
      <c r="D11090" s="4">
        <v>43815</v>
      </c>
    </row>
    <row r="11091" spans="1:4" x14ac:dyDescent="0.25">
      <c r="A11091" t="str">
        <f>T("   620349")</f>
        <v xml:space="preserve">   620349</v>
      </c>
      <c r="B11091" t="str">
        <f>T("   D'AUTRES MATIERES TEXTILES")</f>
        <v xml:space="preserve">   D'AUTRES MATIERES TEXTILES</v>
      </c>
      <c r="C11091" s="4">
        <v>1092</v>
      </c>
      <c r="D11091" s="4">
        <v>1343000</v>
      </c>
    </row>
    <row r="11092" spans="1:4" x14ac:dyDescent="0.25">
      <c r="A11092" t="str">
        <f>T("   620412")</f>
        <v xml:space="preserve">   620412</v>
      </c>
      <c r="B11092" t="str">
        <f>T("   DE COTON")</f>
        <v xml:space="preserve">   DE COTON</v>
      </c>
      <c r="C11092" s="4">
        <v>480</v>
      </c>
      <c r="D11092" s="4">
        <v>865500</v>
      </c>
    </row>
    <row r="11093" spans="1:4" x14ac:dyDescent="0.25">
      <c r="A11093" t="str">
        <f>T("   621020")</f>
        <v xml:space="preserve">   621020</v>
      </c>
      <c r="B11093" t="str">
        <f>T("   AUTRES VETEMENTS, DES TYPES VISES DANS LES N°S 6201.11 A 6201.19")</f>
        <v xml:space="preserve">   AUTRES VETEMENTS, DES TYPES VISES DANS LES N°S 6201.11 A 6201.19</v>
      </c>
      <c r="C11093" s="4">
        <v>1034</v>
      </c>
      <c r="D11093" s="4">
        <v>2300000</v>
      </c>
    </row>
    <row r="11094" spans="1:4" x14ac:dyDescent="0.25">
      <c r="A11094" t="str">
        <f>T("   621040")</f>
        <v xml:space="preserve">   621040</v>
      </c>
      <c r="B11094" t="str">
        <f>T("   AUTRES VETEMENTS POUR HOMMES OU GARCONNETS")</f>
        <v xml:space="preserve">   AUTRES VETEMENTS POUR HOMMES OU GARCONNETS</v>
      </c>
      <c r="C11094" s="4">
        <v>337</v>
      </c>
      <c r="D11094" s="4">
        <v>330295</v>
      </c>
    </row>
    <row r="11095" spans="1:4" x14ac:dyDescent="0.25">
      <c r="A11095" t="str">
        <f>T("   621050")</f>
        <v xml:space="preserve">   621050</v>
      </c>
      <c r="B11095" t="str">
        <f>T("   AUTRES VETEMENTS POUR FEMMES OU FILLETTES")</f>
        <v xml:space="preserve">   AUTRES VETEMENTS POUR FEMMES OU FILLETTES</v>
      </c>
      <c r="C11095" s="4">
        <v>322</v>
      </c>
      <c r="D11095" s="4">
        <v>456363</v>
      </c>
    </row>
    <row r="11096" spans="1:4" x14ac:dyDescent="0.25">
      <c r="A11096" t="str">
        <f>T("   630520")</f>
        <v xml:space="preserve">   630520</v>
      </c>
      <c r="B11096" t="str">
        <f>T("   DE COTON")</f>
        <v xml:space="preserve">   DE COTON</v>
      </c>
      <c r="C11096" s="4">
        <v>2100</v>
      </c>
      <c r="D11096" s="4">
        <v>342304</v>
      </c>
    </row>
    <row r="11097" spans="1:4" x14ac:dyDescent="0.25">
      <c r="A11097" t="str">
        <f>T("   630533")</f>
        <v xml:space="preserve">   630533</v>
      </c>
      <c r="B11097" t="str">
        <f>T("   AUTRES, OBTENUES A PARTIR DE LAMES OU FORMES SIMILAIRES DE POLYETHYLENE OU DE POLYPR")</f>
        <v xml:space="preserve">   AUTRES, OBTENUES A PARTIR DE LAMES OU FORMES SIMILAIRES DE POLYETHYLENE OU DE POLYPR</v>
      </c>
      <c r="C11097" s="4">
        <v>11694</v>
      </c>
      <c r="D11097" s="4">
        <v>3950387</v>
      </c>
    </row>
    <row r="11098" spans="1:4" x14ac:dyDescent="0.25">
      <c r="A11098" t="str">
        <f>T("   630710")</f>
        <v xml:space="preserve">   630710</v>
      </c>
      <c r="B11098" t="str">
        <f>T("   SERPILLIERES OU WASSINGUES, LAVETTES, CHAMOISETTES ET ARTICLES D'ENTRETIEN SIMILAIRES")</f>
        <v xml:space="preserve">   SERPILLIERES OU WASSINGUES, LAVETTES, CHAMOISETTES ET ARTICLES D'ENTRETIEN SIMILAIRES</v>
      </c>
      <c r="C11098" s="4">
        <v>552</v>
      </c>
      <c r="D11098" s="4">
        <v>175259</v>
      </c>
    </row>
    <row r="11099" spans="1:4" x14ac:dyDescent="0.25">
      <c r="A11099" t="str">
        <f>T("   630900")</f>
        <v xml:space="preserve">   630900</v>
      </c>
      <c r="B11099" t="str">
        <f>T("   ARTICLES DE FRIPERIE.")</f>
        <v xml:space="preserve">   ARTICLES DE FRIPERIE.</v>
      </c>
      <c r="C11099" s="4">
        <v>53611</v>
      </c>
      <c r="D11099" s="4">
        <v>27307576</v>
      </c>
    </row>
    <row r="11100" spans="1:4" x14ac:dyDescent="0.25">
      <c r="A11100" t="str">
        <f>T("   640199")</f>
        <v xml:space="preserve">   640199</v>
      </c>
      <c r="B11100" t="str">
        <f>T("   AUTRES")</f>
        <v xml:space="preserve">   AUTRES</v>
      </c>
      <c r="C11100" s="4">
        <v>301</v>
      </c>
      <c r="D11100" s="4">
        <v>246000</v>
      </c>
    </row>
    <row r="11101" spans="1:4" x14ac:dyDescent="0.25">
      <c r="A11101" t="str">
        <f>T("   640319")</f>
        <v xml:space="preserve">   640319</v>
      </c>
      <c r="B11101" t="str">
        <f>T("   AUTRES")</f>
        <v xml:space="preserve">   AUTRES</v>
      </c>
      <c r="C11101" s="4">
        <v>99</v>
      </c>
      <c r="D11101" s="4">
        <v>480000</v>
      </c>
    </row>
    <row r="11102" spans="1:4" x14ac:dyDescent="0.25">
      <c r="A11102" t="str">
        <f>T("   650699")</f>
        <v xml:space="preserve">   650699</v>
      </c>
      <c r="B11102" t="str">
        <f>T("   EN AUTRES MATIERES")</f>
        <v xml:space="preserve">   EN AUTRES MATIERES</v>
      </c>
      <c r="C11102" s="4">
        <v>8</v>
      </c>
      <c r="D11102" s="4">
        <v>153495</v>
      </c>
    </row>
    <row r="11103" spans="1:4" x14ac:dyDescent="0.25">
      <c r="A11103" t="str">
        <f>T("   680221")</f>
        <v xml:space="preserve">   680221</v>
      </c>
      <c r="B11103" t="str">
        <f>T("   MARBRE, TRAVERTIN ET ALBATRE")</f>
        <v xml:space="preserve">   MARBRE, TRAVERTIN ET ALBATRE</v>
      </c>
      <c r="C11103" s="4">
        <v>51000</v>
      </c>
      <c r="D11103" s="4">
        <v>11260470</v>
      </c>
    </row>
    <row r="11104" spans="1:4" x14ac:dyDescent="0.25">
      <c r="A11104" t="str">
        <f>T("   690810")</f>
        <v xml:space="preserve">   690810</v>
      </c>
      <c r="B11104" t="str">
        <f>T("   CARREAUX, CUBES, DES ET ARTICLES SIMILAIRES, MEME DE FORME AUTRE QUE CARREE OU RECTAN")</f>
        <v xml:space="preserve">   CARREAUX, CUBES, DES ET ARTICLES SIMILAIRES, MEME DE FORME AUTRE QUE CARREE OU RECTAN</v>
      </c>
      <c r="C11104" s="4">
        <v>3800</v>
      </c>
      <c r="D11104" s="4">
        <v>2434214</v>
      </c>
    </row>
    <row r="11105" spans="1:4" x14ac:dyDescent="0.25">
      <c r="A11105" t="str">
        <f>T("   691090")</f>
        <v xml:space="preserve">   691090</v>
      </c>
      <c r="B11105" t="str">
        <f>T("   AUTRES")</f>
        <v xml:space="preserve">   AUTRES</v>
      </c>
      <c r="C11105" s="4">
        <v>20037</v>
      </c>
      <c r="D11105" s="4">
        <v>2789976</v>
      </c>
    </row>
    <row r="11106" spans="1:4" x14ac:dyDescent="0.25">
      <c r="A11106" t="str">
        <f>T("   701328")</f>
        <v xml:space="preserve">   701328</v>
      </c>
      <c r="B11106" t="str">
        <f>T("   AUTRES")</f>
        <v xml:space="preserve">   AUTRES</v>
      </c>
      <c r="C11106" s="4">
        <v>3280</v>
      </c>
      <c r="D11106" s="4">
        <v>1195291</v>
      </c>
    </row>
    <row r="11107" spans="1:4" x14ac:dyDescent="0.25">
      <c r="A11107" t="str">
        <f>T("   701399")</f>
        <v xml:space="preserve">   701399</v>
      </c>
      <c r="B11107" t="str">
        <f>T("   AUTRES")</f>
        <v xml:space="preserve">   AUTRES</v>
      </c>
      <c r="C11107" s="4">
        <v>5788</v>
      </c>
      <c r="D11107" s="4">
        <v>3443172</v>
      </c>
    </row>
    <row r="11108" spans="1:4" x14ac:dyDescent="0.25">
      <c r="A11108" t="str">
        <f>T("   702000")</f>
        <v xml:space="preserve">   702000</v>
      </c>
      <c r="B11108" t="str">
        <f>T("   AUTRES OUVRAGES EN VERRE.")</f>
        <v xml:space="preserve">   AUTRES OUVRAGES EN VERRE.</v>
      </c>
      <c r="C11108" s="4">
        <v>3500</v>
      </c>
      <c r="D11108" s="4">
        <v>1996562</v>
      </c>
    </row>
    <row r="11109" spans="1:4" x14ac:dyDescent="0.25">
      <c r="A11109" t="str">
        <f>T("   720916")</f>
        <v xml:space="preserve">   720916</v>
      </c>
      <c r="B11109" t="str">
        <f>T("   D'UNE EPAISSEUR EXCEDANT 1 MM MAIS INFERIEURE A 3 MM")</f>
        <v xml:space="preserve">   D'UNE EPAISSEUR EXCEDANT 1 MM MAIS INFERIEURE A 3 MM</v>
      </c>
      <c r="C11109" s="4">
        <v>54400</v>
      </c>
      <c r="D11109" s="4">
        <v>16114969</v>
      </c>
    </row>
    <row r="11110" spans="1:4" x14ac:dyDescent="0.25">
      <c r="A11110" t="str">
        <f>T("   721011")</f>
        <v xml:space="preserve">   721011</v>
      </c>
      <c r="B11110" t="str">
        <f>T("   D'UNE EPAISSEUR DE 0,5 MM OU PLUS")</f>
        <v xml:space="preserve">   D'UNE EPAISSEUR DE 0,5 MM OU PLUS</v>
      </c>
      <c r="C11110" s="4">
        <v>183932</v>
      </c>
      <c r="D11110" s="4">
        <v>54218610</v>
      </c>
    </row>
    <row r="11111" spans="1:4" x14ac:dyDescent="0.25">
      <c r="A11111" t="str">
        <f>T("   721129")</f>
        <v xml:space="preserve">   721129</v>
      </c>
      <c r="B11111" t="str">
        <f>T("   AUTRES")</f>
        <v xml:space="preserve">   AUTRES</v>
      </c>
      <c r="C11111" s="4">
        <v>53217</v>
      </c>
      <c r="D11111" s="4">
        <v>12587335</v>
      </c>
    </row>
    <row r="11112" spans="1:4" x14ac:dyDescent="0.25">
      <c r="A11112" t="str">
        <f>T("   721399")</f>
        <v xml:space="preserve">   721399</v>
      </c>
      <c r="B11112" t="str">
        <f>T("   AUTRES")</f>
        <v xml:space="preserve">   AUTRES</v>
      </c>
      <c r="C11112" s="4">
        <v>133043</v>
      </c>
      <c r="D11112" s="4">
        <v>30971530</v>
      </c>
    </row>
    <row r="11113" spans="1:4" x14ac:dyDescent="0.25">
      <c r="A11113" t="str">
        <f>T("   721420")</f>
        <v xml:space="preserve">   721420</v>
      </c>
      <c r="B11113" t="str">
        <f>T("   COMPORTANT DES INDENTATIONS, BOURRELETS, CREUX OU RELIEFS OBTENUS AU COURS DU LAMINAG")</f>
        <v xml:space="preserve">   COMPORTANT DES INDENTATIONS, BOURRELETS, CREUX OU RELIEFS OBTENUS AU COURS DU LAMINAG</v>
      </c>
      <c r="C11113" s="4">
        <v>532140</v>
      </c>
      <c r="D11113" s="4">
        <v>85748645</v>
      </c>
    </row>
    <row r="11114" spans="1:4" x14ac:dyDescent="0.25">
      <c r="A11114" t="str">
        <f>T("   721499")</f>
        <v xml:space="preserve">   721499</v>
      </c>
      <c r="B11114" t="str">
        <f>T("   AUTRES")</f>
        <v xml:space="preserve">   AUTRES</v>
      </c>
      <c r="C11114" s="4">
        <v>271870</v>
      </c>
      <c r="D11114" s="4">
        <v>69854720</v>
      </c>
    </row>
    <row r="11115" spans="1:4" x14ac:dyDescent="0.25">
      <c r="A11115" t="str">
        <f>T("   721621")</f>
        <v xml:space="preserve">   721621</v>
      </c>
      <c r="B11115" t="str">
        <f>T("   PROFILES EN L")</f>
        <v xml:space="preserve">   PROFILES EN L</v>
      </c>
      <c r="C11115" s="4">
        <v>170457</v>
      </c>
      <c r="D11115" s="4">
        <v>29822424</v>
      </c>
    </row>
    <row r="11116" spans="1:4" x14ac:dyDescent="0.25">
      <c r="A11116" t="str">
        <f>T("   721622")</f>
        <v xml:space="preserve">   721622</v>
      </c>
      <c r="B11116" t="str">
        <f>T("   PROFILES EN T")</f>
        <v xml:space="preserve">   PROFILES EN T</v>
      </c>
      <c r="C11116" s="4">
        <v>4953</v>
      </c>
      <c r="D11116" s="4">
        <v>1900100</v>
      </c>
    </row>
    <row r="11117" spans="1:4" x14ac:dyDescent="0.25">
      <c r="A11117" t="str">
        <f>T("   721631")</f>
        <v xml:space="preserve">   721631</v>
      </c>
      <c r="B11117" t="str">
        <f>T("   PROFILES EN U")</f>
        <v xml:space="preserve">   PROFILES EN U</v>
      </c>
      <c r="C11117" s="4">
        <v>23735</v>
      </c>
      <c r="D11117" s="4">
        <v>4038434</v>
      </c>
    </row>
    <row r="11118" spans="1:4" x14ac:dyDescent="0.25">
      <c r="A11118" t="str">
        <f>T("   721650")</f>
        <v xml:space="preserve">   721650</v>
      </c>
      <c r="B11118" t="str">
        <f>T("   AUTRES PROFILES, SIMPLEMENT LAMINES OU FILES A CHAUD")</f>
        <v xml:space="preserve">   AUTRES PROFILES, SIMPLEMENT LAMINES OU FILES A CHAUD</v>
      </c>
      <c r="C11118" s="4">
        <v>221700</v>
      </c>
      <c r="D11118" s="4">
        <v>54608511</v>
      </c>
    </row>
    <row r="11119" spans="1:4" x14ac:dyDescent="0.25">
      <c r="A11119" t="str">
        <f>T("   721661")</f>
        <v xml:space="preserve">   721661</v>
      </c>
      <c r="B11119" t="str">
        <f>T("   OBTENUS A PARTIR DE PRODUITS LAMINES PLATS")</f>
        <v xml:space="preserve">   OBTENUS A PARTIR DE PRODUITS LAMINES PLATS</v>
      </c>
      <c r="C11119" s="4">
        <v>57872</v>
      </c>
      <c r="D11119" s="4">
        <v>9430150</v>
      </c>
    </row>
    <row r="11120" spans="1:4" x14ac:dyDescent="0.25">
      <c r="A11120" t="str">
        <f>T("   721699")</f>
        <v xml:space="preserve">   721699</v>
      </c>
      <c r="B11120" t="str">
        <f>T("   AUTRES")</f>
        <v xml:space="preserve">   AUTRES</v>
      </c>
      <c r="C11120" s="4">
        <v>512762</v>
      </c>
      <c r="D11120" s="4">
        <v>198295980</v>
      </c>
    </row>
    <row r="11121" spans="1:4" x14ac:dyDescent="0.25">
      <c r="A11121" t="str">
        <f>T("   722230")</f>
        <v xml:space="preserve">   722230</v>
      </c>
      <c r="B11121" t="str">
        <f>T("   AUTRES BARRES")</f>
        <v xml:space="preserve">   AUTRES BARRES</v>
      </c>
      <c r="C11121" s="4">
        <v>136700</v>
      </c>
      <c r="D11121" s="4">
        <v>10340000</v>
      </c>
    </row>
    <row r="11122" spans="1:4" x14ac:dyDescent="0.25">
      <c r="A11122" t="str">
        <f>T("   730661")</f>
        <v xml:space="preserve">   730661</v>
      </c>
      <c r="B11122" t="str">
        <f>T("   DE SECTION CARREE OU RECTANGULAIRE")</f>
        <v xml:space="preserve">   DE SECTION CARREE OU RECTANGULAIRE</v>
      </c>
      <c r="C11122" s="4">
        <v>97295</v>
      </c>
      <c r="D11122" s="4">
        <v>19900903</v>
      </c>
    </row>
    <row r="11123" spans="1:4" x14ac:dyDescent="0.25">
      <c r="A11123" t="str">
        <f>T("   731029")</f>
        <v xml:space="preserve">   731029</v>
      </c>
      <c r="B11123" t="str">
        <f>T("   AUTRES")</f>
        <v xml:space="preserve">   AUTRES</v>
      </c>
      <c r="C11123" s="4">
        <v>36</v>
      </c>
      <c r="D11123" s="4">
        <v>53275</v>
      </c>
    </row>
    <row r="11124" spans="1:4" x14ac:dyDescent="0.25">
      <c r="A11124" t="str">
        <f>T("   731100")</f>
        <v xml:space="preserve">   731100</v>
      </c>
      <c r="B11124" t="str">
        <f>T("   RECIPIENTS POUR GAZ COMPRIMES OU LIQUEFIES, EN FONTE, FER OU ACIER.")</f>
        <v xml:space="preserve">   RECIPIENTS POUR GAZ COMPRIMES OU LIQUEFIES, EN FONTE, FER OU ACIER.</v>
      </c>
      <c r="C11124" s="4">
        <v>327290</v>
      </c>
      <c r="D11124" s="4">
        <v>398428300</v>
      </c>
    </row>
    <row r="11125" spans="1:4" x14ac:dyDescent="0.25">
      <c r="A11125" t="str">
        <f>T("   731450")</f>
        <v xml:space="preserve">   731450</v>
      </c>
      <c r="B11125" t="str">
        <f>T("   TOLES ET BANDES DEPLOYEES")</f>
        <v xml:space="preserve">   TOLES ET BANDES DEPLOYEES</v>
      </c>
      <c r="C11125" s="4">
        <v>27100</v>
      </c>
      <c r="D11125" s="4">
        <v>6554352</v>
      </c>
    </row>
    <row r="11126" spans="1:4" x14ac:dyDescent="0.25">
      <c r="A11126" t="str">
        <f>T("   731812")</f>
        <v xml:space="preserve">   731812</v>
      </c>
      <c r="B11126" t="str">
        <f>T("   AUTRES VIS A BOIS")</f>
        <v xml:space="preserve">   AUTRES VIS A BOIS</v>
      </c>
      <c r="C11126" s="4">
        <v>415</v>
      </c>
      <c r="D11126" s="4">
        <v>382991</v>
      </c>
    </row>
    <row r="11127" spans="1:4" x14ac:dyDescent="0.25">
      <c r="A11127" t="str">
        <f>T("   731815")</f>
        <v xml:space="preserve">   731815</v>
      </c>
      <c r="B11127" t="str">
        <f>T("   AUTRES VIS ET BOULONS, MEME AVEC LEURS ECROUS OU RONDELLES")</f>
        <v xml:space="preserve">   AUTRES VIS ET BOULONS, MEME AVEC LEURS ECROUS OU RONDELLES</v>
      </c>
      <c r="C11127" s="4">
        <v>100</v>
      </c>
      <c r="D11127" s="4">
        <v>561129</v>
      </c>
    </row>
    <row r="11128" spans="1:4" x14ac:dyDescent="0.25">
      <c r="A11128" t="str">
        <f>T("   731819")</f>
        <v xml:space="preserve">   731819</v>
      </c>
      <c r="B11128" t="str">
        <f>T("   AUTRES")</f>
        <v xml:space="preserve">   AUTRES</v>
      </c>
      <c r="C11128" s="4">
        <v>79</v>
      </c>
      <c r="D11128" s="4">
        <v>1939805</v>
      </c>
    </row>
    <row r="11129" spans="1:4" x14ac:dyDescent="0.25">
      <c r="A11129" t="str">
        <f>T("   732111")</f>
        <v xml:space="preserve">   732111</v>
      </c>
      <c r="B11129" t="str">
        <f>T("   A COMBUSTIBLES GAZEUX OU A GAZ ET AUTRES COMBUSTIBLES")</f>
        <v xml:space="preserve">   A COMBUSTIBLES GAZEUX OU A GAZ ET AUTRES COMBUSTIBLES</v>
      </c>
      <c r="C11129" s="4">
        <v>28826</v>
      </c>
      <c r="D11129" s="4">
        <v>34026752</v>
      </c>
    </row>
    <row r="11130" spans="1:4" x14ac:dyDescent="0.25">
      <c r="A11130" t="str">
        <f>T("   732181")</f>
        <v xml:space="preserve">   732181</v>
      </c>
      <c r="B11130" t="str">
        <f>T("   A COMBUSTIBLES GAZEUX OU A GAZ ET AUTRES COMBUSTIBLES")</f>
        <v xml:space="preserve">   A COMBUSTIBLES GAZEUX OU A GAZ ET AUTRES COMBUSTIBLES</v>
      </c>
      <c r="C11130" s="4">
        <v>715</v>
      </c>
      <c r="D11130" s="4">
        <v>1310960</v>
      </c>
    </row>
    <row r="11131" spans="1:4" x14ac:dyDescent="0.25">
      <c r="A11131" t="str">
        <f>T("   732394")</f>
        <v xml:space="preserve">   732394</v>
      </c>
      <c r="B11131" t="str">
        <f>T("   EN FER OU EN ACIER, EMAILLES")</f>
        <v xml:space="preserve">   EN FER OU EN ACIER, EMAILLES</v>
      </c>
      <c r="C11131" s="4">
        <v>2977</v>
      </c>
      <c r="D11131" s="4">
        <v>1906444</v>
      </c>
    </row>
    <row r="11132" spans="1:4" x14ac:dyDescent="0.25">
      <c r="A11132" t="str">
        <f>T("   732399")</f>
        <v xml:space="preserve">   732399</v>
      </c>
      <c r="B11132" t="str">
        <f>T("   AUTRES")</f>
        <v xml:space="preserve">   AUTRES</v>
      </c>
      <c r="C11132" s="4">
        <v>11041</v>
      </c>
      <c r="D11132" s="4">
        <v>7838937</v>
      </c>
    </row>
    <row r="11133" spans="1:4" x14ac:dyDescent="0.25">
      <c r="A11133" t="str">
        <f>T("   732490")</f>
        <v xml:space="preserve">   732490</v>
      </c>
      <c r="B11133" t="str">
        <f>T("   AUTRES, Y COMPRIS LES PARTIES")</f>
        <v xml:space="preserve">   AUTRES, Y COMPRIS LES PARTIES</v>
      </c>
      <c r="C11133" s="4">
        <v>5172</v>
      </c>
      <c r="D11133" s="4">
        <v>15415060</v>
      </c>
    </row>
    <row r="11134" spans="1:4" x14ac:dyDescent="0.25">
      <c r="A11134" t="str">
        <f>T("   732690")</f>
        <v xml:space="preserve">   732690</v>
      </c>
      <c r="B11134" t="str">
        <f>T("   AUTRES")</f>
        <v xml:space="preserve">   AUTRES</v>
      </c>
      <c r="C11134" s="4">
        <v>284</v>
      </c>
      <c r="D11134" s="4">
        <v>414250</v>
      </c>
    </row>
    <row r="11135" spans="1:4" x14ac:dyDescent="0.25">
      <c r="A11135" t="str">
        <f>T("   741300")</f>
        <v xml:space="preserve">   741300</v>
      </c>
      <c r="B11135" t="str">
        <f>T("   TORONS, CABLES, TRESSES ET ARTICLES SIMILAIRES, EN CUIVRE, NON ISOLES POUR L'ELECTRICIT")</f>
        <v xml:space="preserve">   TORONS, CABLES, TRESSES ET ARTICLES SIMILAIRES, EN CUIVRE, NON ISOLES POUR L'ELECTRICIT</v>
      </c>
      <c r="C11135" s="4">
        <v>3088</v>
      </c>
      <c r="D11135" s="4">
        <v>2045283</v>
      </c>
    </row>
    <row r="11136" spans="1:4" x14ac:dyDescent="0.25">
      <c r="A11136" t="str">
        <f>T("   761010")</f>
        <v xml:space="preserve">   761010</v>
      </c>
      <c r="B11136" t="str">
        <f>T("   PORTES, FENETRES ET LEURS CADRES, CHAMBRANLES ET SEUILS")</f>
        <v xml:space="preserve">   PORTES, FENETRES ET LEURS CADRES, CHAMBRANLES ET SEUILS</v>
      </c>
      <c r="C11136" s="4">
        <v>305</v>
      </c>
      <c r="D11136" s="4">
        <v>444622</v>
      </c>
    </row>
    <row r="11137" spans="1:4" x14ac:dyDescent="0.25">
      <c r="A11137" t="str">
        <f>T("   761090")</f>
        <v xml:space="preserve">   761090</v>
      </c>
      <c r="B11137" t="str">
        <f>T("   AUTRES")</f>
        <v xml:space="preserve">   AUTRES</v>
      </c>
      <c r="C11137" s="4">
        <v>17587</v>
      </c>
      <c r="D11137" s="4">
        <v>25669526</v>
      </c>
    </row>
    <row r="11138" spans="1:4" x14ac:dyDescent="0.25">
      <c r="A11138" t="str">
        <f>T("   761699")</f>
        <v xml:space="preserve">   761699</v>
      </c>
      <c r="B11138" t="str">
        <f>T("   AUTRES")</f>
        <v xml:space="preserve">   AUTRES</v>
      </c>
      <c r="C11138" s="4">
        <v>505</v>
      </c>
      <c r="D11138" s="4">
        <v>840947</v>
      </c>
    </row>
    <row r="11139" spans="1:4" x14ac:dyDescent="0.25">
      <c r="A11139" t="str">
        <f>T("   820239")</f>
        <v xml:space="preserve">   820239</v>
      </c>
      <c r="B11139" t="str">
        <f>T("   AUTRES, Y COMPRIS LES PARTIES")</f>
        <v xml:space="preserve">   AUTRES, Y COMPRIS LES PARTIES</v>
      </c>
      <c r="C11139" s="4">
        <v>799</v>
      </c>
      <c r="D11139" s="4">
        <v>270577</v>
      </c>
    </row>
    <row r="11140" spans="1:4" x14ac:dyDescent="0.25">
      <c r="A11140" t="str">
        <f>T("   830210")</f>
        <v xml:space="preserve">   830210</v>
      </c>
      <c r="B11140" t="str">
        <f>T("   CHARNIERES DE TOUS GENRES (Y COMPRIS LES PAUMELLES ET PENTURES)")</f>
        <v xml:space="preserve">   CHARNIERES DE TOUS GENRES (Y COMPRIS LES PAUMELLES ET PENTURES)</v>
      </c>
      <c r="C11140" s="4">
        <v>12542</v>
      </c>
      <c r="D11140" s="4">
        <v>7341073</v>
      </c>
    </row>
    <row r="11141" spans="1:4" x14ac:dyDescent="0.25">
      <c r="A11141" t="str">
        <f>T("   841381")</f>
        <v xml:space="preserve">   841381</v>
      </c>
      <c r="B11141" t="str">
        <f>T("   POMPES")</f>
        <v xml:space="preserve">   POMPES</v>
      </c>
      <c r="C11141" s="4">
        <v>184</v>
      </c>
      <c r="D11141" s="4">
        <v>270358</v>
      </c>
    </row>
    <row r="11142" spans="1:4" x14ac:dyDescent="0.25">
      <c r="A11142" t="str">
        <f>T("   841810")</f>
        <v xml:space="preserve">   841810</v>
      </c>
      <c r="B11142" t="str">
        <f>T("   COMBINAISONS DE REFRIGERATEURS ET DE CONGELATEURSCONSERVATEURS MUNIS DE PORTES EXTER")</f>
        <v xml:space="preserve">   COMBINAISONS DE REFRIGERATEURS ET DE CONGELATEURSCONSERVATEURS MUNIS DE PORTES EXTER</v>
      </c>
      <c r="C11142" s="4">
        <v>5143</v>
      </c>
      <c r="D11142" s="4">
        <v>3590069</v>
      </c>
    </row>
    <row r="11143" spans="1:4" x14ac:dyDescent="0.25">
      <c r="A11143" t="str">
        <f>T("   841821")</f>
        <v xml:space="preserve">   841821</v>
      </c>
      <c r="B11143" t="str">
        <f>T("   A COMPRESSION")</f>
        <v xml:space="preserve">   A COMPRESSION</v>
      </c>
      <c r="C11143" s="4">
        <v>60129</v>
      </c>
      <c r="D11143" s="4">
        <v>71873953</v>
      </c>
    </row>
    <row r="11144" spans="1:4" x14ac:dyDescent="0.25">
      <c r="A11144" t="str">
        <f>T("   841829")</f>
        <v xml:space="preserve">   841829</v>
      </c>
      <c r="B11144" t="str">
        <f>T("   AUTRES")</f>
        <v xml:space="preserve">   AUTRES</v>
      </c>
      <c r="C11144" s="4">
        <v>2705</v>
      </c>
      <c r="D11144" s="4">
        <v>5461496</v>
      </c>
    </row>
    <row r="11145" spans="1:4" x14ac:dyDescent="0.25">
      <c r="A11145" t="str">
        <f>T("   841830")</f>
        <v xml:space="preserve">   841830</v>
      </c>
      <c r="B11145" t="str">
        <f>T("   MEUBLES CONGELATEURSCONSERVATEURS DU TYPE COFFRE, D'UNE CAPACITE N'EXCEDANT PAS 800 ")</f>
        <v xml:space="preserve">   MEUBLES CONGELATEURSCONSERVATEURS DU TYPE COFFRE, D'UNE CAPACITE N'EXCEDANT PAS 800 </v>
      </c>
      <c r="C11145" s="4">
        <v>36484</v>
      </c>
      <c r="D11145" s="4">
        <v>44348497</v>
      </c>
    </row>
    <row r="11146" spans="1:4" x14ac:dyDescent="0.25">
      <c r="A11146" t="str">
        <f>T("   841850")</f>
        <v xml:space="preserve">   841850</v>
      </c>
      <c r="B11146" t="str">
        <f>T("   AUTRES MEUBLES (COFFRES, ARMOIRES, VITRINES, COMPTOIRS ET SIMILAIRES), POUR LA CONSER")</f>
        <v xml:space="preserve">   AUTRES MEUBLES (COFFRES, ARMOIRES, VITRINES, COMPTOIRS ET SIMILAIRES), POUR LA CONSER</v>
      </c>
      <c r="C11146" s="4">
        <v>371</v>
      </c>
      <c r="D11146" s="4">
        <v>1074460</v>
      </c>
    </row>
    <row r="11147" spans="1:4" x14ac:dyDescent="0.25">
      <c r="A11147" t="str">
        <f>T("   842211")</f>
        <v xml:space="preserve">   842211</v>
      </c>
      <c r="B11147" t="str">
        <f>T("   DE TYPE MENAGER")</f>
        <v xml:space="preserve">   DE TYPE MENAGER</v>
      </c>
      <c r="C11147" s="4">
        <v>852</v>
      </c>
      <c r="D11147" s="4">
        <v>854715</v>
      </c>
    </row>
    <row r="11148" spans="1:4" x14ac:dyDescent="0.25">
      <c r="A11148" t="str">
        <f>T("   842542")</f>
        <v xml:space="preserve">   842542</v>
      </c>
      <c r="B11148" t="str">
        <f>T("   AUTRES CRICS ET VERINS, HYDRAULIQUES")</f>
        <v xml:space="preserve">   AUTRES CRICS ET VERINS, HYDRAULIQUES</v>
      </c>
      <c r="C11148" s="4">
        <v>535</v>
      </c>
      <c r="D11148" s="4">
        <v>32772660</v>
      </c>
    </row>
    <row r="11149" spans="1:4" x14ac:dyDescent="0.25">
      <c r="A11149" t="str">
        <f>T("   842810")</f>
        <v xml:space="preserve">   842810</v>
      </c>
      <c r="B11149" t="str">
        <f>T("   ASCENSEURS ET MONTECHARGE")</f>
        <v xml:space="preserve">   ASCENSEURS ET MONTECHARGE</v>
      </c>
      <c r="C11149" s="4">
        <v>3798</v>
      </c>
      <c r="D11149" s="4">
        <v>18789974</v>
      </c>
    </row>
    <row r="11150" spans="1:4" x14ac:dyDescent="0.25">
      <c r="A11150" t="str">
        <f>T("   843139")</f>
        <v xml:space="preserve">   843139</v>
      </c>
      <c r="B11150" t="str">
        <f>T("   AUTRES")</f>
        <v xml:space="preserve">   AUTRES</v>
      </c>
      <c r="C11150" s="4">
        <v>202</v>
      </c>
      <c r="D11150" s="4">
        <v>9128378</v>
      </c>
    </row>
    <row r="11151" spans="1:4" x14ac:dyDescent="0.25">
      <c r="A11151" t="str">
        <f>T("   843141")</f>
        <v xml:space="preserve">   843141</v>
      </c>
      <c r="B11151" t="str">
        <f>T("   GODETS, BENNES, BENNESPRENEUSES, PELLES, GRAPPINS ET PINCES")</f>
        <v xml:space="preserve">   GODETS, BENNES, BENNESPRENEUSES, PELLES, GRAPPINS ET PINCES</v>
      </c>
      <c r="C11151" s="4">
        <v>10200</v>
      </c>
      <c r="D11151" s="4">
        <v>12974672</v>
      </c>
    </row>
    <row r="11152" spans="1:4" x14ac:dyDescent="0.25">
      <c r="A11152" t="str">
        <f>T("   843149")</f>
        <v xml:space="preserve">   843149</v>
      </c>
      <c r="B11152" t="str">
        <f>T("   AUTRES")</f>
        <v xml:space="preserve">   AUTRES</v>
      </c>
      <c r="C11152" s="4">
        <v>166</v>
      </c>
      <c r="D11152" s="4">
        <v>1721364</v>
      </c>
    </row>
    <row r="11153" spans="1:4" x14ac:dyDescent="0.25">
      <c r="A11153" t="str">
        <f>T("   843210")</f>
        <v xml:space="preserve">   843210</v>
      </c>
      <c r="B11153" t="str">
        <f>T("   Charrues")</f>
        <v xml:space="preserve">   Charrues</v>
      </c>
      <c r="C11153" s="4">
        <v>1220</v>
      </c>
      <c r="D11153" s="4">
        <v>3738972</v>
      </c>
    </row>
    <row r="11154" spans="1:4" x14ac:dyDescent="0.25">
      <c r="A11154" t="str">
        <f>T("   845011")</f>
        <v xml:space="preserve">   845011</v>
      </c>
      <c r="B11154" t="str">
        <f>T("   MACHINES ENTIEREMENT AUTOMATIQUES")</f>
        <v xml:space="preserve">   MACHINES ENTIEREMENT AUTOMATIQUES</v>
      </c>
      <c r="C11154" s="4">
        <v>6162</v>
      </c>
      <c r="D11154" s="4">
        <v>5697669</v>
      </c>
    </row>
    <row r="11155" spans="1:4" x14ac:dyDescent="0.25">
      <c r="A11155" t="str">
        <f>T("   846591")</f>
        <v xml:space="preserve">   846591</v>
      </c>
      <c r="B11155" t="str">
        <f>T("   MACHINES A SCIER")</f>
        <v xml:space="preserve">   MACHINES A SCIER</v>
      </c>
      <c r="C11155" s="4">
        <v>9650</v>
      </c>
      <c r="D11155" s="4">
        <v>2985384</v>
      </c>
    </row>
    <row r="11156" spans="1:4" x14ac:dyDescent="0.25">
      <c r="A11156" t="str">
        <f>T("   846799")</f>
        <v xml:space="preserve">   846799</v>
      </c>
      <c r="B11156" t="str">
        <f>T("   AUTRES")</f>
        <v xml:space="preserve">   AUTRES</v>
      </c>
      <c r="C11156" s="4">
        <v>51</v>
      </c>
      <c r="D11156" s="4">
        <v>74684</v>
      </c>
    </row>
    <row r="11157" spans="1:4" x14ac:dyDescent="0.25">
      <c r="A11157" t="str">
        <f>T("   846880")</f>
        <v xml:space="preserve">   846880</v>
      </c>
      <c r="B11157" t="str">
        <f>T("   AUTRES MACHINES ET APPAREILS")</f>
        <v xml:space="preserve">   AUTRES MACHINES ET APPAREILS</v>
      </c>
      <c r="C11157" s="4">
        <v>12127</v>
      </c>
      <c r="D11157" s="4">
        <v>14499284</v>
      </c>
    </row>
    <row r="11158" spans="1:4" x14ac:dyDescent="0.25">
      <c r="A11158" t="str">
        <f>T("   847420")</f>
        <v xml:space="preserve">   847420</v>
      </c>
      <c r="B11158" t="str">
        <f>T("   MACHINES ET APPAREILS A CONCASSER, BROYER OU PULVERISER")</f>
        <v xml:space="preserve">   MACHINES ET APPAREILS A CONCASSER, BROYER OU PULVERISER</v>
      </c>
      <c r="C11158" s="4">
        <v>315120</v>
      </c>
      <c r="D11158" s="4">
        <v>630382806</v>
      </c>
    </row>
    <row r="11159" spans="1:4" x14ac:dyDescent="0.25">
      <c r="A11159" t="str">
        <f>T("   847490")</f>
        <v xml:space="preserve">   847490</v>
      </c>
      <c r="B11159" t="str">
        <f>T("   PARTIES")</f>
        <v xml:space="preserve">   PARTIES</v>
      </c>
      <c r="C11159" s="4">
        <v>103122</v>
      </c>
      <c r="D11159" s="4">
        <v>222558701</v>
      </c>
    </row>
    <row r="11160" spans="1:4" x14ac:dyDescent="0.25">
      <c r="A11160" t="str">
        <f>T("   847989")</f>
        <v xml:space="preserve">   847989</v>
      </c>
      <c r="B11160" t="str">
        <f>T("   AUTRES")</f>
        <v xml:space="preserve">   AUTRES</v>
      </c>
      <c r="C11160" s="4">
        <v>124174</v>
      </c>
      <c r="D11160" s="4">
        <v>188721004</v>
      </c>
    </row>
    <row r="11161" spans="1:4" x14ac:dyDescent="0.25">
      <c r="A11161" t="str">
        <f>T("   848030")</f>
        <v xml:space="preserve">   848030</v>
      </c>
      <c r="B11161" t="str">
        <f>T("   MODELES POUR MOULES")</f>
        <v xml:space="preserve">   MODELES POUR MOULES</v>
      </c>
      <c r="C11161" s="4">
        <v>915</v>
      </c>
      <c r="D11161" s="4">
        <v>15186130</v>
      </c>
    </row>
    <row r="11162" spans="1:4" x14ac:dyDescent="0.25">
      <c r="A11162" t="str">
        <f>T("   848190")</f>
        <v xml:space="preserve">   848190</v>
      </c>
      <c r="B11162" t="str">
        <f>T("   PARTIES")</f>
        <v xml:space="preserve">   PARTIES</v>
      </c>
      <c r="C11162" s="4">
        <v>5155</v>
      </c>
      <c r="D11162" s="4">
        <v>9029539</v>
      </c>
    </row>
    <row r="11163" spans="1:4" x14ac:dyDescent="0.25">
      <c r="A11163" t="str">
        <f>T("   848340")</f>
        <v xml:space="preserve">   848340</v>
      </c>
      <c r="B11163" t="str">
        <f>T("   ENGRENAGES ET ROUES DE FRICTION, AUTRES QUE LES ROUES DENTEES ET AUTRES ORGANES ELEME")</f>
        <v xml:space="preserve">   ENGRENAGES ET ROUES DE FRICTION, AUTRES QUE LES ROUES DENTEES ET AUTRES ORGANES ELEME</v>
      </c>
      <c r="C11163" s="4">
        <v>212</v>
      </c>
      <c r="D11163" s="4">
        <v>2031266</v>
      </c>
    </row>
    <row r="11164" spans="1:4" x14ac:dyDescent="0.25">
      <c r="A11164" t="str">
        <f>T("   848410")</f>
        <v xml:space="preserve">   848410</v>
      </c>
      <c r="B11164" t="str">
        <f>T("   JOINTS METALLOPLASTIQUES")</f>
        <v xml:space="preserve">   JOINTS METALLOPLASTIQUES</v>
      </c>
      <c r="C11164" s="4">
        <v>2140</v>
      </c>
      <c r="D11164" s="4">
        <v>3124297</v>
      </c>
    </row>
    <row r="11165" spans="1:4" x14ac:dyDescent="0.25">
      <c r="A11165" t="str">
        <f>T("   848490")</f>
        <v xml:space="preserve">   848490</v>
      </c>
      <c r="B11165" t="str">
        <f>T("   AUTRES")</f>
        <v xml:space="preserve">   AUTRES</v>
      </c>
      <c r="C11165" s="4">
        <v>188</v>
      </c>
      <c r="D11165" s="4">
        <v>4599093</v>
      </c>
    </row>
    <row r="11166" spans="1:4" x14ac:dyDescent="0.25">
      <c r="A11166" t="str">
        <f>T("   850162")</f>
        <v xml:space="preserve">   850162</v>
      </c>
      <c r="B11166" t="str">
        <f>T("   D'UNE PUISSANCE EXCEDANT 75 KVA MAIS N'EXCEDANT PAS 375 KVA")</f>
        <v xml:space="preserve">   D'UNE PUISSANCE EXCEDANT 75 KVA MAIS N'EXCEDANT PAS 375 KVA</v>
      </c>
      <c r="C11166" s="4">
        <v>2610</v>
      </c>
      <c r="D11166" s="4">
        <v>12500000</v>
      </c>
    </row>
    <row r="11167" spans="1:4" x14ac:dyDescent="0.25">
      <c r="A11167" t="str">
        <f>T("   850433")</f>
        <v xml:space="preserve">   850433</v>
      </c>
      <c r="B11167" t="str">
        <f>T("   D'UNE PUISSANCE EXCEDANT 16 KVA MAIS N'EXCEDANT PAS 500 KVA")</f>
        <v xml:space="preserve">   D'UNE PUISSANCE EXCEDANT 16 KVA MAIS N'EXCEDANT PAS 500 KVA</v>
      </c>
      <c r="C11167" s="4">
        <v>15590</v>
      </c>
      <c r="D11167" s="4">
        <v>13972553</v>
      </c>
    </row>
    <row r="11168" spans="1:4" x14ac:dyDescent="0.25">
      <c r="A11168" t="str">
        <f>T("   851650")</f>
        <v xml:space="preserve">   851650</v>
      </c>
      <c r="B11168" t="str">
        <f>T("   FOURS A MICROONDES")</f>
        <v xml:space="preserve">   FOURS A MICROONDES</v>
      </c>
      <c r="C11168" s="4">
        <v>7557</v>
      </c>
      <c r="D11168" s="4">
        <v>7646189</v>
      </c>
    </row>
    <row r="11169" spans="1:4" x14ac:dyDescent="0.25">
      <c r="A11169" t="str">
        <f>T("   851660")</f>
        <v xml:space="preserve">   851660</v>
      </c>
      <c r="B11169" t="str">
        <f>T("   AUTRES FOURS; CUISINIERES, RECHAUDS (Y COMPRIS LES TABLES DE CUISSON), GRILS ET ROTIS")</f>
        <v xml:space="preserve">   AUTRES FOURS; CUISINIERES, RECHAUDS (Y COMPRIS LES TABLES DE CUISSON), GRILS ET ROTIS</v>
      </c>
      <c r="C11169" s="4">
        <v>7308</v>
      </c>
      <c r="D11169" s="4">
        <v>7646094</v>
      </c>
    </row>
    <row r="11170" spans="1:4" x14ac:dyDescent="0.25">
      <c r="A11170" t="str">
        <f>T("   851679")</f>
        <v xml:space="preserve">   851679</v>
      </c>
      <c r="B11170" t="str">
        <f>T("   AUTRES")</f>
        <v xml:space="preserve">   AUTRES</v>
      </c>
      <c r="C11170" s="4">
        <v>1400</v>
      </c>
      <c r="D11170" s="4">
        <v>1800000</v>
      </c>
    </row>
    <row r="11171" spans="1:4" x14ac:dyDescent="0.25">
      <c r="A11171" t="str">
        <f>T("   852872")</f>
        <v xml:space="preserve">   852872</v>
      </c>
      <c r="B11171" t="str">
        <f>T("   AUTRES, EN COULEURS")</f>
        <v xml:space="preserve">   AUTRES, EN COULEURS</v>
      </c>
      <c r="C11171" s="4">
        <v>6485</v>
      </c>
      <c r="D11171" s="4">
        <v>7646189</v>
      </c>
    </row>
    <row r="11172" spans="1:4" x14ac:dyDescent="0.25">
      <c r="A11172" t="str">
        <f>T("   853180")</f>
        <v xml:space="preserve">   853180</v>
      </c>
      <c r="B11172" t="str">
        <f>T("   AUTRES APPAREILS")</f>
        <v xml:space="preserve">   AUTRES APPAREILS</v>
      </c>
      <c r="C11172" s="4">
        <v>12.5</v>
      </c>
      <c r="D11172" s="4">
        <v>98394</v>
      </c>
    </row>
    <row r="11173" spans="1:4" x14ac:dyDescent="0.25">
      <c r="A11173" t="str">
        <f>T("   853710")</f>
        <v xml:space="preserve">   853710</v>
      </c>
      <c r="B11173" t="str">
        <f>T("   POUR UNE TENSION N'EXCEDANT PAS 1.000 V")</f>
        <v xml:space="preserve">   POUR UNE TENSION N'EXCEDANT PAS 1.000 V</v>
      </c>
      <c r="C11173" s="4">
        <v>1270</v>
      </c>
      <c r="D11173" s="4">
        <v>13575060</v>
      </c>
    </row>
    <row r="11174" spans="1:4" x14ac:dyDescent="0.25">
      <c r="A11174" t="str">
        <f>T("   853720")</f>
        <v xml:space="preserve">   853720</v>
      </c>
      <c r="B11174" t="str">
        <f>T("   POUR UNE TENSION EXCEDANT 1.000 V")</f>
        <v xml:space="preserve">   POUR UNE TENSION EXCEDANT 1.000 V</v>
      </c>
      <c r="C11174" s="4">
        <v>5862</v>
      </c>
      <c r="D11174" s="4">
        <v>19423068</v>
      </c>
    </row>
    <row r="11175" spans="1:4" x14ac:dyDescent="0.25">
      <c r="A11175" t="str">
        <f>T("   854420")</f>
        <v xml:space="preserve">   854420</v>
      </c>
      <c r="B11175" t="str">
        <f>T("   Cables coaxiaux et autres conducteurs electriques coaxiaux")</f>
        <v xml:space="preserve">   Cables coaxiaux et autres conducteurs electriques coaxiaux</v>
      </c>
      <c r="C11175" s="4">
        <v>24740</v>
      </c>
      <c r="D11175" s="4">
        <v>3276898</v>
      </c>
    </row>
    <row r="11176" spans="1:4" x14ac:dyDescent="0.25">
      <c r="A11176" t="str">
        <f>T("   854442")</f>
        <v xml:space="preserve">   854442</v>
      </c>
      <c r="B11176" t="str">
        <f>T("   MUNIS DE PIECES DE CONNEXION")</f>
        <v xml:space="preserve">   MUNIS DE PIECES DE CONNEXION</v>
      </c>
      <c r="C11176" s="4">
        <v>416</v>
      </c>
      <c r="D11176" s="4">
        <v>4440777</v>
      </c>
    </row>
    <row r="11177" spans="1:4" x14ac:dyDescent="0.25">
      <c r="A11177" t="str">
        <f>T("   854449")</f>
        <v xml:space="preserve">   854449</v>
      </c>
      <c r="B11177" t="str">
        <f>T("   AUTRES")</f>
        <v xml:space="preserve">   AUTRES</v>
      </c>
      <c r="C11177" s="4">
        <v>41897</v>
      </c>
      <c r="D11177" s="4">
        <v>11348717</v>
      </c>
    </row>
    <row r="11178" spans="1:4" x14ac:dyDescent="0.25">
      <c r="A11178" t="str">
        <f>T("   854519")</f>
        <v xml:space="preserve">   854519</v>
      </c>
      <c r="B11178" t="str">
        <f>T("   AUTRES")</f>
        <v xml:space="preserve">   AUTRES</v>
      </c>
      <c r="C11178" s="4">
        <v>100</v>
      </c>
      <c r="D11178" s="4">
        <v>870000</v>
      </c>
    </row>
    <row r="11179" spans="1:4" x14ac:dyDescent="0.25">
      <c r="A11179" t="str">
        <f>T("   871200")</f>
        <v xml:space="preserve">   871200</v>
      </c>
      <c r="B11179" t="str">
        <f>T("   BICYCLETTES ET AUTRES CYCLES (Y COMPRIS LES TRIPORTEURS), SANS MOTEUR.")</f>
        <v xml:space="preserve">   BICYCLETTES ET AUTRES CYCLES (Y COMPRIS LES TRIPORTEURS), SANS MOTEUR.</v>
      </c>
      <c r="C11179" s="4">
        <v>12915</v>
      </c>
      <c r="D11179" s="4">
        <v>13968871</v>
      </c>
    </row>
    <row r="11180" spans="1:4" x14ac:dyDescent="0.25">
      <c r="A11180" t="str">
        <f>T("   871620")</f>
        <v xml:space="preserve">   871620</v>
      </c>
      <c r="B11180" t="str">
        <f>T("   REMORQUES ET SEMIREMORQUES AUTOCHARGEUSES OU AUTODECHARGEUSES, POUR USAGES AGRICOLES")</f>
        <v xml:space="preserve">   REMORQUES ET SEMIREMORQUES AUTOCHARGEUSES OU AUTODECHARGEUSES, POUR USAGES AGRICOLES</v>
      </c>
      <c r="C11180" s="4">
        <v>2340</v>
      </c>
      <c r="D11180" s="4">
        <v>5575660</v>
      </c>
    </row>
    <row r="11181" spans="1:4" x14ac:dyDescent="0.25">
      <c r="A11181" t="str">
        <f>T("   901890")</f>
        <v xml:space="preserve">   901890</v>
      </c>
      <c r="B11181" t="str">
        <f>T("   AUTRES INSTRUMENTS ET APPAREILS")</f>
        <v xml:space="preserve">   AUTRES INSTRUMENTS ET APPAREILS</v>
      </c>
      <c r="C11181" s="4">
        <v>334</v>
      </c>
      <c r="D11181" s="4">
        <v>4873127</v>
      </c>
    </row>
    <row r="11182" spans="1:4" x14ac:dyDescent="0.25">
      <c r="A11182" t="str">
        <f>T("   902190")</f>
        <v xml:space="preserve">   902190</v>
      </c>
      <c r="B11182" t="str">
        <f>T("   AUTRES")</f>
        <v xml:space="preserve">   AUTRES</v>
      </c>
      <c r="C11182" s="4">
        <v>2837</v>
      </c>
      <c r="D11182" s="4">
        <v>14601014</v>
      </c>
    </row>
    <row r="11183" spans="1:4" x14ac:dyDescent="0.25">
      <c r="A11183" t="str">
        <f>T("   940180")</f>
        <v xml:space="preserve">   940180</v>
      </c>
      <c r="B11183" t="str">
        <f>T("   AUTRES SIEGES")</f>
        <v xml:space="preserve">   AUTRES SIEGES</v>
      </c>
      <c r="C11183" s="4">
        <v>5500</v>
      </c>
      <c r="D11183" s="4">
        <v>1093000</v>
      </c>
    </row>
    <row r="11184" spans="1:4" x14ac:dyDescent="0.25">
      <c r="A11184" t="str">
        <f>T("   940190")</f>
        <v xml:space="preserve">   940190</v>
      </c>
      <c r="B11184" t="str">
        <f>T("   PARTIES")</f>
        <v xml:space="preserve">   PARTIES</v>
      </c>
      <c r="C11184" s="4">
        <v>1000</v>
      </c>
      <c r="D11184" s="4">
        <v>1251000</v>
      </c>
    </row>
    <row r="11185" spans="1:4" x14ac:dyDescent="0.25">
      <c r="A11185" t="str">
        <f>T("   940310")</f>
        <v xml:space="preserve">   940310</v>
      </c>
      <c r="B11185" t="str">
        <f>T("   MEUBLES EN METAL DES TYPES UTILISES DANS LES BUREAUX")</f>
        <v xml:space="preserve">   MEUBLES EN METAL DES TYPES UTILISES DANS LES BUREAUX</v>
      </c>
      <c r="C11185" s="4">
        <v>23784</v>
      </c>
      <c r="D11185" s="4">
        <v>28808116</v>
      </c>
    </row>
    <row r="11186" spans="1:4" x14ac:dyDescent="0.25">
      <c r="A11186" t="str">
        <f>T("   940389")</f>
        <v xml:space="preserve">   940389</v>
      </c>
      <c r="B11186" t="str">
        <f>T("   AUTRES")</f>
        <v xml:space="preserve">   AUTRES</v>
      </c>
      <c r="C11186" s="4">
        <v>17485</v>
      </c>
      <c r="D11186" s="4">
        <v>16111942</v>
      </c>
    </row>
    <row r="11187" spans="1:4" x14ac:dyDescent="0.25">
      <c r="A11187" t="str">
        <f>T("   940410")</f>
        <v xml:space="preserve">   940410</v>
      </c>
      <c r="B11187" t="str">
        <f>T("   Sommiers")</f>
        <v xml:space="preserve">   Sommiers</v>
      </c>
      <c r="C11187" s="4">
        <v>44</v>
      </c>
      <c r="D11187" s="4">
        <v>63731</v>
      </c>
    </row>
    <row r="11188" spans="1:4" x14ac:dyDescent="0.25">
      <c r="A11188" t="str">
        <f>T("   940550")</f>
        <v xml:space="preserve">   940550</v>
      </c>
      <c r="B11188" t="str">
        <f>T("   APPAREILS D'ECLAIRAGE NON ELECTRIQUES")</f>
        <v xml:space="preserve">   APPAREILS D'ECLAIRAGE NON ELECTRIQUES</v>
      </c>
      <c r="C11188" s="4">
        <v>201</v>
      </c>
      <c r="D11188" s="4">
        <v>415767</v>
      </c>
    </row>
    <row r="11189" spans="1:4" x14ac:dyDescent="0.25">
      <c r="A11189" t="str">
        <f>T("   950430")</f>
        <v xml:space="preserve">   950430</v>
      </c>
      <c r="B11189" t="str">
        <f>T("   AUTRES JEUX FONCTIONNANT PAR L'INTRODUCTION D'UNE PIECE DE MONNAIE, D'UN BILLET DE BA")</f>
        <v xml:space="preserve">   AUTRES JEUX FONCTIONNANT PAR L'INTRODUCTION D'UNE PIECE DE MONNAIE, D'UN BILLET DE BA</v>
      </c>
      <c r="C11189" s="4">
        <v>80</v>
      </c>
      <c r="D11189" s="4">
        <v>96500</v>
      </c>
    </row>
    <row r="11190" spans="1:4" x14ac:dyDescent="0.25">
      <c r="A11190" t="str">
        <f>T("   960390")</f>
        <v xml:space="preserve">   960390</v>
      </c>
      <c r="B11190" t="str">
        <f>T("   AUTRES")</f>
        <v xml:space="preserve">   AUTRES</v>
      </c>
      <c r="C11190" s="4">
        <v>425</v>
      </c>
      <c r="D11190" s="4">
        <v>194677</v>
      </c>
    </row>
    <row r="11191" spans="1:4" x14ac:dyDescent="0.25">
      <c r="A11191" t="str">
        <f>T("   961610")</f>
        <v xml:space="preserve">   961610</v>
      </c>
      <c r="B11191" t="str">
        <f>T("   VAPORISATEURS DE TOILETTE, LEURS MONTURES ET TETES DE MONTURES")</f>
        <v xml:space="preserve">   VAPORISATEURS DE TOILETTE, LEURS MONTURES ET TETES DE MONTURES</v>
      </c>
      <c r="C11191" s="4">
        <v>4820</v>
      </c>
      <c r="D11191" s="4">
        <v>2418281</v>
      </c>
    </row>
    <row r="11192" spans="1:4" s="5" customFormat="1" x14ac:dyDescent="0.25">
      <c r="A11192" s="5" t="str">
        <f>T("   ZZ_Total_Produit_SH6")</f>
        <v xml:space="preserve">   ZZ_Total_Produit_SH6</v>
      </c>
      <c r="B11192" s="5" t="str">
        <f>T("   ZZ_Total_Produit_SH6")</f>
        <v xml:space="preserve">   ZZ_Total_Produit_SH6</v>
      </c>
      <c r="C11192" s="1">
        <v>143008338.74000001</v>
      </c>
      <c r="D11192" s="1">
        <v>21690999067.834</v>
      </c>
    </row>
    <row r="11193" spans="1:4" s="5" customFormat="1" x14ac:dyDescent="0.25">
      <c r="B11193" s="5" t="str">
        <f>T("Tuvalu")</f>
        <v>Tuvalu</v>
      </c>
      <c r="C11193" s="1"/>
      <c r="D11193" s="1"/>
    </row>
    <row r="11194" spans="1:4" x14ac:dyDescent="0.25">
      <c r="A11194" t="str">
        <f>T("   854129")</f>
        <v xml:space="preserve">   854129</v>
      </c>
      <c r="B11194" t="str">
        <f>T("   AUTRES")</f>
        <v xml:space="preserve">   AUTRES</v>
      </c>
      <c r="C11194" s="4">
        <v>1</v>
      </c>
      <c r="D11194" s="4">
        <v>267784</v>
      </c>
    </row>
    <row r="11195" spans="1:4" s="5" customFormat="1" x14ac:dyDescent="0.25">
      <c r="A11195" s="5" t="str">
        <f>T("   ZZ_Total_Produit_SH6")</f>
        <v xml:space="preserve">   ZZ_Total_Produit_SH6</v>
      </c>
      <c r="B11195" s="5" t="str">
        <f>T("   ZZ_Total_Produit_SH6")</f>
        <v xml:space="preserve">   ZZ_Total_Produit_SH6</v>
      </c>
      <c r="C11195" s="1">
        <v>1</v>
      </c>
      <c r="D11195" s="1">
        <v>267784</v>
      </c>
    </row>
    <row r="11196" spans="1:4" s="5" customFormat="1" x14ac:dyDescent="0.25">
      <c r="B11196" s="5" t="str">
        <f>T("Taïwan, Province de Chine")</f>
        <v>Taïwan, Province de Chine</v>
      </c>
      <c r="C11196" s="1"/>
      <c r="D11196" s="1"/>
    </row>
    <row r="11197" spans="1:4" x14ac:dyDescent="0.25">
      <c r="A11197" t="str">
        <f>T("   030379")</f>
        <v xml:space="preserve">   030379</v>
      </c>
      <c r="B11197" t="str">
        <f>T("   AUTRES POISSONS ENTIERS CONGELES.(FOIES,OEUFS,LAITANCES EXCLUS)")</f>
        <v xml:space="preserve">   AUTRES POISSONS ENTIERS CONGELES.(FOIES,OEUFS,LAITANCES EXCLUS)</v>
      </c>
      <c r="C11197" s="4">
        <v>27000</v>
      </c>
      <c r="D11197" s="4">
        <v>5625000</v>
      </c>
    </row>
    <row r="11198" spans="1:4" x14ac:dyDescent="0.25">
      <c r="A11198" t="str">
        <f>T("   190590")</f>
        <v xml:space="preserve">   190590</v>
      </c>
      <c r="B11198" t="str">
        <f>T("   AUTRES")</f>
        <v xml:space="preserve">   AUTRES</v>
      </c>
      <c r="C11198" s="4">
        <v>400</v>
      </c>
      <c r="D11198" s="4">
        <v>250000</v>
      </c>
    </row>
    <row r="11199" spans="1:4" x14ac:dyDescent="0.25">
      <c r="A11199" t="str">
        <f>T("   200980")</f>
        <v xml:space="preserve">   200980</v>
      </c>
      <c r="B11199" t="str">
        <f>T("   AUTRES JUS DE FRUITS OU DE LEGUMES,SANS ALCOOL,SUCRES OU NON")</f>
        <v xml:space="preserve">   AUTRES JUS DE FRUITS OU DE LEGUMES,SANS ALCOOL,SUCRES OU NON</v>
      </c>
      <c r="C11199" s="4">
        <v>19774</v>
      </c>
      <c r="D11199" s="4">
        <v>4801156</v>
      </c>
    </row>
    <row r="11200" spans="1:4" x14ac:dyDescent="0.25">
      <c r="A11200" t="str">
        <f>T("   220290")</f>
        <v xml:space="preserve">   220290</v>
      </c>
      <c r="B11200" t="str">
        <f>T("   AUTRES")</f>
        <v xml:space="preserve">   AUTRES</v>
      </c>
      <c r="C11200" s="4">
        <v>62102</v>
      </c>
      <c r="D11200" s="4">
        <v>14606611</v>
      </c>
    </row>
    <row r="11201" spans="1:4" x14ac:dyDescent="0.25">
      <c r="A11201" t="str">
        <f>T("   390799")</f>
        <v xml:space="preserve">   390799</v>
      </c>
      <c r="B11201" t="str">
        <f>T("   AUTRES")</f>
        <v xml:space="preserve">   AUTRES</v>
      </c>
      <c r="C11201" s="4">
        <v>594000</v>
      </c>
      <c r="D11201" s="4">
        <v>435274721</v>
      </c>
    </row>
    <row r="11202" spans="1:4" x14ac:dyDescent="0.25">
      <c r="A11202" t="str">
        <f>T("   391990")</f>
        <v xml:space="preserve">   391990</v>
      </c>
      <c r="B11202" t="str">
        <f>T("   AUTRES")</f>
        <v xml:space="preserve">   AUTRES</v>
      </c>
      <c r="C11202" s="4">
        <v>4380</v>
      </c>
      <c r="D11202" s="4">
        <v>7678552</v>
      </c>
    </row>
    <row r="11203" spans="1:4" x14ac:dyDescent="0.25">
      <c r="A11203" t="str">
        <f>T("   392390")</f>
        <v xml:space="preserve">   392390</v>
      </c>
      <c r="B11203" t="str">
        <f>T("   AUTRES")</f>
        <v xml:space="preserve">   AUTRES</v>
      </c>
      <c r="C11203" s="4">
        <v>6647</v>
      </c>
      <c r="D11203" s="4">
        <v>10410876</v>
      </c>
    </row>
    <row r="11204" spans="1:4" x14ac:dyDescent="0.25">
      <c r="A11204" t="str">
        <f>T("   392690")</f>
        <v xml:space="preserve">   392690</v>
      </c>
      <c r="B11204" t="str">
        <f>T("   AUTRES")</f>
        <v xml:space="preserve">   AUTRES</v>
      </c>
      <c r="C11204" s="4">
        <v>6187</v>
      </c>
      <c r="D11204" s="4">
        <v>8866532</v>
      </c>
    </row>
    <row r="11205" spans="1:4" x14ac:dyDescent="0.25">
      <c r="A11205" t="str">
        <f>T("   401110")</f>
        <v xml:space="preserve">   401110</v>
      </c>
      <c r="B11205" t="str">
        <f>T("   DES TYPES UTILISES POUR LES VOITURES DE TOURISME (Y COMPRIS LES VOITURES DU TYPE «BRE")</f>
        <v xml:space="preserve">   DES TYPES UTILISES POUR LES VOITURES DE TOURISME (Y COMPRIS LES VOITURES DU TYPE «BRE</v>
      </c>
      <c r="C11205" s="4">
        <v>10807</v>
      </c>
      <c r="D11205" s="4">
        <v>34300554</v>
      </c>
    </row>
    <row r="11206" spans="1:4" x14ac:dyDescent="0.25">
      <c r="A11206" t="str">
        <f>T("   401220")</f>
        <v xml:space="preserve">   401220</v>
      </c>
      <c r="B11206" t="str">
        <f>T("   PNEUMATIQUES USAGES")</f>
        <v xml:space="preserve">   PNEUMATIQUES USAGES</v>
      </c>
      <c r="C11206" s="4">
        <v>19000</v>
      </c>
      <c r="D11206" s="4">
        <v>4200000</v>
      </c>
    </row>
    <row r="11207" spans="1:4" x14ac:dyDescent="0.25">
      <c r="A11207" t="str">
        <f>T("   401310")</f>
        <v xml:space="preserve">   401310</v>
      </c>
      <c r="B11207" t="str">
        <f>T("   DES TYPES UTILISES POUR LES VOITURES DE TOURISME (Y COMPRIS LES VOITURES DU TYPE «BRE")</f>
        <v xml:space="preserve">   DES TYPES UTILISES POUR LES VOITURES DE TOURISME (Y COMPRIS LES VOITURES DU TYPE «BRE</v>
      </c>
      <c r="C11207" s="4">
        <v>6160</v>
      </c>
      <c r="D11207" s="4">
        <v>140000</v>
      </c>
    </row>
    <row r="11208" spans="1:4" x14ac:dyDescent="0.25">
      <c r="A11208" t="str">
        <f>T("   401390")</f>
        <v xml:space="preserve">   401390</v>
      </c>
      <c r="B11208" t="str">
        <f>T("   AUTRES")</f>
        <v xml:space="preserve">   AUTRES</v>
      </c>
      <c r="C11208" s="4">
        <v>15961</v>
      </c>
      <c r="D11208" s="4">
        <v>8524975</v>
      </c>
    </row>
    <row r="11209" spans="1:4" x14ac:dyDescent="0.25">
      <c r="A11209" t="str">
        <f>T("   482369")</f>
        <v xml:space="preserve">   482369</v>
      </c>
      <c r="B11209" t="str">
        <f>T("   AUTRES")</f>
        <v xml:space="preserve">   AUTRES</v>
      </c>
      <c r="C11209" s="4">
        <v>22334</v>
      </c>
      <c r="D11209" s="4">
        <v>6116879</v>
      </c>
    </row>
    <row r="11210" spans="1:4" x14ac:dyDescent="0.25">
      <c r="A11210" t="str">
        <f>T("   491000")</f>
        <v xml:space="preserve">   491000</v>
      </c>
      <c r="B11210" t="str">
        <f>T("   CALENDRIERS DE TOUS GENRES, IMPRIMES, Y COMPRIS LES BLOCS DE CALENDRIERS A EFFEUILLER.")</f>
        <v xml:space="preserve">   CALENDRIERS DE TOUS GENRES, IMPRIMES, Y COMPRIS LES BLOCS DE CALENDRIERS A EFFEUILLER.</v>
      </c>
      <c r="C11210" s="4">
        <v>127</v>
      </c>
      <c r="D11210" s="4">
        <v>350404</v>
      </c>
    </row>
    <row r="11211" spans="1:4" x14ac:dyDescent="0.25">
      <c r="A11211" t="str">
        <f>T("   840999")</f>
        <v xml:space="preserve">   840999</v>
      </c>
      <c r="B11211" t="str">
        <f>T("   AUTRES")</f>
        <v xml:space="preserve">   AUTRES</v>
      </c>
      <c r="C11211" s="4">
        <v>328</v>
      </c>
      <c r="D11211" s="4">
        <v>622370</v>
      </c>
    </row>
    <row r="11212" spans="1:4" x14ac:dyDescent="0.25">
      <c r="A11212" t="str">
        <f>T("   841392")</f>
        <v xml:space="preserve">   841392</v>
      </c>
      <c r="B11212" t="str">
        <f>T("   D'ELEVATEURS A LIQUIDES")</f>
        <v xml:space="preserve">   D'ELEVATEURS A LIQUIDES</v>
      </c>
      <c r="C11212" s="4">
        <v>218</v>
      </c>
      <c r="D11212" s="4">
        <v>527769</v>
      </c>
    </row>
    <row r="11213" spans="1:4" x14ac:dyDescent="0.25">
      <c r="A11213" t="str">
        <f>T("   841920")</f>
        <v xml:space="preserve">   841920</v>
      </c>
      <c r="B11213" t="str">
        <f>T("   STERILISATEURS MEDICOCHIRURGICAUX OU DE LABORATOIRES")</f>
        <v xml:space="preserve">   STERILISATEURS MEDICOCHIRURGICAUX OU DE LABORATOIRES</v>
      </c>
      <c r="C11213" s="4">
        <v>18</v>
      </c>
      <c r="D11213" s="4">
        <v>370933</v>
      </c>
    </row>
    <row r="11214" spans="1:4" x14ac:dyDescent="0.25">
      <c r="A11214" t="str">
        <f>T("   842119")</f>
        <v xml:space="preserve">   842119</v>
      </c>
      <c r="B11214" t="str">
        <f>T("   AUTRES")</f>
        <v xml:space="preserve">   AUTRES</v>
      </c>
      <c r="C11214" s="4">
        <v>23</v>
      </c>
      <c r="D11214" s="4">
        <v>393836</v>
      </c>
    </row>
    <row r="11215" spans="1:4" x14ac:dyDescent="0.25">
      <c r="A11215" t="str">
        <f>T("   847130")</f>
        <v xml:space="preserve">   847130</v>
      </c>
      <c r="B11215" t="str">
        <f>T("   MACHINES AUTOMATIQUES DE TRAITEMENT DE L'INFORMATION PORTATIVES, D'UN POIDS N'EXCEDAN")</f>
        <v xml:space="preserve">   MACHINES AUTOMATIQUES DE TRAITEMENT DE L'INFORMATION PORTATIVES, D'UN POIDS N'EXCEDAN</v>
      </c>
      <c r="C11215" s="4">
        <v>6</v>
      </c>
      <c r="D11215" s="4">
        <v>1880152</v>
      </c>
    </row>
    <row r="11216" spans="1:4" x14ac:dyDescent="0.25">
      <c r="A11216" t="str">
        <f>T("   847141")</f>
        <v xml:space="preserve">   847141</v>
      </c>
      <c r="B11216" t="str">
        <f>T("   COMPORTANT, SOUS UNE MEME ENVELOPPE, AU MOINS UNE UNITE CENTRALE DE TRAITEMENT ET, Q")</f>
        <v xml:space="preserve">   COMPORTANT, SOUS UNE MEME ENVELOPPE, AU MOINS UNE UNITE CENTRALE DE TRAITEMENT ET, Q</v>
      </c>
      <c r="C11216" s="4">
        <v>110</v>
      </c>
      <c r="D11216" s="4">
        <v>2274887</v>
      </c>
    </row>
    <row r="11217" spans="1:4" x14ac:dyDescent="0.25">
      <c r="A11217" t="str">
        <f>T("   847150")</f>
        <v xml:space="preserve">   847150</v>
      </c>
      <c r="B11217" t="str">
        <f>T("   UNITES DE TRAITEMENT AUTRES QUE CELLES DES N°S 8471.41 OU 8471.49, POUVANT COMPORTER,")</f>
        <v xml:space="preserve">   UNITES DE TRAITEMENT AUTRES QUE CELLES DES N°S 8471.41 OU 8471.49, POUVANT COMPORTER,</v>
      </c>
      <c r="C11217" s="4">
        <v>40</v>
      </c>
      <c r="D11217" s="4">
        <v>550175</v>
      </c>
    </row>
    <row r="11218" spans="1:4" x14ac:dyDescent="0.25">
      <c r="A11218" t="str">
        <f>T("   847170")</f>
        <v xml:space="preserve">   847170</v>
      </c>
      <c r="B11218" t="str">
        <f>T("   UNITES DE MEMOIRE")</f>
        <v xml:space="preserve">   UNITES DE MEMOIRE</v>
      </c>
      <c r="C11218" s="4">
        <v>48</v>
      </c>
      <c r="D11218" s="4">
        <v>1095371</v>
      </c>
    </row>
    <row r="11219" spans="1:4" x14ac:dyDescent="0.25">
      <c r="A11219" t="str">
        <f>T("   847180")</f>
        <v xml:space="preserve">   847180</v>
      </c>
      <c r="B11219" t="str">
        <f>T("   AUTRES UNITES DE MACHINES AUTOMATIQUES DE TRAITEMENT DE L'INFORMATION")</f>
        <v xml:space="preserve">   AUTRES UNITES DE MACHINES AUTOMATIQUES DE TRAITEMENT DE L'INFORMATION</v>
      </c>
      <c r="C11219" s="4">
        <v>221.5</v>
      </c>
      <c r="D11219" s="4">
        <v>5762527</v>
      </c>
    </row>
    <row r="11220" spans="1:4" x14ac:dyDescent="0.25">
      <c r="A11220" t="str">
        <f>T("   847490")</f>
        <v xml:space="preserve">   847490</v>
      </c>
      <c r="B11220" t="str">
        <f>T("   PARTIES")</f>
        <v xml:space="preserve">   PARTIES</v>
      </c>
      <c r="C11220" s="4">
        <v>425</v>
      </c>
      <c r="D11220" s="4">
        <v>1752594</v>
      </c>
    </row>
    <row r="11221" spans="1:4" x14ac:dyDescent="0.25">
      <c r="A11221" t="str">
        <f>T("   851769")</f>
        <v xml:space="preserve">   851769</v>
      </c>
      <c r="B11221" t="str">
        <f>T("   AUTRES")</f>
        <v xml:space="preserve">   AUTRES</v>
      </c>
      <c r="C11221" s="4">
        <v>9</v>
      </c>
      <c r="D11221" s="4">
        <v>423767</v>
      </c>
    </row>
    <row r="11222" spans="1:4" x14ac:dyDescent="0.25">
      <c r="A11222" t="str">
        <f>T("   852550")</f>
        <v xml:space="preserve">   852550</v>
      </c>
      <c r="B11222" t="str">
        <f>T("   APPAREILS D'EMISSION")</f>
        <v xml:space="preserve">   APPAREILS D'EMISSION</v>
      </c>
      <c r="C11222" s="4">
        <v>5</v>
      </c>
      <c r="D11222" s="4">
        <v>524284</v>
      </c>
    </row>
    <row r="11223" spans="1:4" x14ac:dyDescent="0.25">
      <c r="A11223" t="str">
        <f>T("   852691")</f>
        <v xml:space="preserve">   852691</v>
      </c>
      <c r="B11223" t="str">
        <f>T("   Appareils de radionavigation")</f>
        <v xml:space="preserve">   Appareils de radionavigation</v>
      </c>
      <c r="C11223" s="4">
        <v>114</v>
      </c>
      <c r="D11223" s="4">
        <v>1177050</v>
      </c>
    </row>
    <row r="11224" spans="1:4" x14ac:dyDescent="0.25">
      <c r="A11224" t="str">
        <f>T("   852910")</f>
        <v xml:space="preserve">   852910</v>
      </c>
      <c r="B11224" t="str">
        <f>T("   ANTENNES ET REFLECTEURS D’ANTENNES DE TOUS TYPES; PARTIES RECONNAISSABLES COMME ETANT")</f>
        <v xml:space="preserve">   ANTENNES ET REFLECTEURS D’ANTENNES DE TOUS TYPES; PARTIES RECONNAISSABLES COMME ETANT</v>
      </c>
      <c r="C11224" s="4">
        <v>2085</v>
      </c>
      <c r="D11224" s="4">
        <v>12471160</v>
      </c>
    </row>
    <row r="11225" spans="1:4" x14ac:dyDescent="0.25">
      <c r="A11225" t="str">
        <f>T("   853649")</f>
        <v xml:space="preserve">   853649</v>
      </c>
      <c r="B11225" t="str">
        <f>T("   AUTRES")</f>
        <v xml:space="preserve">   AUTRES</v>
      </c>
      <c r="C11225" s="4">
        <v>9</v>
      </c>
      <c r="D11225" s="4">
        <v>337072</v>
      </c>
    </row>
    <row r="11226" spans="1:4" x14ac:dyDescent="0.25">
      <c r="A11226" t="str">
        <f>T("   853690")</f>
        <v xml:space="preserve">   853690</v>
      </c>
      <c r="B11226" t="str">
        <f>T("   AUTRES APPAREILS")</f>
        <v xml:space="preserve">   AUTRES APPAREILS</v>
      </c>
      <c r="C11226" s="4">
        <v>195</v>
      </c>
      <c r="D11226" s="4">
        <v>1614179</v>
      </c>
    </row>
    <row r="11227" spans="1:4" x14ac:dyDescent="0.25">
      <c r="A11227" t="str">
        <f>T("   853720")</f>
        <v xml:space="preserve">   853720</v>
      </c>
      <c r="B11227" t="str">
        <f>T("   POUR UNE TENSION EXCEDANT 1.000 V")</f>
        <v xml:space="preserve">   POUR UNE TENSION EXCEDANT 1.000 V</v>
      </c>
      <c r="C11227" s="4">
        <v>55</v>
      </c>
      <c r="D11227" s="4">
        <v>516816</v>
      </c>
    </row>
    <row r="11228" spans="1:4" x14ac:dyDescent="0.25">
      <c r="A11228" t="str">
        <f>T("   854420")</f>
        <v xml:space="preserve">   854420</v>
      </c>
      <c r="B11228" t="str">
        <f>T("   Cables coaxiaux et autres conducteurs electriques coaxiaux")</f>
        <v xml:space="preserve">   Cables coaxiaux et autres conducteurs electriques coaxiaux</v>
      </c>
      <c r="C11228" s="4">
        <v>6069</v>
      </c>
      <c r="D11228" s="4">
        <v>32186676</v>
      </c>
    </row>
    <row r="11229" spans="1:4" x14ac:dyDescent="0.25">
      <c r="A11229" t="str">
        <f>T("   870899")</f>
        <v xml:space="preserve">   870899</v>
      </c>
      <c r="B11229" t="str">
        <f>T("   AUTRES")</f>
        <v xml:space="preserve">   AUTRES</v>
      </c>
      <c r="C11229" s="4">
        <v>20036</v>
      </c>
      <c r="D11229" s="4">
        <v>31970193</v>
      </c>
    </row>
    <row r="11230" spans="1:4" x14ac:dyDescent="0.25">
      <c r="A11230" t="str">
        <f>T("   871499")</f>
        <v xml:space="preserve">   871499</v>
      </c>
      <c r="B11230" t="str">
        <f>T("   AUTRES")</f>
        <v xml:space="preserve">   AUTRES</v>
      </c>
      <c r="C11230" s="4">
        <v>56715</v>
      </c>
      <c r="D11230" s="4">
        <v>11093595</v>
      </c>
    </row>
    <row r="11231" spans="1:4" x14ac:dyDescent="0.25">
      <c r="A11231" t="str">
        <f>T("   880100")</f>
        <v xml:space="preserve">   880100</v>
      </c>
      <c r="B11231" t="str">
        <f>T("   BALLONS ET DIRIGEABLES; PLANEURS, AILES VOLANTES ET AUTRES VEHICULES AERIENS, NON CONCU")</f>
        <v xml:space="preserve">   BALLONS ET DIRIGEABLES; PLANEURS, AILES VOLANTES ET AUTRES VEHICULES AERIENS, NON CONCU</v>
      </c>
      <c r="C11231" s="4">
        <v>19</v>
      </c>
      <c r="D11231" s="4">
        <v>4142495</v>
      </c>
    </row>
    <row r="11232" spans="1:4" x14ac:dyDescent="0.25">
      <c r="A11232" t="str">
        <f>T("   900719")</f>
        <v xml:space="preserve">   900719</v>
      </c>
      <c r="B11232" t="str">
        <f>T("   AUTRES CAMERAS MEME AVEC PRISE ET REPRODUCTION DU SON")</f>
        <v xml:space="preserve">   AUTRES CAMERAS MEME AVEC PRISE ET REPRODUCTION DU SON</v>
      </c>
      <c r="C11232" s="4">
        <v>215.4</v>
      </c>
      <c r="D11232" s="4">
        <v>2917670</v>
      </c>
    </row>
    <row r="11233" spans="1:4" x14ac:dyDescent="0.25">
      <c r="A11233" t="str">
        <f>T("   900830")</f>
        <v xml:space="preserve">   900830</v>
      </c>
      <c r="B11233" t="str">
        <f>T("   Autres projecteurs d'images fixes")</f>
        <v xml:space="preserve">   Autres projecteurs d'images fixes</v>
      </c>
      <c r="C11233" s="4">
        <v>5</v>
      </c>
      <c r="D11233" s="4">
        <v>132000</v>
      </c>
    </row>
    <row r="11234" spans="1:4" s="5" customFormat="1" x14ac:dyDescent="0.25">
      <c r="A11234" s="5" t="str">
        <f>T("   ZZ_Total_Produit_SH6")</f>
        <v xml:space="preserve">   ZZ_Total_Produit_SH6</v>
      </c>
      <c r="B11234" s="5" t="str">
        <f>T("   ZZ_Total_Produit_SH6")</f>
        <v xml:space="preserve">   ZZ_Total_Produit_SH6</v>
      </c>
      <c r="C11234" s="1">
        <v>881847.9</v>
      </c>
      <c r="D11234" s="1">
        <v>655883831</v>
      </c>
    </row>
    <row r="11235" spans="1:4" s="5" customFormat="1" x14ac:dyDescent="0.25">
      <c r="B11235" s="5" t="str">
        <f>T("Tanzanie")</f>
        <v>Tanzanie</v>
      </c>
      <c r="C11235" s="1"/>
      <c r="D11235" s="1"/>
    </row>
    <row r="11236" spans="1:4" x14ac:dyDescent="0.25">
      <c r="A11236" t="str">
        <f>T("   620349")</f>
        <v xml:space="preserve">   620349</v>
      </c>
      <c r="B11236" t="str">
        <f>T("   D'AUTRES MATIERES TEXTILES")</f>
        <v xml:space="preserve">   D'AUTRES MATIERES TEXTILES</v>
      </c>
      <c r="C11236" s="4">
        <v>200</v>
      </c>
      <c r="D11236" s="4">
        <v>500000</v>
      </c>
    </row>
    <row r="11237" spans="1:4" x14ac:dyDescent="0.25">
      <c r="A11237" t="str">
        <f>T("   848079")</f>
        <v xml:space="preserve">   848079</v>
      </c>
      <c r="B11237" t="str">
        <f>T("   AUTRES")</f>
        <v xml:space="preserve">   AUTRES</v>
      </c>
      <c r="C11237" s="4">
        <v>48000</v>
      </c>
      <c r="D11237" s="4">
        <v>10742106</v>
      </c>
    </row>
    <row r="11238" spans="1:4" s="5" customFormat="1" x14ac:dyDescent="0.25">
      <c r="A11238" s="5" t="str">
        <f>T("   ZZ_Total_Produit_SH6")</f>
        <v xml:space="preserve">   ZZ_Total_Produit_SH6</v>
      </c>
      <c r="B11238" s="5" t="str">
        <f>T("   ZZ_Total_Produit_SH6")</f>
        <v xml:space="preserve">   ZZ_Total_Produit_SH6</v>
      </c>
      <c r="C11238" s="1">
        <v>48200</v>
      </c>
      <c r="D11238" s="1">
        <v>11242106</v>
      </c>
    </row>
    <row r="11239" spans="1:4" s="5" customFormat="1" x14ac:dyDescent="0.25">
      <c r="B11239" s="5" t="str">
        <f>T("Ukraine")</f>
        <v>Ukraine</v>
      </c>
      <c r="C11239" s="1"/>
      <c r="D11239" s="1"/>
    </row>
    <row r="11240" spans="1:4" x14ac:dyDescent="0.25">
      <c r="A11240" t="str">
        <f>T("   020712")</f>
        <v xml:space="preserve">   020712</v>
      </c>
      <c r="B11240" t="str">
        <f>T("   NON DECOUPES EN MORCEAUX, CONGELES")</f>
        <v xml:space="preserve">   NON DECOUPES EN MORCEAUX, CONGELES</v>
      </c>
      <c r="C11240" s="4">
        <v>46062</v>
      </c>
      <c r="D11240" s="4">
        <v>31100188</v>
      </c>
    </row>
    <row r="11241" spans="1:4" x14ac:dyDescent="0.25">
      <c r="A11241" t="str">
        <f>T("   020714")</f>
        <v xml:space="preserve">   020714</v>
      </c>
      <c r="B11241" t="str">
        <f>T("   MORCEAUX ET ABATS, CONGELES")</f>
        <v xml:space="preserve">   MORCEAUX ET ABATS, CONGELES</v>
      </c>
      <c r="C11241" s="4">
        <v>104160</v>
      </c>
      <c r="D11241" s="4">
        <v>62200752</v>
      </c>
    </row>
    <row r="11242" spans="1:4" x14ac:dyDescent="0.25">
      <c r="A11242" t="str">
        <f>T("   030379")</f>
        <v xml:space="preserve">   030379</v>
      </c>
      <c r="B11242" t="str">
        <f>T("   AUTRES POISSONS ENTIERS CONGELES.(FOIES,OEUFS,LAITANCES EXCLUS)")</f>
        <v xml:space="preserve">   AUTRES POISSONS ENTIERS CONGELES.(FOIES,OEUFS,LAITANCES EXCLUS)</v>
      </c>
      <c r="C11242" s="4">
        <v>28000</v>
      </c>
      <c r="D11242" s="4">
        <v>11200000</v>
      </c>
    </row>
    <row r="11243" spans="1:4" x14ac:dyDescent="0.25">
      <c r="A11243" t="str">
        <f>T("   110100")</f>
        <v xml:space="preserve">   110100</v>
      </c>
      <c r="B11243" t="str">
        <f>T("   FARINES DE FROMENT (BLE) OU DE METEIL.")</f>
        <v xml:space="preserve">   FARINES DE FROMENT (BLE) OU DE METEIL.</v>
      </c>
      <c r="C11243" s="4">
        <v>464633</v>
      </c>
      <c r="D11243" s="4">
        <v>123954893.396</v>
      </c>
    </row>
    <row r="11244" spans="1:4" x14ac:dyDescent="0.25">
      <c r="A11244" t="str">
        <f>T("   300630")</f>
        <v xml:space="preserve">   300630</v>
      </c>
      <c r="B11244" t="str">
        <f>T("   PREPARATIONS OPACIFIANTES POUR EXAMENS RADIOGRAPHIQUES; REACTIFS DE DIAGNOSTIC CONCUS")</f>
        <v xml:space="preserve">   PREPARATIONS OPACIFIANTES POUR EXAMENS RADIOGRAPHIQUES; REACTIFS DE DIAGNOSTIC CONCUS</v>
      </c>
      <c r="C11244" s="4">
        <v>28</v>
      </c>
      <c r="D11244" s="4">
        <v>988217</v>
      </c>
    </row>
    <row r="11245" spans="1:4" x14ac:dyDescent="0.25">
      <c r="A11245" t="str">
        <f>T("   321590")</f>
        <v xml:space="preserve">   321590</v>
      </c>
      <c r="B11245" t="str">
        <f>T("   AUTRES")</f>
        <v xml:space="preserve">   AUTRES</v>
      </c>
      <c r="C11245" s="4">
        <v>36</v>
      </c>
      <c r="D11245" s="4">
        <v>96340</v>
      </c>
    </row>
    <row r="11246" spans="1:4" x14ac:dyDescent="0.25">
      <c r="A11246" t="str">
        <f>T("   382200")</f>
        <v xml:space="preserve">   382200</v>
      </c>
      <c r="B11246" t="str">
        <f>T("   REACTIFS DE DIAGNOSTIC OU DE LABORATOIRE SUR TOUT SUPPORT ET REACTIFS DE DIAGNOSTIC OU")</f>
        <v xml:space="preserve">   REACTIFS DE DIAGNOSTIC OU DE LABORATOIRE SUR TOUT SUPPORT ET REACTIFS DE DIAGNOSTIC OU</v>
      </c>
      <c r="C11246" s="4">
        <v>232</v>
      </c>
      <c r="D11246" s="4">
        <v>155592580</v>
      </c>
    </row>
    <row r="11247" spans="1:4" x14ac:dyDescent="0.25">
      <c r="A11247" t="str">
        <f>T("   392690")</f>
        <v xml:space="preserve">   392690</v>
      </c>
      <c r="B11247" t="str">
        <f>T("   AUTRES")</f>
        <v xml:space="preserve">   AUTRES</v>
      </c>
      <c r="C11247" s="4">
        <v>1</v>
      </c>
      <c r="D11247" s="4">
        <v>210170</v>
      </c>
    </row>
    <row r="11248" spans="1:4" x14ac:dyDescent="0.25">
      <c r="A11248" t="str">
        <f>T("   401699")</f>
        <v xml:space="preserve">   401699</v>
      </c>
      <c r="B11248" t="str">
        <f>T("   AUTRES")</f>
        <v xml:space="preserve">   AUTRES</v>
      </c>
      <c r="C11248" s="4">
        <v>690</v>
      </c>
      <c r="D11248" s="4">
        <v>7493242</v>
      </c>
    </row>
    <row r="11249" spans="1:4" x14ac:dyDescent="0.25">
      <c r="A11249" t="str">
        <f>T("   610990")</f>
        <v xml:space="preserve">   610990</v>
      </c>
      <c r="B11249" t="str">
        <f>T("   D'AUTRES MATIERES TEXTILES")</f>
        <v xml:space="preserve">   D'AUTRES MATIERES TEXTILES</v>
      </c>
      <c r="C11249" s="4">
        <v>3</v>
      </c>
      <c r="D11249" s="4">
        <v>128745</v>
      </c>
    </row>
    <row r="11250" spans="1:4" x14ac:dyDescent="0.25">
      <c r="A11250" t="str">
        <f>T("   701990")</f>
        <v xml:space="preserve">   701990</v>
      </c>
      <c r="B11250" t="str">
        <f>T("   AUTRES")</f>
        <v xml:space="preserve">   AUTRES</v>
      </c>
      <c r="C11250" s="4">
        <v>1.6</v>
      </c>
      <c r="D11250" s="4">
        <v>210170</v>
      </c>
    </row>
    <row r="11251" spans="1:4" x14ac:dyDescent="0.25">
      <c r="A11251" t="str">
        <f>T("   721391")</f>
        <v xml:space="preserve">   721391</v>
      </c>
      <c r="B11251" t="str">
        <f>T("   DE SECTION CIRCULAIRE D'UN DIAMETRE INFERIEUR A 14 MM")</f>
        <v xml:space="preserve">   DE SECTION CIRCULAIRE D'UN DIAMETRE INFERIEUR A 14 MM</v>
      </c>
      <c r="C11251" s="4">
        <v>4457200</v>
      </c>
      <c r="D11251" s="4">
        <v>1382571163</v>
      </c>
    </row>
    <row r="11252" spans="1:4" x14ac:dyDescent="0.25">
      <c r="A11252" t="str">
        <f>T("   722850")</f>
        <v xml:space="preserve">   722850</v>
      </c>
      <c r="B11252" t="str">
        <f>T("   AUTRES BARRES, SIMPLEMENT OBTENUES OU PARACHEVEES A FROID")</f>
        <v xml:space="preserve">   AUTRES BARRES, SIMPLEMENT OBTENUES OU PARACHEVEES A FROID</v>
      </c>
      <c r="C11252" s="4">
        <v>715</v>
      </c>
      <c r="D11252" s="4">
        <v>3467595</v>
      </c>
    </row>
    <row r="11253" spans="1:4" x14ac:dyDescent="0.25">
      <c r="A11253" t="str">
        <f>T("   732399")</f>
        <v xml:space="preserve">   732399</v>
      </c>
      <c r="B11253" t="str">
        <f>T("   AUTRES")</f>
        <v xml:space="preserve">   AUTRES</v>
      </c>
      <c r="C11253" s="4">
        <v>9850</v>
      </c>
      <c r="D11253" s="4">
        <v>424705</v>
      </c>
    </row>
    <row r="11254" spans="1:4" x14ac:dyDescent="0.25">
      <c r="A11254" t="str">
        <f>T("   740729")</f>
        <v xml:space="preserve">   740729</v>
      </c>
      <c r="B11254" t="str">
        <f>T("   AUTRES")</f>
        <v xml:space="preserve">   AUTRES</v>
      </c>
      <c r="C11254" s="4">
        <v>95</v>
      </c>
      <c r="D11254" s="4">
        <v>1100635</v>
      </c>
    </row>
    <row r="11255" spans="1:4" x14ac:dyDescent="0.25">
      <c r="A11255" t="str">
        <f>T("   841319")</f>
        <v xml:space="preserve">   841319</v>
      </c>
      <c r="B11255" t="str">
        <f>T("   AUTRES")</f>
        <v xml:space="preserve">   AUTRES</v>
      </c>
      <c r="C11255" s="4">
        <v>1370</v>
      </c>
      <c r="D11255" s="4">
        <v>17651012</v>
      </c>
    </row>
    <row r="11256" spans="1:4" x14ac:dyDescent="0.25">
      <c r="A11256" t="str">
        <f>T("   842199")</f>
        <v xml:space="preserve">   842199</v>
      </c>
      <c r="B11256" t="str">
        <f>T("   AUTRES")</f>
        <v xml:space="preserve">   AUTRES</v>
      </c>
      <c r="C11256" s="4">
        <v>5</v>
      </c>
      <c r="D11256" s="4">
        <v>630509</v>
      </c>
    </row>
    <row r="11257" spans="1:4" x14ac:dyDescent="0.25">
      <c r="A11257" t="str">
        <f>T("   847180")</f>
        <v xml:space="preserve">   847180</v>
      </c>
      <c r="B11257" t="str">
        <f>T("   AUTRES UNITES DE MACHINES AUTOMATIQUES DE TRAITEMENT DE L'INFORMATION")</f>
        <v xml:space="preserve">   AUTRES UNITES DE MACHINES AUTOMATIQUES DE TRAITEMENT DE L'INFORMATION</v>
      </c>
      <c r="C11257" s="4">
        <v>100</v>
      </c>
      <c r="D11257" s="4">
        <v>615854</v>
      </c>
    </row>
    <row r="11258" spans="1:4" x14ac:dyDescent="0.25">
      <c r="A11258" t="str">
        <f>T("   847190")</f>
        <v xml:space="preserve">   847190</v>
      </c>
      <c r="B11258" t="str">
        <f>T("   AUTRES")</f>
        <v xml:space="preserve">   AUTRES</v>
      </c>
      <c r="C11258" s="4">
        <v>1</v>
      </c>
      <c r="D11258" s="4">
        <v>111441</v>
      </c>
    </row>
    <row r="11259" spans="1:4" x14ac:dyDescent="0.25">
      <c r="A11259" t="str">
        <f>T("   851762")</f>
        <v xml:space="preserve">   851762</v>
      </c>
      <c r="B11259" t="str">
        <f>T("   APPAREILS POUR LA RECEPTION, LA CONVERSION ET L'EMISSION, LA TRANSMISSION OU LA REGE")</f>
        <v xml:space="preserve">   APPAREILS POUR LA RECEPTION, LA CONVERSION ET L'EMISSION, LA TRANSMISSION OU LA REGE</v>
      </c>
      <c r="C11259" s="4">
        <v>40</v>
      </c>
      <c r="D11259" s="4">
        <v>716970</v>
      </c>
    </row>
    <row r="11260" spans="1:4" x14ac:dyDescent="0.25">
      <c r="A11260" t="str">
        <f>T("   852910")</f>
        <v xml:space="preserve">   852910</v>
      </c>
      <c r="B11260" t="str">
        <f>T("   ANTENNES ET REFLECTEURS D’ANTENNES DE TOUS TYPES; PARTIES RECONNAISSABLES COMME ETANT")</f>
        <v xml:space="preserve">   ANTENNES ET REFLECTEURS D’ANTENNES DE TOUS TYPES; PARTIES RECONNAISSABLES COMME ETANT</v>
      </c>
      <c r="C11260" s="4">
        <v>182</v>
      </c>
      <c r="D11260" s="4">
        <v>1578330</v>
      </c>
    </row>
    <row r="11261" spans="1:4" x14ac:dyDescent="0.25">
      <c r="A11261" t="str">
        <f>T("   870810")</f>
        <v xml:space="preserve">   870810</v>
      </c>
      <c r="B11261" t="str">
        <f>T("   PARECHOCS ET LEURS PARTIES")</f>
        <v xml:space="preserve">   PARECHOCS ET LEURS PARTIES</v>
      </c>
      <c r="C11261" s="4">
        <v>2</v>
      </c>
      <c r="D11261" s="4">
        <v>41624</v>
      </c>
    </row>
    <row r="11262" spans="1:4" x14ac:dyDescent="0.25">
      <c r="A11262" t="str">
        <f>T("   870899")</f>
        <v xml:space="preserve">   870899</v>
      </c>
      <c r="B11262" t="str">
        <f>T("   AUTRES")</f>
        <v xml:space="preserve">   AUTRES</v>
      </c>
      <c r="C11262" s="4">
        <v>7</v>
      </c>
      <c r="D11262" s="4">
        <v>56165</v>
      </c>
    </row>
    <row r="11263" spans="1:4" x14ac:dyDescent="0.25">
      <c r="A11263" t="str">
        <f>T("   902730")</f>
        <v xml:space="preserve">   902730</v>
      </c>
      <c r="B11263" t="str">
        <f>T("   SPECTROMETRES, SPECTROPHOTOMETRES ET SPECTROGRAPHES UTILISANT LES RAYONNEMENTS OPTIQU")</f>
        <v xml:space="preserve">   SPECTROMETRES, SPECTROPHOTOMETRES ET SPECTROGRAPHES UTILISANT LES RAYONNEMENTS OPTIQU</v>
      </c>
      <c r="C11263" s="4">
        <v>8.9</v>
      </c>
      <c r="D11263" s="4">
        <v>2406783</v>
      </c>
    </row>
    <row r="11264" spans="1:4" s="5" customFormat="1" x14ac:dyDescent="0.25">
      <c r="A11264" s="5" t="str">
        <f>T("   ZZ_Total_Produit_SH6")</f>
        <v xml:space="preserve">   ZZ_Total_Produit_SH6</v>
      </c>
      <c r="B11264" s="5" t="str">
        <f>T("   ZZ_Total_Produit_SH6")</f>
        <v xml:space="preserve">   ZZ_Total_Produit_SH6</v>
      </c>
      <c r="C11264" s="1">
        <v>5113422.5</v>
      </c>
      <c r="D11264" s="1">
        <v>1804548083.3959999</v>
      </c>
    </row>
    <row r="11265" spans="1:4" s="5" customFormat="1" x14ac:dyDescent="0.25">
      <c r="B11265" s="5" t="str">
        <f>T("Ouganda")</f>
        <v>Ouganda</v>
      </c>
      <c r="C11265" s="1"/>
      <c r="D11265" s="1"/>
    </row>
    <row r="11266" spans="1:4" x14ac:dyDescent="0.25">
      <c r="A11266" t="str">
        <f>T("   621040")</f>
        <v xml:space="preserve">   621040</v>
      </c>
      <c r="B11266" t="str">
        <f>T("   AUTRES VETEMENTS POUR HOMMES OU GARCONNETS")</f>
        <v xml:space="preserve">   AUTRES VETEMENTS POUR HOMMES OU GARCONNETS</v>
      </c>
      <c r="C11266" s="4">
        <v>117</v>
      </c>
      <c r="D11266" s="4">
        <v>532075</v>
      </c>
    </row>
    <row r="11267" spans="1:4" x14ac:dyDescent="0.25">
      <c r="A11267" t="str">
        <f>T("   640219")</f>
        <v xml:space="preserve">   640219</v>
      </c>
      <c r="B11267" t="str">
        <f>T("   AUTRES")</f>
        <v xml:space="preserve">   AUTRES</v>
      </c>
      <c r="C11267" s="4">
        <v>50</v>
      </c>
      <c r="D11267" s="4">
        <v>96345</v>
      </c>
    </row>
    <row r="11268" spans="1:4" s="5" customFormat="1" x14ac:dyDescent="0.25">
      <c r="A11268" s="5" t="str">
        <f>T("   ZZ_Total_Produit_SH6")</f>
        <v xml:space="preserve">   ZZ_Total_Produit_SH6</v>
      </c>
      <c r="B11268" s="5" t="str">
        <f>T("   ZZ_Total_Produit_SH6")</f>
        <v xml:space="preserve">   ZZ_Total_Produit_SH6</v>
      </c>
      <c r="C11268" s="1">
        <v>167</v>
      </c>
      <c r="D11268" s="1">
        <v>628420</v>
      </c>
    </row>
    <row r="11269" spans="1:4" s="5" customFormat="1" x14ac:dyDescent="0.25">
      <c r="B11269" s="5" t="str">
        <f>T("îles mineures éloignées(Etats-Unis)")</f>
        <v>îles mineures éloignées(Etats-Unis)</v>
      </c>
      <c r="C11269" s="1"/>
      <c r="D11269" s="1"/>
    </row>
    <row r="11270" spans="1:4" x14ac:dyDescent="0.25">
      <c r="A11270" t="str">
        <f>T("   300490")</f>
        <v xml:space="preserve">   300490</v>
      </c>
      <c r="B11270" t="str">
        <f>T("   AUTRES")</f>
        <v xml:space="preserve">   AUTRES</v>
      </c>
      <c r="C11270" s="4">
        <v>11</v>
      </c>
      <c r="D11270" s="4">
        <v>411685</v>
      </c>
    </row>
    <row r="11271" spans="1:4" x14ac:dyDescent="0.25">
      <c r="A11271" t="str">
        <f>T("   321590")</f>
        <v xml:space="preserve">   321590</v>
      </c>
      <c r="B11271" t="str">
        <f>T("   AUTRES")</f>
        <v xml:space="preserve">   AUTRES</v>
      </c>
      <c r="C11271" s="4">
        <v>65</v>
      </c>
      <c r="D11271" s="4">
        <v>205570</v>
      </c>
    </row>
    <row r="11272" spans="1:4" x14ac:dyDescent="0.25">
      <c r="A11272" t="str">
        <f>T("   491110")</f>
        <v xml:space="preserve">   491110</v>
      </c>
      <c r="B11272" t="str">
        <f>T("   IMPRIMES PUBLICITAIRES, CATALOGUES COMMERCIAUX ET SIMILAIRES")</f>
        <v xml:space="preserve">   IMPRIMES PUBLICITAIRES, CATALOGUES COMMERCIAUX ET SIMILAIRES</v>
      </c>
      <c r="C11272" s="4">
        <v>13</v>
      </c>
      <c r="D11272" s="4">
        <v>330967</v>
      </c>
    </row>
    <row r="11273" spans="1:4" x14ac:dyDescent="0.25">
      <c r="A11273" t="str">
        <f>T("   511190")</f>
        <v xml:space="preserve">   511190</v>
      </c>
      <c r="B11273" t="str">
        <f>T("   AUTRES")</f>
        <v xml:space="preserve">   AUTRES</v>
      </c>
      <c r="C11273" s="4">
        <v>15</v>
      </c>
      <c r="D11273" s="4">
        <v>83883</v>
      </c>
    </row>
    <row r="11274" spans="1:4" x14ac:dyDescent="0.25">
      <c r="A11274" t="str">
        <f>T("   540720")</f>
        <v xml:space="preserve">   540720</v>
      </c>
      <c r="B11274" t="str">
        <f>T("   TISSUS OBTENUS A PARTIR DE LAMES OU FORMES SIMILAIRES")</f>
        <v xml:space="preserve">   TISSUS OBTENUS A PARTIR DE LAMES OU FORMES SIMILAIRES</v>
      </c>
      <c r="C11274" s="4">
        <v>810</v>
      </c>
      <c r="D11274" s="4">
        <v>17533152</v>
      </c>
    </row>
    <row r="11275" spans="1:4" x14ac:dyDescent="0.25">
      <c r="A11275" t="str">
        <f>T("   540769")</f>
        <v xml:space="preserve">   540769</v>
      </c>
      <c r="B11275" t="str">
        <f>T("   AUTRES")</f>
        <v xml:space="preserve">   AUTRES</v>
      </c>
      <c r="C11275" s="4">
        <v>816</v>
      </c>
      <c r="D11275" s="4">
        <v>17538394</v>
      </c>
    </row>
    <row r="11276" spans="1:4" x14ac:dyDescent="0.25">
      <c r="A11276" t="str">
        <f>T("   620520")</f>
        <v xml:space="preserve">   620520</v>
      </c>
      <c r="B11276" t="str">
        <f>T("   DE COTON")</f>
        <v xml:space="preserve">   DE COTON</v>
      </c>
      <c r="C11276" s="4">
        <v>17</v>
      </c>
      <c r="D11276" s="4">
        <v>181941</v>
      </c>
    </row>
    <row r="11277" spans="1:4" x14ac:dyDescent="0.25">
      <c r="A11277" t="str">
        <f>T("   701190")</f>
        <v xml:space="preserve">   701190</v>
      </c>
      <c r="B11277" t="str">
        <f>T("   AUTRES")</f>
        <v xml:space="preserve">   AUTRES</v>
      </c>
      <c r="C11277" s="4">
        <v>95</v>
      </c>
      <c r="D11277" s="4">
        <v>129092</v>
      </c>
    </row>
    <row r="11278" spans="1:4" x14ac:dyDescent="0.25">
      <c r="A11278" t="str">
        <f>T("   731815")</f>
        <v xml:space="preserve">   731815</v>
      </c>
      <c r="B11278" t="str">
        <f>T("   AUTRES VIS ET BOULONS, MEME AVEC LEURS ECROUS OU RONDELLES")</f>
        <v xml:space="preserve">   AUTRES VIS ET BOULONS, MEME AVEC LEURS ECROUS OU RONDELLES</v>
      </c>
      <c r="C11278" s="4">
        <v>6</v>
      </c>
      <c r="D11278" s="4">
        <v>234293</v>
      </c>
    </row>
    <row r="11279" spans="1:4" x14ac:dyDescent="0.25">
      <c r="A11279" t="str">
        <f>T("   820420")</f>
        <v xml:space="preserve">   820420</v>
      </c>
      <c r="B11279" t="str">
        <f>T("   DOUILLES DE SERRAGE INTERCHANGEABLES, MEME AVEC MANCHES")</f>
        <v xml:space="preserve">   DOUILLES DE SERRAGE INTERCHANGEABLES, MEME AVEC MANCHES</v>
      </c>
      <c r="C11279" s="4">
        <v>100</v>
      </c>
      <c r="D11279" s="4">
        <v>2491413</v>
      </c>
    </row>
    <row r="11280" spans="1:4" x14ac:dyDescent="0.25">
      <c r="A11280" t="str">
        <f>T("   842119")</f>
        <v xml:space="preserve">   842119</v>
      </c>
      <c r="B11280" t="str">
        <f>T("   AUTRES")</f>
        <v xml:space="preserve">   AUTRES</v>
      </c>
      <c r="C11280" s="4">
        <v>50</v>
      </c>
      <c r="D11280" s="4">
        <v>21288</v>
      </c>
    </row>
    <row r="11281" spans="1:4" x14ac:dyDescent="0.25">
      <c r="A11281" t="str">
        <f>T("   842131")</f>
        <v xml:space="preserve">   842131</v>
      </c>
      <c r="B11281" t="str">
        <f>T("   FILTRES D'ENTREE D'AIR POUR MOTEURS A ALLUMAGE PAR ETINCELLES OU PAR COMPRESSION")</f>
        <v xml:space="preserve">   FILTRES D'ENTREE D'AIR POUR MOTEURS A ALLUMAGE PAR ETINCELLES OU PAR COMPRESSION</v>
      </c>
      <c r="C11281" s="4">
        <v>15</v>
      </c>
      <c r="D11281" s="4">
        <v>337881</v>
      </c>
    </row>
    <row r="11282" spans="1:4" x14ac:dyDescent="0.25">
      <c r="A11282" t="str">
        <f>T("   844391")</f>
        <v xml:space="preserve">   844391</v>
      </c>
      <c r="B11282" t="str">
        <f>T("   PARTIES ET ACCESSOIRES DE MACHINES ET D’APPAREILS SERVANT A L’IMPRESSION AU MOYEN DE")</f>
        <v xml:space="preserve">   PARTIES ET ACCESSOIRES DE MACHINES ET D’APPAREILS SERVANT A L’IMPRESSION AU MOYEN DE</v>
      </c>
      <c r="C11282" s="4">
        <v>0.3</v>
      </c>
      <c r="D11282" s="4">
        <v>161151</v>
      </c>
    </row>
    <row r="11283" spans="1:4" x14ac:dyDescent="0.25">
      <c r="A11283" t="str">
        <f>T("   844820")</f>
        <v xml:space="preserve">   844820</v>
      </c>
      <c r="B11283" t="str">
        <f>T("   PARTIES ET ACCESSOIRES DES MACHINES DU N° 84.44 OU DE LEURS MACHINES OU APPAREILS AUX")</f>
        <v xml:space="preserve">   PARTIES ET ACCESSOIRES DES MACHINES DU N° 84.44 OU DE LEURS MACHINES OU APPAREILS AUX</v>
      </c>
      <c r="C11283" s="4">
        <v>130</v>
      </c>
      <c r="D11283" s="4">
        <v>216829</v>
      </c>
    </row>
    <row r="11284" spans="1:4" x14ac:dyDescent="0.25">
      <c r="A11284" t="str">
        <f>T("   847190")</f>
        <v xml:space="preserve">   847190</v>
      </c>
      <c r="B11284" t="str">
        <f>T("   AUTRES")</f>
        <v xml:space="preserve">   AUTRES</v>
      </c>
      <c r="C11284" s="4">
        <v>3.7</v>
      </c>
      <c r="D11284" s="4">
        <v>530965</v>
      </c>
    </row>
    <row r="11285" spans="1:4" x14ac:dyDescent="0.25">
      <c r="A11285" t="str">
        <f>T("   848120")</f>
        <v xml:space="preserve">   848120</v>
      </c>
      <c r="B11285" t="str">
        <f>T("   VALVES POUR TRANSMISSIONS OLEOHYDRAULIQUES OU PNEUMATIQUES")</f>
        <v xml:space="preserve">   VALVES POUR TRANSMISSIONS OLEOHYDRAULIQUES OU PNEUMATIQUES</v>
      </c>
      <c r="C11285" s="4">
        <v>23</v>
      </c>
      <c r="D11285" s="4">
        <v>2050738</v>
      </c>
    </row>
    <row r="11286" spans="1:4" x14ac:dyDescent="0.25">
      <c r="A11286" t="str">
        <f>T("   850431")</f>
        <v xml:space="preserve">   850431</v>
      </c>
      <c r="B11286" t="str">
        <f>T("   D'UNE PUISSANCE N'EXCEDANT PAS 1 KVA")</f>
        <v xml:space="preserve">   D'UNE PUISSANCE N'EXCEDANT PAS 1 KVA</v>
      </c>
      <c r="C11286" s="4">
        <v>7</v>
      </c>
      <c r="D11286" s="4">
        <v>3524064</v>
      </c>
    </row>
    <row r="11287" spans="1:4" x14ac:dyDescent="0.25">
      <c r="A11287" t="str">
        <f>T("   851220")</f>
        <v xml:space="preserve">   851220</v>
      </c>
      <c r="B11287" t="str">
        <f>T("   AUTRES APPAREILS D'ECLAIRAGE OU DE SIGNALISATION VISUELLE")</f>
        <v xml:space="preserve">   AUTRES APPAREILS D'ECLAIRAGE OU DE SIGNALISATION VISUELLE</v>
      </c>
      <c r="C11287" s="4">
        <v>1</v>
      </c>
      <c r="D11287" s="4">
        <v>2117744</v>
      </c>
    </row>
    <row r="11288" spans="1:4" x14ac:dyDescent="0.25">
      <c r="A11288" t="str">
        <f>T("   853890")</f>
        <v xml:space="preserve">   853890</v>
      </c>
      <c r="B11288" t="str">
        <f>T("   AUTRES")</f>
        <v xml:space="preserve">   AUTRES</v>
      </c>
      <c r="C11288" s="4">
        <v>0.3</v>
      </c>
      <c r="D11288" s="4">
        <v>158348</v>
      </c>
    </row>
    <row r="11289" spans="1:4" x14ac:dyDescent="0.25">
      <c r="A11289" t="str">
        <f>T("   903040")</f>
        <v xml:space="preserve">   903040</v>
      </c>
      <c r="B11289" t="str">
        <f>T("   AUTRES INSTRUMENTS ET APPAREILS, SPECIALEMENT CONCUS POUR LES TECHNIQUES DE LA TELECO")</f>
        <v xml:space="preserve">   AUTRES INSTRUMENTS ET APPAREILS, SPECIALEMENT CONCUS POUR LES TECHNIQUES DE LA TELECO</v>
      </c>
      <c r="C11289" s="4">
        <v>33</v>
      </c>
      <c r="D11289" s="4">
        <v>12355352</v>
      </c>
    </row>
    <row r="11290" spans="1:4" x14ac:dyDescent="0.25">
      <c r="A11290" t="str">
        <f>T("   940599")</f>
        <v xml:space="preserve">   940599</v>
      </c>
      <c r="B11290" t="str">
        <f>T("   AUTRES")</f>
        <v xml:space="preserve">   AUTRES</v>
      </c>
      <c r="C11290" s="4">
        <v>33</v>
      </c>
      <c r="D11290" s="4">
        <v>294177</v>
      </c>
    </row>
    <row r="11291" spans="1:4" s="5" customFormat="1" x14ac:dyDescent="0.25">
      <c r="A11291" s="5" t="str">
        <f>T("   ZZ_Total_Produit_SH6")</f>
        <v xml:space="preserve">   ZZ_Total_Produit_SH6</v>
      </c>
      <c r="B11291" s="5" t="str">
        <f>T("   ZZ_Total_Produit_SH6")</f>
        <v xml:space="preserve">   ZZ_Total_Produit_SH6</v>
      </c>
      <c r="C11291" s="1">
        <v>2244.3000000000002</v>
      </c>
      <c r="D11291" s="1">
        <v>60908927</v>
      </c>
    </row>
    <row r="11292" spans="1:4" s="5" customFormat="1" x14ac:dyDescent="0.25">
      <c r="B11292" s="5" t="str">
        <f>T("Etats-Unis")</f>
        <v>Etats-Unis</v>
      </c>
      <c r="C11292" s="1"/>
      <c r="D11292" s="1"/>
    </row>
    <row r="11293" spans="1:4" x14ac:dyDescent="0.25">
      <c r="A11293" t="str">
        <f>T("   020712")</f>
        <v xml:space="preserve">   020712</v>
      </c>
      <c r="B11293" t="str">
        <f>T("   NON DECOUPES EN MORCEAUX, CONGELES")</f>
        <v xml:space="preserve">   NON DECOUPES EN MORCEAUX, CONGELES</v>
      </c>
      <c r="C11293" s="4">
        <v>374920</v>
      </c>
      <c r="D11293" s="4">
        <v>227032172</v>
      </c>
    </row>
    <row r="11294" spans="1:4" x14ac:dyDescent="0.25">
      <c r="A11294" t="str">
        <f>T("   020714")</f>
        <v xml:space="preserve">   020714</v>
      </c>
      <c r="B11294" t="str">
        <f>T("   MORCEAUX ET ABATS, CONGELES")</f>
        <v xml:space="preserve">   MORCEAUX ET ABATS, CONGELES</v>
      </c>
      <c r="C11294" s="4">
        <v>4048825</v>
      </c>
      <c r="D11294" s="4">
        <v>2430173768</v>
      </c>
    </row>
    <row r="11295" spans="1:4" x14ac:dyDescent="0.25">
      <c r="A11295" t="str">
        <f>T("   020727")</f>
        <v xml:space="preserve">   020727</v>
      </c>
      <c r="B11295" t="str">
        <f>T("   MORCEAUX ET ABATS, CONGELES")</f>
        <v xml:space="preserve">   MORCEAUX ET ABATS, CONGELES</v>
      </c>
      <c r="C11295" s="4">
        <v>4145813</v>
      </c>
      <c r="D11295" s="4">
        <v>2531218369</v>
      </c>
    </row>
    <row r="11296" spans="1:4" x14ac:dyDescent="0.25">
      <c r="A11296" t="str">
        <f>T("   030199")</f>
        <v xml:space="preserve">   030199</v>
      </c>
      <c r="B11296" t="str">
        <f>T("   AUTRES")</f>
        <v xml:space="preserve">   AUTRES</v>
      </c>
      <c r="C11296" s="4">
        <v>12670</v>
      </c>
      <c r="D11296" s="4">
        <v>5068000</v>
      </c>
    </row>
    <row r="11297" spans="1:4" x14ac:dyDescent="0.25">
      <c r="A11297" t="str">
        <f>T("   030219")</f>
        <v xml:space="preserve">   030219</v>
      </c>
      <c r="B11297" t="str">
        <f>T("   AUTRES")</f>
        <v xml:space="preserve">   AUTRES</v>
      </c>
      <c r="C11297" s="4">
        <v>496230</v>
      </c>
      <c r="D11297" s="4">
        <v>198492000</v>
      </c>
    </row>
    <row r="11298" spans="1:4" x14ac:dyDescent="0.25">
      <c r="A11298" t="str">
        <f>T("   030269")</f>
        <v xml:space="preserve">   030269</v>
      </c>
      <c r="B11298" t="str">
        <f>T("   Autres poissons entiers,frais ou refrigeres.(foies,oeufs laitances exclus)")</f>
        <v xml:space="preserve">   Autres poissons entiers,frais ou refrigeres.(foies,oeufs laitances exclus)</v>
      </c>
      <c r="C11298" s="4">
        <v>286620</v>
      </c>
      <c r="D11298" s="4">
        <v>114648000</v>
      </c>
    </row>
    <row r="11299" spans="1:4" x14ac:dyDescent="0.25">
      <c r="A11299" t="str">
        <f>T("   030379")</f>
        <v xml:space="preserve">   030379</v>
      </c>
      <c r="B11299" t="str">
        <f>T("   AUTRES POISSONS ENTIERS CONGELES.(FOIES,OEUFS,LAITANCES EXCLUS)")</f>
        <v xml:space="preserve">   AUTRES POISSONS ENTIERS CONGELES.(FOIES,OEUFS,LAITANCES EXCLUS)</v>
      </c>
      <c r="C11299" s="4">
        <v>317900</v>
      </c>
      <c r="D11299" s="4">
        <v>127640000</v>
      </c>
    </row>
    <row r="11300" spans="1:4" x14ac:dyDescent="0.25">
      <c r="A11300" t="str">
        <f>T("   050400")</f>
        <v xml:space="preserve">   050400</v>
      </c>
      <c r="B11300" t="str">
        <f>T("   BOYAUX, VESSIES ET ESTOMACS D'ANIMAUX, ENTIERS OU EN MORCEAUX, AUTRES QUE CEUX DE POISS")</f>
        <v xml:space="preserve">   BOYAUX, VESSIES ET ESTOMACS D'ANIMAUX, ENTIERS OU EN MORCEAUX, AUTRES QUE CEUX DE POISS</v>
      </c>
      <c r="C11300" s="4">
        <v>453846</v>
      </c>
      <c r="D11300" s="4">
        <v>523796972</v>
      </c>
    </row>
    <row r="11301" spans="1:4" x14ac:dyDescent="0.25">
      <c r="A11301" t="str">
        <f>T("   100590")</f>
        <v xml:space="preserve">   100590</v>
      </c>
      <c r="B11301" t="str">
        <f>T("   AUTRE")</f>
        <v xml:space="preserve">   AUTRE</v>
      </c>
      <c r="C11301" s="4">
        <v>76783</v>
      </c>
      <c r="D11301" s="4">
        <v>34612142</v>
      </c>
    </row>
    <row r="11302" spans="1:4" x14ac:dyDescent="0.25">
      <c r="A11302" t="str">
        <f>T("   110290")</f>
        <v xml:space="preserve">   110290</v>
      </c>
      <c r="B11302" t="str">
        <f>T("   AUTRES")</f>
        <v xml:space="preserve">   AUTRES</v>
      </c>
      <c r="C11302" s="4">
        <v>117</v>
      </c>
      <c r="D11302" s="4">
        <v>113520</v>
      </c>
    </row>
    <row r="11303" spans="1:4" x14ac:dyDescent="0.25">
      <c r="A11303" t="str">
        <f>T("   151190")</f>
        <v xml:space="preserve">   151190</v>
      </c>
      <c r="B11303" t="str">
        <f>T("   AUTRES")</f>
        <v xml:space="preserve">   AUTRES</v>
      </c>
      <c r="C11303" s="4">
        <v>378585</v>
      </c>
      <c r="D11303" s="4">
        <v>134270154.90200001</v>
      </c>
    </row>
    <row r="11304" spans="1:4" x14ac:dyDescent="0.25">
      <c r="A11304" t="str">
        <f>T("   151620")</f>
        <v xml:space="preserve">   151620</v>
      </c>
      <c r="B11304" t="str">
        <f>T("   GRAISSES ET HUILES VEGETALES ET LEURS FRACTIONS")</f>
        <v xml:space="preserve">   GRAISSES ET HUILES VEGETALES ET LEURS FRACTIONS</v>
      </c>
      <c r="C11304" s="4">
        <v>26384</v>
      </c>
      <c r="D11304" s="4">
        <v>6866750</v>
      </c>
    </row>
    <row r="11305" spans="1:4" x14ac:dyDescent="0.25">
      <c r="A11305" t="str">
        <f>T("   170490")</f>
        <v xml:space="preserve">   170490</v>
      </c>
      <c r="B11305" t="str">
        <f>T("   AUTRES")</f>
        <v xml:space="preserve">   AUTRES</v>
      </c>
      <c r="C11305" s="4">
        <v>254350</v>
      </c>
      <c r="D11305" s="4">
        <v>41277350</v>
      </c>
    </row>
    <row r="11306" spans="1:4" x14ac:dyDescent="0.25">
      <c r="A11306" t="str">
        <f>T("   190190")</f>
        <v xml:space="preserve">   190190</v>
      </c>
      <c r="B11306" t="str">
        <f>T("   AUTRES")</f>
        <v xml:space="preserve">   AUTRES</v>
      </c>
      <c r="C11306" s="4">
        <v>53436</v>
      </c>
      <c r="D11306" s="4">
        <v>17352856</v>
      </c>
    </row>
    <row r="11307" spans="1:4" x14ac:dyDescent="0.25">
      <c r="A11307" t="str">
        <f>T("   190531")</f>
        <v xml:space="preserve">   190531</v>
      </c>
      <c r="B11307" t="str">
        <f>T("   BISCUITS ADDITIONNES D’EDULCORANTS")</f>
        <v xml:space="preserve">   BISCUITS ADDITIONNES D’EDULCORANTS</v>
      </c>
      <c r="C11307" s="4">
        <v>261201</v>
      </c>
      <c r="D11307" s="4">
        <v>64393060</v>
      </c>
    </row>
    <row r="11308" spans="1:4" x14ac:dyDescent="0.25">
      <c r="A11308" t="str">
        <f>T("   190590")</f>
        <v xml:space="preserve">   190590</v>
      </c>
      <c r="B11308" t="str">
        <f>T("   AUTRES")</f>
        <v xml:space="preserve">   AUTRES</v>
      </c>
      <c r="C11308" s="4">
        <v>17620</v>
      </c>
      <c r="D11308" s="4">
        <v>5390060</v>
      </c>
    </row>
    <row r="11309" spans="1:4" x14ac:dyDescent="0.25">
      <c r="A11309" t="str">
        <f>T("   200490")</f>
        <v xml:space="preserve">   200490</v>
      </c>
      <c r="B11309" t="str">
        <f>T("   AUTRES LEGUMES ET MELANGES DE LEGUMES")</f>
        <v xml:space="preserve">   AUTRES LEGUMES ET MELANGES DE LEGUMES</v>
      </c>
      <c r="C11309" s="4">
        <v>20295</v>
      </c>
      <c r="D11309" s="4">
        <v>3242000</v>
      </c>
    </row>
    <row r="11310" spans="1:4" x14ac:dyDescent="0.25">
      <c r="A11310" t="str">
        <f>T("   210390")</f>
        <v xml:space="preserve">   210390</v>
      </c>
      <c r="B11310" t="str">
        <f>T("   AUTRES")</f>
        <v xml:space="preserve">   AUTRES</v>
      </c>
      <c r="C11310" s="4">
        <v>855073</v>
      </c>
      <c r="D11310" s="4">
        <v>436755959</v>
      </c>
    </row>
    <row r="11311" spans="1:4" x14ac:dyDescent="0.25">
      <c r="A11311" t="str">
        <f>T("   210690")</f>
        <v xml:space="preserve">   210690</v>
      </c>
      <c r="B11311" t="str">
        <f>T("   AUTRES")</f>
        <v xml:space="preserve">   AUTRES</v>
      </c>
      <c r="C11311" s="4">
        <v>7992.32</v>
      </c>
      <c r="D11311" s="4">
        <v>40124950</v>
      </c>
    </row>
    <row r="11312" spans="1:4" x14ac:dyDescent="0.25">
      <c r="A11312" t="str">
        <f>T("   220210")</f>
        <v xml:space="preserve">   220210</v>
      </c>
      <c r="B11312" t="str">
        <f>T("   EAUX, Y COMPRIS LES EAUX MINERALES ET LES EAUX GAZEIFIEES, ADDITIONNEES DE SUCRE OU D")</f>
        <v xml:space="preserve">   EAUX, Y COMPRIS LES EAUX MINERALES ET LES EAUX GAZEIFIEES, ADDITIONNEES DE SUCRE OU D</v>
      </c>
      <c r="C11312" s="4">
        <v>9471</v>
      </c>
      <c r="D11312" s="4">
        <v>15939828</v>
      </c>
    </row>
    <row r="11313" spans="1:4" x14ac:dyDescent="0.25">
      <c r="A11313" t="str">
        <f>T("   220290")</f>
        <v xml:space="preserve">   220290</v>
      </c>
      <c r="B11313" t="str">
        <f>T("   AUTRES")</f>
        <v xml:space="preserve">   AUTRES</v>
      </c>
      <c r="C11313" s="4">
        <v>27896.29</v>
      </c>
      <c r="D11313" s="4">
        <v>43616259</v>
      </c>
    </row>
    <row r="11314" spans="1:4" x14ac:dyDescent="0.25">
      <c r="A11314" t="str">
        <f>T("   220421")</f>
        <v xml:space="preserve">   220421</v>
      </c>
      <c r="B11314" t="str">
        <f>T("   EN RECIPIENTS D'UNE CONTENANCE N'EXCEDANT PAS 2 L")</f>
        <v xml:space="preserve">   EN RECIPIENTS D'UNE CONTENANCE N'EXCEDANT PAS 2 L</v>
      </c>
      <c r="C11314" s="4">
        <v>335126</v>
      </c>
      <c r="D11314" s="4">
        <v>11479806</v>
      </c>
    </row>
    <row r="11315" spans="1:4" x14ac:dyDescent="0.25">
      <c r="A11315" t="str">
        <f>T("   220600")</f>
        <v xml:space="preserve">   220600</v>
      </c>
      <c r="B11315" t="str">
        <f>T("   AUTRES BOISSONS FERMENTEES (CIDRE, POIRE, HYDROMEL, PAR EXEMPLE); MELANGES DE BOISSONS")</f>
        <v xml:space="preserve">   AUTRES BOISSONS FERMENTEES (CIDRE, POIRE, HYDROMEL, PAR EXEMPLE); MELANGES DE BOISSONS</v>
      </c>
      <c r="C11315" s="4">
        <v>35500</v>
      </c>
      <c r="D11315" s="4">
        <v>6628476</v>
      </c>
    </row>
    <row r="11316" spans="1:4" x14ac:dyDescent="0.25">
      <c r="A11316" t="str">
        <f>T("   240290")</f>
        <v xml:space="preserve">   240290</v>
      </c>
      <c r="B11316" t="str">
        <f>T("   AUTRES")</f>
        <v xml:space="preserve">   AUTRES</v>
      </c>
      <c r="C11316" s="4">
        <v>278</v>
      </c>
      <c r="D11316" s="4">
        <v>340000</v>
      </c>
    </row>
    <row r="11317" spans="1:4" x14ac:dyDescent="0.25">
      <c r="A11317" t="str">
        <f>T("   252329")</f>
        <v xml:space="preserve">   252329</v>
      </c>
      <c r="B11317" t="str">
        <f>T("   AUTRES")</f>
        <v xml:space="preserve">   AUTRES</v>
      </c>
      <c r="C11317" s="4">
        <v>118800</v>
      </c>
      <c r="D11317" s="4">
        <v>38157752</v>
      </c>
    </row>
    <row r="11318" spans="1:4" x14ac:dyDescent="0.25">
      <c r="A11318" t="str">
        <f>T("   271019")</f>
        <v xml:space="preserve">   271019</v>
      </c>
      <c r="B11318" t="str">
        <f>T("   AUTRES")</f>
        <v xml:space="preserve">   AUTRES</v>
      </c>
      <c r="C11318" s="4">
        <v>518294</v>
      </c>
      <c r="D11318" s="4">
        <v>278923697</v>
      </c>
    </row>
    <row r="11319" spans="1:4" x14ac:dyDescent="0.25">
      <c r="A11319" t="str">
        <f>T("   271113")</f>
        <v xml:space="preserve">   271113</v>
      </c>
      <c r="B11319" t="str">
        <f>T("   BUTANES")</f>
        <v xml:space="preserve">   BUTANES</v>
      </c>
      <c r="C11319" s="4">
        <v>3336233</v>
      </c>
      <c r="D11319" s="4">
        <v>1167681550</v>
      </c>
    </row>
    <row r="11320" spans="1:4" x14ac:dyDescent="0.25">
      <c r="A11320" t="str">
        <f>T("   271311")</f>
        <v xml:space="preserve">   271311</v>
      </c>
      <c r="B11320" t="str">
        <f>T("   NON CALCINE")</f>
        <v xml:space="preserve">   NON CALCINE</v>
      </c>
      <c r="C11320" s="4">
        <v>27099400</v>
      </c>
      <c r="D11320" s="4">
        <v>1536386566</v>
      </c>
    </row>
    <row r="11321" spans="1:4" x14ac:dyDescent="0.25">
      <c r="A11321" t="str">
        <f>T("   300220")</f>
        <v xml:space="preserve">   300220</v>
      </c>
      <c r="B11321" t="str">
        <f>T("   Vaccins pour la medecine humaine")</f>
        <v xml:space="preserve">   Vaccins pour la medecine humaine</v>
      </c>
      <c r="C11321" s="4">
        <v>54</v>
      </c>
      <c r="D11321" s="4">
        <v>846600</v>
      </c>
    </row>
    <row r="11322" spans="1:4" x14ac:dyDescent="0.25">
      <c r="A11322" t="str">
        <f>T("   300339")</f>
        <v xml:space="preserve">   300339</v>
      </c>
      <c r="B11322" t="str">
        <f>T("   AUTRES")</f>
        <v xml:space="preserve">   AUTRES</v>
      </c>
      <c r="C11322" s="4">
        <v>68.900000000000006</v>
      </c>
      <c r="D11322" s="4">
        <v>49789</v>
      </c>
    </row>
    <row r="11323" spans="1:4" x14ac:dyDescent="0.25">
      <c r="A11323" t="str">
        <f>T("   300450")</f>
        <v xml:space="preserve">   300450</v>
      </c>
      <c r="B11323" t="str">
        <f>T("   AUTRES MEDICAMENTS CONTENANT DES VITAMINES OU D'AUTRES PRODUITS DU N° 29.36")</f>
        <v xml:space="preserve">   AUTRES MEDICAMENTS CONTENANT DES VITAMINES OU D'AUTRES PRODUITS DU N° 29.36</v>
      </c>
      <c r="C11323" s="4">
        <v>1</v>
      </c>
      <c r="D11323" s="4">
        <v>22769</v>
      </c>
    </row>
    <row r="11324" spans="1:4" x14ac:dyDescent="0.25">
      <c r="A11324" t="str">
        <f>T("   300510")</f>
        <v xml:space="preserve">   300510</v>
      </c>
      <c r="B11324" t="str">
        <f>T("   PANSEMENTS ADHESIFS ET AUTRES ARTICLES AYANT UNE COUCHE ADHESIVE")</f>
        <v xml:space="preserve">   PANSEMENTS ADHESIFS ET AUTRES ARTICLES AYANT UNE COUCHE ADHESIVE</v>
      </c>
      <c r="C11324" s="4">
        <v>19</v>
      </c>
      <c r="D11324" s="4">
        <v>760329</v>
      </c>
    </row>
    <row r="11325" spans="1:4" x14ac:dyDescent="0.25">
      <c r="A11325" t="str">
        <f>T("   321590")</f>
        <v xml:space="preserve">   321590</v>
      </c>
      <c r="B11325" t="str">
        <f>T("   AUTRES")</f>
        <v xml:space="preserve">   AUTRES</v>
      </c>
      <c r="C11325" s="4">
        <v>10.3</v>
      </c>
      <c r="D11325" s="4">
        <v>468355</v>
      </c>
    </row>
    <row r="11326" spans="1:4" x14ac:dyDescent="0.25">
      <c r="A11326" t="str">
        <f>T("   330210")</f>
        <v xml:space="preserve">   330210</v>
      </c>
      <c r="B11326" t="str">
        <f>T("   DES TYPES UTILISES POUR LES INDUSTRIES ALIMENTAIRES OU DES BOISSONS")</f>
        <v xml:space="preserve">   DES TYPES UTILISES POUR LES INDUSTRIES ALIMENTAIRES OU DES BOISSONS</v>
      </c>
      <c r="C11326" s="4">
        <v>13459</v>
      </c>
      <c r="D11326" s="4">
        <v>5910755</v>
      </c>
    </row>
    <row r="11327" spans="1:4" x14ac:dyDescent="0.25">
      <c r="A11327" t="str">
        <f>T("   330300")</f>
        <v xml:space="preserve">   330300</v>
      </c>
      <c r="B11327" t="str">
        <f>T("   PARFUMS ET EAUX DE TOILETTE.")</f>
        <v xml:space="preserve">   PARFUMS ET EAUX DE TOILETTE.</v>
      </c>
      <c r="C11327" s="4">
        <v>1946.77</v>
      </c>
      <c r="D11327" s="4">
        <v>17852202</v>
      </c>
    </row>
    <row r="11328" spans="1:4" x14ac:dyDescent="0.25">
      <c r="A11328" t="str">
        <f>T("   330499")</f>
        <v xml:space="preserve">   330499</v>
      </c>
      <c r="B11328" t="str">
        <f>T("   AUTRES")</f>
        <v xml:space="preserve">   AUTRES</v>
      </c>
      <c r="C11328" s="4">
        <v>4680</v>
      </c>
      <c r="D11328" s="4">
        <v>35609500</v>
      </c>
    </row>
    <row r="11329" spans="1:4" x14ac:dyDescent="0.25">
      <c r="A11329" t="str">
        <f>T("   340120")</f>
        <v xml:space="preserve">   340120</v>
      </c>
      <c r="B11329" t="str">
        <f>T("   SAVONS SOUS AUTRES FORMES")</f>
        <v xml:space="preserve">   SAVONS SOUS AUTRES FORMES</v>
      </c>
      <c r="C11329" s="4">
        <v>240</v>
      </c>
      <c r="D11329" s="4">
        <v>1240259</v>
      </c>
    </row>
    <row r="11330" spans="1:4" x14ac:dyDescent="0.25">
      <c r="A11330" t="str">
        <f>T("   340290")</f>
        <v xml:space="preserve">   340290</v>
      </c>
      <c r="B11330" t="str">
        <f>T("   AUTRES")</f>
        <v xml:space="preserve">   AUTRES</v>
      </c>
      <c r="C11330" s="4">
        <v>21457</v>
      </c>
      <c r="D11330" s="4">
        <v>161073705</v>
      </c>
    </row>
    <row r="11331" spans="1:4" x14ac:dyDescent="0.25">
      <c r="A11331" t="str">
        <f>T("   340490")</f>
        <v xml:space="preserve">   340490</v>
      </c>
      <c r="B11331" t="str">
        <f>T("   AUTRES")</f>
        <v xml:space="preserve">   AUTRES</v>
      </c>
      <c r="C11331" s="4">
        <v>199.77</v>
      </c>
      <c r="D11331" s="4">
        <v>1339103</v>
      </c>
    </row>
    <row r="11332" spans="1:4" x14ac:dyDescent="0.25">
      <c r="A11332" t="str">
        <f>T("   360690")</f>
        <v xml:space="preserve">   360690</v>
      </c>
      <c r="B11332" t="str">
        <f>T("   AUTRES")</f>
        <v xml:space="preserve">   AUTRES</v>
      </c>
      <c r="C11332" s="4">
        <v>21</v>
      </c>
      <c r="D11332" s="4">
        <v>784186</v>
      </c>
    </row>
    <row r="11333" spans="1:4" x14ac:dyDescent="0.25">
      <c r="A11333" t="str">
        <f>T("   381400")</f>
        <v xml:space="preserve">   381400</v>
      </c>
      <c r="B11333" t="str">
        <f>T("   SOLVANTS ET DILUANTS ORGANIQUES COMPOSITES, NON DENOMMES NI COMPRIS AILLEURS; PREPARATI")</f>
        <v xml:space="preserve">   SOLVANTS ET DILUANTS ORGANIQUES COMPOSITES, NON DENOMMES NI COMPRIS AILLEURS; PREPARATI</v>
      </c>
      <c r="C11333" s="4">
        <v>111005</v>
      </c>
      <c r="D11333" s="4">
        <v>25609334</v>
      </c>
    </row>
    <row r="11334" spans="1:4" x14ac:dyDescent="0.25">
      <c r="A11334" t="str">
        <f>T("   382200")</f>
        <v xml:space="preserve">   382200</v>
      </c>
      <c r="B11334" t="str">
        <f>T("   REACTIFS DE DIAGNOSTIC OU DE LABORATOIRE SUR TOUT SUPPORT ET REACTIFS DE DIAGNOSTIC OU")</f>
        <v xml:space="preserve">   REACTIFS DE DIAGNOSTIC OU DE LABORATOIRE SUR TOUT SUPPORT ET REACTIFS DE DIAGNOSTIC OU</v>
      </c>
      <c r="C11334" s="4">
        <v>834.6</v>
      </c>
      <c r="D11334" s="4">
        <v>30548390</v>
      </c>
    </row>
    <row r="11335" spans="1:4" x14ac:dyDescent="0.25">
      <c r="A11335" t="str">
        <f>T("   390190")</f>
        <v xml:space="preserve">   390190</v>
      </c>
      <c r="B11335" t="str">
        <f>T("   AUTRES")</f>
        <v xml:space="preserve">   AUTRES</v>
      </c>
      <c r="C11335" s="4">
        <v>70516</v>
      </c>
      <c r="D11335" s="4">
        <v>34052183</v>
      </c>
    </row>
    <row r="11336" spans="1:4" x14ac:dyDescent="0.25">
      <c r="A11336" t="str">
        <f>T("   390450")</f>
        <v xml:space="preserve">   390450</v>
      </c>
      <c r="B11336" t="str">
        <f>T("   POLYMERES DU CHLORURE DE VINYLIDENE")</f>
        <v xml:space="preserve">   POLYMERES DU CHLORURE DE VINYLIDENE</v>
      </c>
      <c r="C11336" s="4">
        <v>616216</v>
      </c>
      <c r="D11336" s="4">
        <v>325834135</v>
      </c>
    </row>
    <row r="11337" spans="1:4" x14ac:dyDescent="0.25">
      <c r="A11337" t="str">
        <f>T("   391990")</f>
        <v xml:space="preserve">   391990</v>
      </c>
      <c r="B11337" t="str">
        <f>T("   AUTRES")</f>
        <v xml:space="preserve">   AUTRES</v>
      </c>
      <c r="C11337" s="4">
        <v>1.92</v>
      </c>
      <c r="D11337" s="4">
        <v>129652</v>
      </c>
    </row>
    <row r="11338" spans="1:4" x14ac:dyDescent="0.25">
      <c r="A11338" t="str">
        <f>T("   392020")</f>
        <v xml:space="preserve">   392020</v>
      </c>
      <c r="B11338" t="str">
        <f>T("   EN POLYMERES DU PROPYLENE")</f>
        <v xml:space="preserve">   EN POLYMERES DU PROPYLENE</v>
      </c>
      <c r="C11338" s="4">
        <v>1581</v>
      </c>
      <c r="D11338" s="4">
        <v>2530805</v>
      </c>
    </row>
    <row r="11339" spans="1:4" x14ac:dyDescent="0.25">
      <c r="A11339" t="str">
        <f>T("   392410")</f>
        <v xml:space="preserve">   392410</v>
      </c>
      <c r="B11339" t="str">
        <f>T("   VAISSELLE ET AUTRES ARTICLES POUR LE SERVICE DE LA TABLE OU DE LA CUISINE")</f>
        <v xml:space="preserve">   VAISSELLE ET AUTRES ARTICLES POUR LE SERVICE DE LA TABLE OU DE LA CUISINE</v>
      </c>
      <c r="C11339" s="4">
        <v>209</v>
      </c>
      <c r="D11339" s="4">
        <v>30000</v>
      </c>
    </row>
    <row r="11340" spans="1:4" x14ac:dyDescent="0.25">
      <c r="A11340" t="str">
        <f>T("   392490")</f>
        <v xml:space="preserve">   392490</v>
      </c>
      <c r="B11340" t="str">
        <f>T("   AUTRES")</f>
        <v xml:space="preserve">   AUTRES</v>
      </c>
      <c r="C11340" s="4">
        <v>28221</v>
      </c>
      <c r="D11340" s="4">
        <v>7143062</v>
      </c>
    </row>
    <row r="11341" spans="1:4" x14ac:dyDescent="0.25">
      <c r="A11341" t="str">
        <f>T("   392590")</f>
        <v xml:space="preserve">   392590</v>
      </c>
      <c r="B11341" t="str">
        <f>T("   AUTRES")</f>
        <v xml:space="preserve">   AUTRES</v>
      </c>
      <c r="C11341" s="4">
        <v>10825</v>
      </c>
      <c r="D11341" s="4">
        <v>29058022</v>
      </c>
    </row>
    <row r="11342" spans="1:4" x14ac:dyDescent="0.25">
      <c r="A11342" t="str">
        <f>T("   392610")</f>
        <v xml:space="preserve">   392610</v>
      </c>
      <c r="B11342" t="str">
        <f>T("   ARTICLES DE BUREAU ET ARTICLES SCOLAIRES")</f>
        <v xml:space="preserve">   ARTICLES DE BUREAU ET ARTICLES SCOLAIRES</v>
      </c>
      <c r="C11342" s="4">
        <v>22463.73</v>
      </c>
      <c r="D11342" s="4">
        <v>4067109</v>
      </c>
    </row>
    <row r="11343" spans="1:4" x14ac:dyDescent="0.25">
      <c r="A11343" t="str">
        <f>T("   392690")</f>
        <v xml:space="preserve">   392690</v>
      </c>
      <c r="B11343" t="str">
        <f>T("   AUTRES")</f>
        <v xml:space="preserve">   AUTRES</v>
      </c>
      <c r="C11343" s="4">
        <v>6993</v>
      </c>
      <c r="D11343" s="4">
        <v>1647325</v>
      </c>
    </row>
    <row r="11344" spans="1:4" x14ac:dyDescent="0.25">
      <c r="A11344" t="str">
        <f>T("   401019")</f>
        <v xml:space="preserve">   401019</v>
      </c>
      <c r="B11344" t="str">
        <f>T("   AUTRES")</f>
        <v xml:space="preserve">   AUTRES</v>
      </c>
      <c r="C11344" s="4">
        <v>459</v>
      </c>
      <c r="D11344" s="4">
        <v>7668096</v>
      </c>
    </row>
    <row r="11345" spans="1:4" x14ac:dyDescent="0.25">
      <c r="A11345" t="str">
        <f>T("   401039")</f>
        <v xml:space="preserve">   401039</v>
      </c>
      <c r="B11345" t="str">
        <f>T("   AUTRES")</f>
        <v xml:space="preserve">   AUTRES</v>
      </c>
      <c r="C11345" s="4">
        <v>85.4</v>
      </c>
      <c r="D11345" s="4">
        <v>30000</v>
      </c>
    </row>
    <row r="11346" spans="1:4" x14ac:dyDescent="0.25">
      <c r="A11346" t="str">
        <f>T("   401110")</f>
        <v xml:space="preserve">   401110</v>
      </c>
      <c r="B11346" t="str">
        <f>T("   DES TYPES UTILISES POUR LES VOITURES DE TOURISME (Y COMPRIS LES VOITURES DU TYPE «BRE")</f>
        <v xml:space="preserve">   DES TYPES UTILISES POUR LES VOITURES DE TOURISME (Y COMPRIS LES VOITURES DU TYPE «BRE</v>
      </c>
      <c r="C11346" s="4">
        <v>50</v>
      </c>
      <c r="D11346" s="4">
        <v>420000</v>
      </c>
    </row>
    <row r="11347" spans="1:4" x14ac:dyDescent="0.25">
      <c r="A11347" t="str">
        <f>T("   401120")</f>
        <v xml:space="preserve">   401120</v>
      </c>
      <c r="B11347" t="str">
        <f>T("   DES TYPES UTILISES POUR AUTOBUS OU CAMIONS")</f>
        <v xml:space="preserve">   DES TYPES UTILISES POUR AUTOBUS OU CAMIONS</v>
      </c>
      <c r="C11347" s="4">
        <v>1100</v>
      </c>
      <c r="D11347" s="4">
        <v>3037166</v>
      </c>
    </row>
    <row r="11348" spans="1:4" x14ac:dyDescent="0.25">
      <c r="A11348" t="str">
        <f>T("   401211")</f>
        <v xml:space="preserve">   401211</v>
      </c>
      <c r="B11348" t="str">
        <f>T("   DES TYPES UTILISES POUR LES VOITURES DE TOURISME (Y COMPRIS LES VOITURES DU TYPE «BR")</f>
        <v xml:space="preserve">   DES TYPES UTILISES POUR LES VOITURES DE TOURISME (Y COMPRIS LES VOITURES DU TYPE «BR</v>
      </c>
      <c r="C11348" s="4">
        <v>3000</v>
      </c>
      <c r="D11348" s="4">
        <v>2524500</v>
      </c>
    </row>
    <row r="11349" spans="1:4" x14ac:dyDescent="0.25">
      <c r="A11349" t="str">
        <f>T("   401212")</f>
        <v xml:space="preserve">   401212</v>
      </c>
      <c r="B11349" t="str">
        <f>T("   DES TYPES UTILISES POUR AUTOBUS OU CAMIONS")</f>
        <v xml:space="preserve">   DES TYPES UTILISES POUR AUTOBUS OU CAMIONS</v>
      </c>
      <c r="C11349" s="4">
        <v>3000</v>
      </c>
      <c r="D11349" s="4">
        <v>5057000</v>
      </c>
    </row>
    <row r="11350" spans="1:4" x14ac:dyDescent="0.25">
      <c r="A11350" t="str">
        <f>T("   401220")</f>
        <v xml:space="preserve">   401220</v>
      </c>
      <c r="B11350" t="str">
        <f>T("   PNEUMATIQUES USAGES")</f>
        <v xml:space="preserve">   PNEUMATIQUES USAGES</v>
      </c>
      <c r="C11350" s="4">
        <v>115688</v>
      </c>
      <c r="D11350" s="4">
        <v>26494387</v>
      </c>
    </row>
    <row r="11351" spans="1:4" x14ac:dyDescent="0.25">
      <c r="A11351" t="str">
        <f>T("   401310")</f>
        <v xml:space="preserve">   401310</v>
      </c>
      <c r="B11351" t="str">
        <f>T("   DES TYPES UTILISES POUR LES VOITURES DE TOURISME (Y COMPRIS LES VOITURES DU TYPE «BRE")</f>
        <v xml:space="preserve">   DES TYPES UTILISES POUR LES VOITURES DE TOURISME (Y COMPRIS LES VOITURES DU TYPE «BRE</v>
      </c>
      <c r="C11351" s="4">
        <v>11700</v>
      </c>
      <c r="D11351" s="4">
        <v>1644373</v>
      </c>
    </row>
    <row r="11352" spans="1:4" x14ac:dyDescent="0.25">
      <c r="A11352" t="str">
        <f>T("   401390")</f>
        <v xml:space="preserve">   401390</v>
      </c>
      <c r="B11352" t="str">
        <f>T("   AUTRES")</f>
        <v xml:space="preserve">   AUTRES</v>
      </c>
      <c r="C11352" s="4">
        <v>3133</v>
      </c>
      <c r="D11352" s="4">
        <v>535209</v>
      </c>
    </row>
    <row r="11353" spans="1:4" x14ac:dyDescent="0.25">
      <c r="A11353" t="str">
        <f>T("   420219")</f>
        <v xml:space="preserve">   420219</v>
      </c>
      <c r="B11353" t="str">
        <f>T("   AUTRES")</f>
        <v xml:space="preserve">   AUTRES</v>
      </c>
      <c r="C11353" s="4">
        <v>50</v>
      </c>
      <c r="D11353" s="4">
        <v>35351</v>
      </c>
    </row>
    <row r="11354" spans="1:4" x14ac:dyDescent="0.25">
      <c r="A11354" t="str">
        <f>T("   420229")</f>
        <v xml:space="preserve">   420229</v>
      </c>
      <c r="B11354" t="str">
        <f>T("   AUTRES")</f>
        <v xml:space="preserve">   AUTRES</v>
      </c>
      <c r="C11354" s="4">
        <v>14000</v>
      </c>
      <c r="D11354" s="4">
        <v>9800000</v>
      </c>
    </row>
    <row r="11355" spans="1:4" x14ac:dyDescent="0.25">
      <c r="A11355" t="str">
        <f>T("   441199")</f>
        <v xml:space="preserve">   441199</v>
      </c>
      <c r="B11355" t="str">
        <f>T("   AUTRES PANNEAUX DE FIBRES 0,35 G/CM3 ET -")</f>
        <v xml:space="preserve">   AUTRES PANNEAUX DE FIBRES 0,35 G/CM3 ET -</v>
      </c>
      <c r="C11355" s="4">
        <v>200</v>
      </c>
      <c r="D11355" s="4">
        <v>248948</v>
      </c>
    </row>
    <row r="11356" spans="1:4" x14ac:dyDescent="0.25">
      <c r="A11356" t="str">
        <f>T("   460199")</f>
        <v xml:space="preserve">   460199</v>
      </c>
      <c r="B11356" t="str">
        <f>T("   AUTRES")</f>
        <v xml:space="preserve">   AUTRES</v>
      </c>
      <c r="C11356" s="4">
        <v>5080</v>
      </c>
      <c r="D11356" s="4">
        <v>59010375</v>
      </c>
    </row>
    <row r="11357" spans="1:4" x14ac:dyDescent="0.25">
      <c r="A11357" t="str">
        <f>T("   481820")</f>
        <v xml:space="preserve">   481820</v>
      </c>
      <c r="B11357" t="str">
        <f>T("   MOUCHOIRS, SERVIETTES A DEMAQUILLER ET ESSUIEMAINS")</f>
        <v xml:space="preserve">   MOUCHOIRS, SERVIETTES A DEMAQUILLER ET ESSUIEMAINS</v>
      </c>
      <c r="C11357" s="4">
        <v>825</v>
      </c>
      <c r="D11357" s="4">
        <v>547686</v>
      </c>
    </row>
    <row r="11358" spans="1:4" x14ac:dyDescent="0.25">
      <c r="A11358" t="str">
        <f>T("   481910")</f>
        <v xml:space="preserve">   481910</v>
      </c>
      <c r="B11358" t="str">
        <f>T("   BOITES ET CAISSES EN PAPIER OU CARTON ONDULE")</f>
        <v xml:space="preserve">   BOITES ET CAISSES EN PAPIER OU CARTON ONDULE</v>
      </c>
      <c r="C11358" s="4">
        <v>120.03</v>
      </c>
      <c r="D11358" s="4">
        <v>527142</v>
      </c>
    </row>
    <row r="11359" spans="1:4" x14ac:dyDescent="0.25">
      <c r="A11359" t="str">
        <f>T("   482010")</f>
        <v xml:space="preserve">   482010</v>
      </c>
      <c r="B11359" t="str">
        <f>T("   REGISTRES, LIVRES COMPTABLES, CARNETS (DE NOTES, DE COMMANDES, DE QUITTANCES), BLOCS")</f>
        <v xml:space="preserve">   REGISTRES, LIVRES COMPTABLES, CARNETS (DE NOTES, DE COMMANDES, DE QUITTANCES), BLOCS</v>
      </c>
      <c r="C11359" s="4">
        <v>186</v>
      </c>
      <c r="D11359" s="4">
        <v>83000</v>
      </c>
    </row>
    <row r="11360" spans="1:4" x14ac:dyDescent="0.25">
      <c r="A11360" t="str">
        <f>T("   490199")</f>
        <v xml:space="preserve">   490199</v>
      </c>
      <c r="B11360" t="str">
        <f>T("   AUTRES")</f>
        <v xml:space="preserve">   AUTRES</v>
      </c>
      <c r="C11360" s="4">
        <v>59349.11</v>
      </c>
      <c r="D11360" s="4">
        <v>172822541</v>
      </c>
    </row>
    <row r="11361" spans="1:4" x14ac:dyDescent="0.25">
      <c r="A11361" t="str">
        <f>T("   490700")</f>
        <v xml:space="preserve">   490700</v>
      </c>
      <c r="B11361" t="str">
        <f>T("   TIMBRESPOSTE, TIMBRES FISCAUX ET ANALOGUES, NON OBLITERES, AYANT COURS OU DESTINES A A")</f>
        <v xml:space="preserve">   TIMBRESPOSTE, TIMBRES FISCAUX ET ANALOGUES, NON OBLITERES, AYANT COURS OU DESTINES A A</v>
      </c>
      <c r="C11361" s="4">
        <v>53</v>
      </c>
      <c r="D11361" s="4">
        <v>202900</v>
      </c>
    </row>
    <row r="11362" spans="1:4" x14ac:dyDescent="0.25">
      <c r="A11362" t="str">
        <f>T("   491000")</f>
        <v xml:space="preserve">   491000</v>
      </c>
      <c r="B11362" t="str">
        <f>T("   CALENDRIERS DE TOUS GENRES, IMPRIMES, Y COMPRIS LES BLOCS DE CALENDRIERS A EFFEUILLER.")</f>
        <v xml:space="preserve">   CALENDRIERS DE TOUS GENRES, IMPRIMES, Y COMPRIS LES BLOCS DE CALENDRIERS A EFFEUILLER.</v>
      </c>
      <c r="C11362" s="4">
        <v>7</v>
      </c>
      <c r="D11362" s="4">
        <v>49790</v>
      </c>
    </row>
    <row r="11363" spans="1:4" x14ac:dyDescent="0.25">
      <c r="A11363" t="str">
        <f>T("   491191")</f>
        <v xml:space="preserve">   491191</v>
      </c>
      <c r="B11363" t="str">
        <f>T("   IMAGES, GRAVURES ET PHOTOGRAPHIES")</f>
        <v xml:space="preserve">   IMAGES, GRAVURES ET PHOTOGRAPHIES</v>
      </c>
      <c r="C11363" s="4">
        <v>17.510000000000002</v>
      </c>
      <c r="D11363" s="4">
        <v>195340</v>
      </c>
    </row>
    <row r="11364" spans="1:4" x14ac:dyDescent="0.25">
      <c r="A11364" t="str">
        <f>T("   570299")</f>
        <v xml:space="preserve">   570299</v>
      </c>
      <c r="B11364" t="str">
        <f>T("   D'AUTRES MATIERES TEXTILES")</f>
        <v xml:space="preserve">   D'AUTRES MATIERES TEXTILES</v>
      </c>
      <c r="C11364" s="4">
        <v>10088</v>
      </c>
      <c r="D11364" s="4">
        <v>16745238</v>
      </c>
    </row>
    <row r="11365" spans="1:4" x14ac:dyDescent="0.25">
      <c r="A11365" t="str">
        <f>T("   590110")</f>
        <v xml:space="preserve">   590110</v>
      </c>
      <c r="B11365" t="str">
        <f>T("   TISSUS ENDUITS DE COLLE OU DE MATIERES AMYLACEES, DES TYPES UTILISES POUR LA RELIURE,")</f>
        <v xml:space="preserve">   TISSUS ENDUITS DE COLLE OU DE MATIERES AMYLACEES, DES TYPES UTILISES POUR LA RELIURE,</v>
      </c>
      <c r="C11365" s="4">
        <v>1</v>
      </c>
      <c r="D11365" s="4">
        <v>91939</v>
      </c>
    </row>
    <row r="11366" spans="1:4" x14ac:dyDescent="0.25">
      <c r="A11366" t="str">
        <f>T("   610590")</f>
        <v xml:space="preserve">   610590</v>
      </c>
      <c r="B11366" t="str">
        <f>T("   D'AUTRES MATIERES TEXTILES")</f>
        <v xml:space="preserve">   D'AUTRES MATIERES TEXTILES</v>
      </c>
      <c r="C11366" s="4">
        <v>1</v>
      </c>
      <c r="D11366" s="4">
        <v>34853</v>
      </c>
    </row>
    <row r="11367" spans="1:4" x14ac:dyDescent="0.25">
      <c r="A11367" t="str">
        <f>T("   610990")</f>
        <v xml:space="preserve">   610990</v>
      </c>
      <c r="B11367" t="str">
        <f>T("   D'AUTRES MATIERES TEXTILES")</f>
        <v xml:space="preserve">   D'AUTRES MATIERES TEXTILES</v>
      </c>
      <c r="C11367" s="4">
        <v>275</v>
      </c>
      <c r="D11367" s="4">
        <v>2098337</v>
      </c>
    </row>
    <row r="11368" spans="1:4" x14ac:dyDescent="0.25">
      <c r="A11368" t="str">
        <f>T("   611420")</f>
        <v xml:space="preserve">   611420</v>
      </c>
      <c r="B11368" t="str">
        <f>T("   DE COTON")</f>
        <v xml:space="preserve">   DE COTON</v>
      </c>
      <c r="C11368" s="4">
        <v>269</v>
      </c>
      <c r="D11368" s="4">
        <v>360331</v>
      </c>
    </row>
    <row r="11369" spans="1:4" x14ac:dyDescent="0.25">
      <c r="A11369" t="str">
        <f>T("   620329")</f>
        <v xml:space="preserve">   620329</v>
      </c>
      <c r="B11369" t="str">
        <f>T("   D'AUTRES MATIERES TEXTILES")</f>
        <v xml:space="preserve">   D'AUTRES MATIERES TEXTILES</v>
      </c>
      <c r="C11369" s="4">
        <v>19</v>
      </c>
      <c r="D11369" s="4">
        <v>74684</v>
      </c>
    </row>
    <row r="11370" spans="1:4" x14ac:dyDescent="0.25">
      <c r="A11370" t="str">
        <f>T("   620349")</f>
        <v xml:space="preserve">   620349</v>
      </c>
      <c r="B11370" t="str">
        <f>T("   D'AUTRES MATIERES TEXTILES")</f>
        <v xml:space="preserve">   D'AUTRES MATIERES TEXTILES</v>
      </c>
      <c r="C11370" s="4">
        <v>1020</v>
      </c>
      <c r="D11370" s="4">
        <v>2334853</v>
      </c>
    </row>
    <row r="11371" spans="1:4" x14ac:dyDescent="0.25">
      <c r="A11371" t="str">
        <f>T("   620590")</f>
        <v xml:space="preserve">   620590</v>
      </c>
      <c r="B11371" t="str">
        <f>T("   D'AUTRES MATIERES TEXTILES")</f>
        <v xml:space="preserve">   D'AUTRES MATIERES TEXTILES</v>
      </c>
      <c r="C11371" s="4">
        <v>26543</v>
      </c>
      <c r="D11371" s="4">
        <v>10113820</v>
      </c>
    </row>
    <row r="11372" spans="1:4" x14ac:dyDescent="0.25">
      <c r="A11372" t="str">
        <f>T("   621040")</f>
        <v xml:space="preserve">   621040</v>
      </c>
      <c r="B11372" t="str">
        <f>T("   AUTRES VETEMENTS POUR HOMMES OU GARCONNETS")</f>
        <v xml:space="preserve">   AUTRES VETEMENTS POUR HOMMES OU GARCONNETS</v>
      </c>
      <c r="C11372" s="4">
        <v>3837</v>
      </c>
      <c r="D11372" s="4">
        <v>522340</v>
      </c>
    </row>
    <row r="11373" spans="1:4" x14ac:dyDescent="0.25">
      <c r="A11373" t="str">
        <f>T("   621590")</f>
        <v xml:space="preserve">   621590</v>
      </c>
      <c r="B11373" t="str">
        <f>T("   D'AUTRES MATIERES TEXTILES")</f>
        <v xml:space="preserve">   D'AUTRES MATIERES TEXTILES</v>
      </c>
      <c r="C11373" s="4">
        <v>57</v>
      </c>
      <c r="D11373" s="4">
        <v>81050</v>
      </c>
    </row>
    <row r="11374" spans="1:4" x14ac:dyDescent="0.25">
      <c r="A11374" t="str">
        <f>T("   621710")</f>
        <v xml:space="preserve">   621710</v>
      </c>
      <c r="B11374" t="str">
        <f>T("   ACCESSOIRES")</f>
        <v xml:space="preserve">   ACCESSOIRES</v>
      </c>
      <c r="C11374" s="4">
        <v>783</v>
      </c>
      <c r="D11374" s="4">
        <v>471000</v>
      </c>
    </row>
    <row r="11375" spans="1:4" x14ac:dyDescent="0.25">
      <c r="A11375" t="str">
        <f>T("   630299")</f>
        <v xml:space="preserve">   630299</v>
      </c>
      <c r="B11375" t="str">
        <f>T("   D'AUTRES MATIERES TEXTILES")</f>
        <v xml:space="preserve">   D'AUTRES MATIERES TEXTILES</v>
      </c>
      <c r="C11375" s="4">
        <v>305</v>
      </c>
      <c r="D11375" s="4">
        <v>400000</v>
      </c>
    </row>
    <row r="11376" spans="1:4" x14ac:dyDescent="0.25">
      <c r="A11376" t="str">
        <f>T("   630510")</f>
        <v xml:space="preserve">   630510</v>
      </c>
      <c r="B11376" t="str">
        <f>T("   DE JUTE OU D'AUTRES FIBRES TEXTILES LIBERIENNES DU N° 53.03")</f>
        <v xml:space="preserve">   DE JUTE OU D'AUTRES FIBRES TEXTILES LIBERIENNES DU N° 53.03</v>
      </c>
      <c r="C11376" s="4">
        <v>36288</v>
      </c>
      <c r="D11376" s="4">
        <v>9000000</v>
      </c>
    </row>
    <row r="11377" spans="1:4" x14ac:dyDescent="0.25">
      <c r="A11377" t="str">
        <f>T("   630790")</f>
        <v xml:space="preserve">   630790</v>
      </c>
      <c r="B11377" t="str">
        <f>T("   AUTRES")</f>
        <v xml:space="preserve">   AUTRES</v>
      </c>
      <c r="C11377" s="4">
        <v>2588</v>
      </c>
      <c r="D11377" s="4">
        <v>2450048</v>
      </c>
    </row>
    <row r="11378" spans="1:4" x14ac:dyDescent="0.25">
      <c r="A11378" t="str">
        <f>T("   630900")</f>
        <v xml:space="preserve">   630900</v>
      </c>
      <c r="B11378" t="str">
        <f>T("   ARTICLES DE FRIPERIE.")</f>
        <v xml:space="preserve">   ARTICLES DE FRIPERIE.</v>
      </c>
      <c r="C11378" s="4">
        <v>2603019</v>
      </c>
      <c r="D11378" s="4">
        <v>1461610091</v>
      </c>
    </row>
    <row r="11379" spans="1:4" x14ac:dyDescent="0.25">
      <c r="A11379" t="str">
        <f>T("   631090")</f>
        <v xml:space="preserve">   631090</v>
      </c>
      <c r="B11379" t="str">
        <f>T("   AUTRES")</f>
        <v xml:space="preserve">   AUTRES</v>
      </c>
      <c r="C11379" s="4">
        <v>20000</v>
      </c>
      <c r="D11379" s="4">
        <v>9831000</v>
      </c>
    </row>
    <row r="11380" spans="1:4" x14ac:dyDescent="0.25">
      <c r="A11380" t="str">
        <f>T("   640299")</f>
        <v xml:space="preserve">   640299</v>
      </c>
      <c r="B11380" t="str">
        <f>T("   AUTRES")</f>
        <v xml:space="preserve">   AUTRES</v>
      </c>
      <c r="C11380" s="4">
        <v>22240</v>
      </c>
      <c r="D11380" s="4">
        <v>19600000</v>
      </c>
    </row>
    <row r="11381" spans="1:4" x14ac:dyDescent="0.25">
      <c r="A11381" t="str">
        <f>T("   640340")</f>
        <v xml:space="preserve">   640340</v>
      </c>
      <c r="B11381" t="str">
        <f>T("   AUTRES CHAUSSURES, COMPORTANT, A L'AVANT, UNE COQUILLE DE PROTECTION EN METAL")</f>
        <v xml:space="preserve">   AUTRES CHAUSSURES, COMPORTANT, A L'AVANT, UNE COQUILLE DE PROTECTION EN METAL</v>
      </c>
      <c r="C11381" s="4">
        <v>16.3</v>
      </c>
      <c r="D11381" s="4">
        <v>19881</v>
      </c>
    </row>
    <row r="11382" spans="1:4" x14ac:dyDescent="0.25">
      <c r="A11382" t="str">
        <f>T("   640411")</f>
        <v xml:space="preserve">   640411</v>
      </c>
      <c r="B11382" t="str">
        <f>T("   CHAUSSURES DE SPORT; CHAUSSURES DITES DE TENNIS, DE BASKETBALL, DE GYMNASTIQUE, D'E")</f>
        <v xml:space="preserve">   CHAUSSURES DE SPORT; CHAUSSURES DITES DE TENNIS, DE BASKETBALL, DE GYMNASTIQUE, D'E</v>
      </c>
      <c r="C11382" s="4">
        <v>64</v>
      </c>
      <c r="D11382" s="4">
        <v>99579</v>
      </c>
    </row>
    <row r="11383" spans="1:4" x14ac:dyDescent="0.25">
      <c r="A11383" t="str">
        <f>T("   640419")</f>
        <v xml:space="preserve">   640419</v>
      </c>
      <c r="B11383" t="str">
        <f>T("   AUTRES")</f>
        <v xml:space="preserve">   AUTRES</v>
      </c>
      <c r="C11383" s="4">
        <v>41478</v>
      </c>
      <c r="D11383" s="4">
        <v>23922165</v>
      </c>
    </row>
    <row r="11384" spans="1:4" x14ac:dyDescent="0.25">
      <c r="A11384" t="str">
        <f>T("   640590")</f>
        <v xml:space="preserve">   640590</v>
      </c>
      <c r="B11384" t="str">
        <f>T("   AUTRES")</f>
        <v xml:space="preserve">   AUTRES</v>
      </c>
      <c r="C11384" s="4">
        <v>95385</v>
      </c>
      <c r="D11384" s="4">
        <v>69029000</v>
      </c>
    </row>
    <row r="11385" spans="1:4" x14ac:dyDescent="0.25">
      <c r="A11385" t="str">
        <f>T("   680800")</f>
        <v xml:space="preserve">   680800</v>
      </c>
      <c r="B11385" t="str">
        <f>T("   PANNEAUX, PLANCHES, CARREAUX, BLOCS ET ARTICLES SIMILAIRES, EN FIBRES VEGETALES, EN PAI")</f>
        <v xml:space="preserve">   PANNEAUX, PLANCHES, CARREAUX, BLOCS ET ARTICLES SIMILAIRES, EN FIBRES VEGETALES, EN PAI</v>
      </c>
      <c r="C11385" s="4">
        <v>1193</v>
      </c>
      <c r="D11385" s="4">
        <v>5461919</v>
      </c>
    </row>
    <row r="11386" spans="1:4" x14ac:dyDescent="0.25">
      <c r="A11386" t="str">
        <f>T("   680911")</f>
        <v xml:space="preserve">   680911</v>
      </c>
      <c r="B11386" t="str">
        <f>T("   REVETUS OU RENFORCES DE PAPIER OU DE CARTON UNIQUEMENT")</f>
        <v xml:space="preserve">   REVETUS OU RENFORCES DE PAPIER OU DE CARTON UNIQUEMENT</v>
      </c>
      <c r="C11386" s="4">
        <v>26814</v>
      </c>
      <c r="D11386" s="4">
        <v>14945922</v>
      </c>
    </row>
    <row r="11387" spans="1:4" x14ac:dyDescent="0.25">
      <c r="A11387" t="str">
        <f>T("   680990")</f>
        <v xml:space="preserve">   680990</v>
      </c>
      <c r="B11387" t="str">
        <f>T("   AUTRES OUVRAGES")</f>
        <v xml:space="preserve">   AUTRES OUVRAGES</v>
      </c>
      <c r="C11387" s="4">
        <v>26488</v>
      </c>
      <c r="D11387" s="4">
        <v>8520494</v>
      </c>
    </row>
    <row r="11388" spans="1:4" x14ac:dyDescent="0.25">
      <c r="A11388" t="str">
        <f>T("   691190")</f>
        <v xml:space="preserve">   691190</v>
      </c>
      <c r="B11388" t="str">
        <f t="shared" ref="B11388:B11393" si="8">T("   AUTRES")</f>
        <v xml:space="preserve">   AUTRES</v>
      </c>
      <c r="C11388" s="4">
        <v>4536</v>
      </c>
      <c r="D11388" s="4">
        <v>1529218</v>
      </c>
    </row>
    <row r="11389" spans="1:4" x14ac:dyDescent="0.25">
      <c r="A11389" t="str">
        <f>T("   701090")</f>
        <v xml:space="preserve">   701090</v>
      </c>
      <c r="B11389" t="str">
        <f t="shared" si="8"/>
        <v xml:space="preserve">   AUTRES</v>
      </c>
      <c r="C11389" s="4">
        <v>106</v>
      </c>
      <c r="D11389" s="4">
        <v>350000</v>
      </c>
    </row>
    <row r="11390" spans="1:4" x14ac:dyDescent="0.25">
      <c r="A11390" t="str">
        <f>T("   701590")</f>
        <v xml:space="preserve">   701590</v>
      </c>
      <c r="B11390" t="str">
        <f t="shared" si="8"/>
        <v xml:space="preserve">   AUTRES</v>
      </c>
      <c r="C11390" s="4">
        <v>4</v>
      </c>
      <c r="D11390" s="4">
        <v>420000</v>
      </c>
    </row>
    <row r="11391" spans="1:4" x14ac:dyDescent="0.25">
      <c r="A11391" t="str">
        <f>T("   701939")</f>
        <v xml:space="preserve">   701939</v>
      </c>
      <c r="B11391" t="str">
        <f t="shared" si="8"/>
        <v xml:space="preserve">   AUTRES</v>
      </c>
      <c r="C11391" s="4">
        <v>976</v>
      </c>
      <c r="D11391" s="4">
        <v>640294</v>
      </c>
    </row>
    <row r="11392" spans="1:4" x14ac:dyDescent="0.25">
      <c r="A11392" t="str">
        <f>T("   721399")</f>
        <v xml:space="preserve">   721399</v>
      </c>
      <c r="B11392" t="str">
        <f t="shared" si="8"/>
        <v xml:space="preserve">   AUTRES</v>
      </c>
      <c r="C11392" s="4">
        <v>3235320</v>
      </c>
      <c r="D11392" s="4">
        <v>901911120</v>
      </c>
    </row>
    <row r="11393" spans="1:4" x14ac:dyDescent="0.25">
      <c r="A11393" t="str">
        <f>T("   721499")</f>
        <v xml:space="preserve">   721499</v>
      </c>
      <c r="B11393" t="str">
        <f t="shared" si="8"/>
        <v xml:space="preserve">   AUTRES</v>
      </c>
      <c r="C11393" s="4">
        <v>341</v>
      </c>
      <c r="D11393" s="4">
        <v>273345</v>
      </c>
    </row>
    <row r="11394" spans="1:4" x14ac:dyDescent="0.25">
      <c r="A11394" t="str">
        <f>T("   730422")</f>
        <v xml:space="preserve">   730422</v>
      </c>
      <c r="B11394" t="str">
        <f>T("   TIGES DE FORAGE EN ACIERS INOXYDABLES")</f>
        <v xml:space="preserve">   TIGES DE FORAGE EN ACIERS INOXYDABLES</v>
      </c>
      <c r="C11394" s="4">
        <v>29010</v>
      </c>
      <c r="D11394" s="4">
        <v>43719750</v>
      </c>
    </row>
    <row r="11395" spans="1:4" x14ac:dyDescent="0.25">
      <c r="A11395" t="str">
        <f>T("   730520")</f>
        <v xml:space="preserve">   730520</v>
      </c>
      <c r="B11395" t="str">
        <f>T("   TUBES ET TUYAUX DE CUVELAGE DES TYPES UTILISES POUR L'EXTRACTION DU PETROLE OU DU GAZ")</f>
        <v xml:space="preserve">   TUBES ET TUYAUX DE CUVELAGE DES TYPES UTILISES POUR L'EXTRACTION DU PETROLE OU DU GAZ</v>
      </c>
      <c r="C11395" s="4">
        <v>4546</v>
      </c>
      <c r="D11395" s="4">
        <v>42137437</v>
      </c>
    </row>
    <row r="11396" spans="1:4" x14ac:dyDescent="0.25">
      <c r="A11396" t="str">
        <f>T("   730729")</f>
        <v xml:space="preserve">   730729</v>
      </c>
      <c r="B11396" t="str">
        <f>T("   AUTRES")</f>
        <v xml:space="preserve">   AUTRES</v>
      </c>
      <c r="C11396" s="4">
        <v>264</v>
      </c>
      <c r="D11396" s="4">
        <v>6233378</v>
      </c>
    </row>
    <row r="11397" spans="1:4" x14ac:dyDescent="0.25">
      <c r="A11397" t="str">
        <f>T("   731210")</f>
        <v xml:space="preserve">   731210</v>
      </c>
      <c r="B11397" t="str">
        <f>T("   TORONS ET CABLES")</f>
        <v xml:space="preserve">   TORONS ET CABLES</v>
      </c>
      <c r="C11397" s="4">
        <v>354</v>
      </c>
      <c r="D11397" s="4">
        <v>3275328</v>
      </c>
    </row>
    <row r="11398" spans="1:4" x14ac:dyDescent="0.25">
      <c r="A11398" t="str">
        <f>T("   731290")</f>
        <v xml:space="preserve">   731290</v>
      </c>
      <c r="B11398" t="str">
        <f>T("   AUTRES")</f>
        <v xml:space="preserve">   AUTRES</v>
      </c>
      <c r="C11398" s="4">
        <v>1353</v>
      </c>
      <c r="D11398" s="4">
        <v>10702533</v>
      </c>
    </row>
    <row r="11399" spans="1:4" x14ac:dyDescent="0.25">
      <c r="A11399" t="str">
        <f>T("   731300")</f>
        <v xml:space="preserve">   731300</v>
      </c>
      <c r="B11399" t="str">
        <f>T("   RONCES ARTIFICIELLES EN FER OU EN ACIER; TORSADES, BARBELEES OU NON, EN FILS OU EN FEUI")</f>
        <v xml:space="preserve">   RONCES ARTIFICIELLES EN FER OU EN ACIER; TORSADES, BARBELEES OU NON, EN FILS OU EN FEUI</v>
      </c>
      <c r="C11399" s="4">
        <v>24</v>
      </c>
      <c r="D11399" s="4">
        <v>305003</v>
      </c>
    </row>
    <row r="11400" spans="1:4" x14ac:dyDescent="0.25">
      <c r="A11400" t="str">
        <f>T("   731815")</f>
        <v xml:space="preserve">   731815</v>
      </c>
      <c r="B11400" t="str">
        <f>T("   AUTRES VIS ET BOULONS, MEME AVEC LEURS ECROUS OU RONDELLES")</f>
        <v xml:space="preserve">   AUTRES VIS ET BOULONS, MEME AVEC LEURS ECROUS OU RONDELLES</v>
      </c>
      <c r="C11400" s="4">
        <v>899</v>
      </c>
      <c r="D11400" s="4">
        <v>4959677</v>
      </c>
    </row>
    <row r="11401" spans="1:4" x14ac:dyDescent="0.25">
      <c r="A11401" t="str">
        <f>T("   731816")</f>
        <v xml:space="preserve">   731816</v>
      </c>
      <c r="B11401" t="str">
        <f>T("   ECROUS")</f>
        <v xml:space="preserve">   ECROUS</v>
      </c>
      <c r="C11401" s="4">
        <v>37613</v>
      </c>
      <c r="D11401" s="4">
        <v>39492027</v>
      </c>
    </row>
    <row r="11402" spans="1:4" x14ac:dyDescent="0.25">
      <c r="A11402" t="str">
        <f>T("   731824")</f>
        <v xml:space="preserve">   731824</v>
      </c>
      <c r="B11402" t="str">
        <f>T("   GOUPILLES, CHEVILLES ET CLAVETTES")</f>
        <v xml:space="preserve">   GOUPILLES, CHEVILLES ET CLAVETTES</v>
      </c>
      <c r="C11402" s="4">
        <v>463</v>
      </c>
      <c r="D11402" s="4">
        <v>7861514</v>
      </c>
    </row>
    <row r="11403" spans="1:4" x14ac:dyDescent="0.25">
      <c r="A11403" t="str">
        <f>T("   732394")</f>
        <v xml:space="preserve">   732394</v>
      </c>
      <c r="B11403" t="str">
        <f>T("   EN FER OU EN ACIER, EMAILLES")</f>
        <v xml:space="preserve">   EN FER OU EN ACIER, EMAILLES</v>
      </c>
      <c r="C11403" s="4">
        <v>6998</v>
      </c>
      <c r="D11403" s="4">
        <v>6031639</v>
      </c>
    </row>
    <row r="11404" spans="1:4" x14ac:dyDescent="0.25">
      <c r="A11404" t="str">
        <f>T("   732399")</f>
        <v xml:space="preserve">   732399</v>
      </c>
      <c r="B11404" t="str">
        <f>T("   AUTRES")</f>
        <v xml:space="preserve">   AUTRES</v>
      </c>
      <c r="C11404" s="4">
        <v>83658</v>
      </c>
      <c r="D11404" s="4">
        <v>26350859</v>
      </c>
    </row>
    <row r="11405" spans="1:4" x14ac:dyDescent="0.25">
      <c r="A11405" t="str">
        <f>T("   732690")</f>
        <v xml:space="preserve">   732690</v>
      </c>
      <c r="B11405" t="str">
        <f>T("   AUTRES")</f>
        <v xml:space="preserve">   AUTRES</v>
      </c>
      <c r="C11405" s="4">
        <v>20445</v>
      </c>
      <c r="D11405" s="4">
        <v>47133209</v>
      </c>
    </row>
    <row r="11406" spans="1:4" x14ac:dyDescent="0.25">
      <c r="A11406" t="str">
        <f>T("   761090")</f>
        <v xml:space="preserve">   761090</v>
      </c>
      <c r="B11406" t="str">
        <f>T("   AUTRES")</f>
        <v xml:space="preserve">   AUTRES</v>
      </c>
      <c r="C11406" s="4">
        <v>9496</v>
      </c>
      <c r="D11406" s="4">
        <v>7631750</v>
      </c>
    </row>
    <row r="11407" spans="1:4" x14ac:dyDescent="0.25">
      <c r="A11407" t="str">
        <f>T("   761519")</f>
        <v xml:space="preserve">   761519</v>
      </c>
      <c r="B11407" t="str">
        <f>T("   AUTRES ARTICLES DE MENAGES OU D'ECONOMIE DOMESTIQUE EN ALUMINIUM")</f>
        <v xml:space="preserve">   AUTRES ARTICLES DE MENAGES OU D'ECONOMIE DOMESTIQUE EN ALUMINIUM</v>
      </c>
      <c r="C11407" s="4">
        <v>3804</v>
      </c>
      <c r="D11407" s="4">
        <v>200000</v>
      </c>
    </row>
    <row r="11408" spans="1:4" x14ac:dyDescent="0.25">
      <c r="A11408" t="str">
        <f>T("   811229")</f>
        <v xml:space="preserve">   811229</v>
      </c>
      <c r="B11408" t="str">
        <f>T("   AUTRES")</f>
        <v xml:space="preserve">   AUTRES</v>
      </c>
      <c r="C11408" s="4">
        <v>610</v>
      </c>
      <c r="D11408" s="4">
        <v>2489480</v>
      </c>
    </row>
    <row r="11409" spans="1:4" x14ac:dyDescent="0.25">
      <c r="A11409" t="str">
        <f>T("   820220")</f>
        <v xml:space="preserve">   820220</v>
      </c>
      <c r="B11409" t="str">
        <f>T("   LAMES DE SCIES A RUBAN")</f>
        <v xml:space="preserve">   LAMES DE SCIES A RUBAN</v>
      </c>
      <c r="C11409" s="4">
        <v>81.819999999999993</v>
      </c>
      <c r="D11409" s="4">
        <v>149369</v>
      </c>
    </row>
    <row r="11410" spans="1:4" x14ac:dyDescent="0.25">
      <c r="A11410" t="str">
        <f>T("   820239")</f>
        <v xml:space="preserve">   820239</v>
      </c>
      <c r="B11410" t="str">
        <f>T("   AUTRES, Y COMPRIS LES PARTIES")</f>
        <v xml:space="preserve">   AUTRES, Y COMPRIS LES PARTIES</v>
      </c>
      <c r="C11410" s="4">
        <v>340</v>
      </c>
      <c r="D11410" s="4">
        <v>2041374</v>
      </c>
    </row>
    <row r="11411" spans="1:4" x14ac:dyDescent="0.25">
      <c r="A11411" t="str">
        <f>T("   820340")</f>
        <v xml:space="preserve">   820340</v>
      </c>
      <c r="B11411" t="str">
        <f>T("   COUPETUBES, COUPEBOULONS, EMPORTEPIECE ET OUTILS SIMILAIRES")</f>
        <v xml:space="preserve">   COUPETUBES, COUPEBOULONS, EMPORTEPIECE ET OUTILS SIMILAIRES</v>
      </c>
      <c r="C11411" s="4">
        <v>196</v>
      </c>
      <c r="D11411" s="4">
        <v>4657185</v>
      </c>
    </row>
    <row r="11412" spans="1:4" x14ac:dyDescent="0.25">
      <c r="A11412" t="str">
        <f>T("   820559")</f>
        <v xml:space="preserve">   820559</v>
      </c>
      <c r="B11412" t="str">
        <f>T("   AUTRES")</f>
        <v xml:space="preserve">   AUTRES</v>
      </c>
      <c r="C11412" s="4">
        <v>2233</v>
      </c>
      <c r="D11412" s="4">
        <v>9431019</v>
      </c>
    </row>
    <row r="11413" spans="1:4" x14ac:dyDescent="0.25">
      <c r="A11413" t="str">
        <f>T("   820750")</f>
        <v xml:space="preserve">   820750</v>
      </c>
      <c r="B11413" t="str">
        <f>T("   OUTILS A PERCER")</f>
        <v xml:space="preserve">   OUTILS A PERCER</v>
      </c>
      <c r="C11413" s="4">
        <v>6000</v>
      </c>
      <c r="D11413" s="4">
        <v>59169960</v>
      </c>
    </row>
    <row r="11414" spans="1:4" x14ac:dyDescent="0.25">
      <c r="A11414" t="str">
        <f>T("   830110")</f>
        <v xml:space="preserve">   830110</v>
      </c>
      <c r="B11414" t="str">
        <f>T("   CADENAS")</f>
        <v xml:space="preserve">   CADENAS</v>
      </c>
      <c r="C11414" s="4">
        <v>90</v>
      </c>
      <c r="D11414" s="4">
        <v>2006896</v>
      </c>
    </row>
    <row r="11415" spans="1:4" x14ac:dyDescent="0.25">
      <c r="A11415" t="str">
        <f>T("   830120")</f>
        <v xml:space="preserve">   830120</v>
      </c>
      <c r="B11415" t="str">
        <f>T("   SERRURES DES TYPES UTILISES POUR VEHICULES AUTOMOBILES")</f>
        <v xml:space="preserve">   SERRURES DES TYPES UTILISES POUR VEHICULES AUTOMOBILES</v>
      </c>
      <c r="C11415" s="4">
        <v>191</v>
      </c>
      <c r="D11415" s="4">
        <v>526973</v>
      </c>
    </row>
    <row r="11416" spans="1:4" x14ac:dyDescent="0.25">
      <c r="A11416" t="str">
        <f>T("   830170")</f>
        <v xml:space="preserve">   830170</v>
      </c>
      <c r="B11416" t="str">
        <f>T("   CLEFS PRESENTEES ISOLEMENT")</f>
        <v xml:space="preserve">   CLEFS PRESENTEES ISOLEMENT</v>
      </c>
      <c r="C11416" s="4">
        <v>0.7</v>
      </c>
      <c r="D11416" s="4">
        <v>80691</v>
      </c>
    </row>
    <row r="11417" spans="1:4" x14ac:dyDescent="0.25">
      <c r="A11417" t="str">
        <f>T("   830250")</f>
        <v xml:space="preserve">   830250</v>
      </c>
      <c r="B11417" t="str">
        <f>T("   PATERES, PORTECHAPEAUX, SUPPORTS ET ARTICLES SIMILAIRES")</f>
        <v xml:space="preserve">   PATERES, PORTECHAPEAUX, SUPPORTS ET ARTICLES SIMILAIRES</v>
      </c>
      <c r="C11417" s="4">
        <v>28</v>
      </c>
      <c r="D11417" s="4">
        <v>240534</v>
      </c>
    </row>
    <row r="11418" spans="1:4" x14ac:dyDescent="0.25">
      <c r="A11418" t="str">
        <f>T("   830400")</f>
        <v xml:space="preserve">   830400</v>
      </c>
      <c r="B11418" t="str">
        <f>T("   CLASSEURS, FICHIERS, BOITES DE CLASSEMENT, PORTECOPIES, PLUMIERS, PORTECACHETS ET MAT")</f>
        <v xml:space="preserve">   CLASSEURS, FICHIERS, BOITES DE CLASSEMENT, PORTECOPIES, PLUMIERS, PORTECACHETS ET MAT</v>
      </c>
      <c r="C11418" s="4">
        <v>336</v>
      </c>
      <c r="D11418" s="4">
        <v>1421659</v>
      </c>
    </row>
    <row r="11419" spans="1:4" x14ac:dyDescent="0.25">
      <c r="A11419" t="str">
        <f>T("   831000")</f>
        <v xml:space="preserve">   831000</v>
      </c>
      <c r="B11419" t="str">
        <f>T("   PLAQUES INDICATRICES, PLAQUESENSEIGNES, PLAQUESADRESSES ET PLAQUES SIMILAIRES, CHIFFR")</f>
        <v xml:space="preserve">   PLAQUES INDICATRICES, PLAQUESENSEIGNES, PLAQUESADRESSES ET PLAQUES SIMILAIRES, CHIFFR</v>
      </c>
      <c r="C11419" s="4">
        <v>85</v>
      </c>
      <c r="D11419" s="4">
        <v>515896</v>
      </c>
    </row>
    <row r="11420" spans="1:4" x14ac:dyDescent="0.25">
      <c r="A11420" t="str">
        <f>T("   841430")</f>
        <v xml:space="preserve">   841430</v>
      </c>
      <c r="B11420" t="str">
        <f>T("   COMPRESSEURS DES TYPES UTILISES DANS LES EQUIPEMENTS FRIGORIFIQUES")</f>
        <v xml:space="preserve">   COMPRESSEURS DES TYPES UTILISES DANS LES EQUIPEMENTS FRIGORIFIQUES</v>
      </c>
      <c r="C11420" s="4">
        <v>2250</v>
      </c>
      <c r="D11420" s="4">
        <v>33684262</v>
      </c>
    </row>
    <row r="11421" spans="1:4" x14ac:dyDescent="0.25">
      <c r="A11421" t="str">
        <f>T("   841451")</f>
        <v xml:space="preserve">   841451</v>
      </c>
      <c r="B11421" t="str">
        <f>T("   VENTILATEURS DE TABLE, DE SOL, MURAUX, PLAFONNIERS, DE TOITURES OU DE FENETRES, A MO")</f>
        <v xml:space="preserve">   VENTILATEURS DE TABLE, DE SOL, MURAUX, PLAFONNIERS, DE TOITURES OU DE FENETRES, A MO</v>
      </c>
      <c r="C11421" s="4">
        <v>1920</v>
      </c>
      <c r="D11421" s="4">
        <v>1070476</v>
      </c>
    </row>
    <row r="11422" spans="1:4" x14ac:dyDescent="0.25">
      <c r="A11422" t="str">
        <f>T("   841590")</f>
        <v xml:space="preserve">   841590</v>
      </c>
      <c r="B11422" t="str">
        <f>T("   PARTIES")</f>
        <v xml:space="preserve">   PARTIES</v>
      </c>
      <c r="C11422" s="4">
        <v>132</v>
      </c>
      <c r="D11422" s="4">
        <v>2038541</v>
      </c>
    </row>
    <row r="11423" spans="1:4" x14ac:dyDescent="0.25">
      <c r="A11423" t="str">
        <f>T("   841810")</f>
        <v xml:space="preserve">   841810</v>
      </c>
      <c r="B11423" t="str">
        <f>T("   COMBINAISONS DE REFRIGERATEURS ET DE CONGELATEURSCONSERVATEURS MUNIS DE PORTES EXTER")</f>
        <v xml:space="preserve">   COMBINAISONS DE REFRIGERATEURS ET DE CONGELATEURSCONSERVATEURS MUNIS DE PORTES EXTER</v>
      </c>
      <c r="C11423" s="4">
        <v>250</v>
      </c>
      <c r="D11423" s="4">
        <v>43728</v>
      </c>
    </row>
    <row r="11424" spans="1:4" x14ac:dyDescent="0.25">
      <c r="A11424" t="str">
        <f>T("   841829")</f>
        <v xml:space="preserve">   841829</v>
      </c>
      <c r="B11424" t="str">
        <f>T("   AUTRES")</f>
        <v xml:space="preserve">   AUTRES</v>
      </c>
      <c r="C11424" s="4">
        <v>80250</v>
      </c>
      <c r="D11424" s="4">
        <v>23847065</v>
      </c>
    </row>
    <row r="11425" spans="1:4" x14ac:dyDescent="0.25">
      <c r="A11425" t="str">
        <f>T("   841869")</f>
        <v xml:space="preserve">   841869</v>
      </c>
      <c r="B11425" t="str">
        <f>T("   AUTRES")</f>
        <v xml:space="preserve">   AUTRES</v>
      </c>
      <c r="C11425" s="4">
        <v>22206</v>
      </c>
      <c r="D11425" s="4">
        <v>64875849</v>
      </c>
    </row>
    <row r="11426" spans="1:4" x14ac:dyDescent="0.25">
      <c r="A11426" t="str">
        <f>T("   841899")</f>
        <v xml:space="preserve">   841899</v>
      </c>
      <c r="B11426" t="str">
        <f>T("   AUTRES")</f>
        <v xml:space="preserve">   AUTRES</v>
      </c>
      <c r="C11426" s="4">
        <v>13608</v>
      </c>
      <c r="D11426" s="4">
        <v>4297850</v>
      </c>
    </row>
    <row r="11427" spans="1:4" x14ac:dyDescent="0.25">
      <c r="A11427" t="str">
        <f>T("   842121")</f>
        <v xml:space="preserve">   842121</v>
      </c>
      <c r="B11427" t="str">
        <f>T("   POUR LA FILTRATION OU L'EPURATION DES EAUX")</f>
        <v xml:space="preserve">   POUR LA FILTRATION OU L'EPURATION DES EAUX</v>
      </c>
      <c r="C11427" s="4">
        <v>48016</v>
      </c>
      <c r="D11427" s="4">
        <v>319026789</v>
      </c>
    </row>
    <row r="11428" spans="1:4" x14ac:dyDescent="0.25">
      <c r="A11428" t="str">
        <f>T("   842129")</f>
        <v xml:space="preserve">   842129</v>
      </c>
      <c r="B11428" t="str">
        <f>T("   AUTRES")</f>
        <v xml:space="preserve">   AUTRES</v>
      </c>
      <c r="C11428" s="4">
        <v>17</v>
      </c>
      <c r="D11428" s="4">
        <v>319433</v>
      </c>
    </row>
    <row r="11429" spans="1:4" x14ac:dyDescent="0.25">
      <c r="A11429" t="str">
        <f>T("   842199")</f>
        <v xml:space="preserve">   842199</v>
      </c>
      <c r="B11429" t="str">
        <f>T("   AUTRES")</f>
        <v xml:space="preserve">   AUTRES</v>
      </c>
      <c r="C11429" s="4">
        <v>36</v>
      </c>
      <c r="D11429" s="4">
        <v>5708503</v>
      </c>
    </row>
    <row r="11430" spans="1:4" x14ac:dyDescent="0.25">
      <c r="A11430" t="str">
        <f>T("   842211")</f>
        <v xml:space="preserve">   842211</v>
      </c>
      <c r="B11430" t="str">
        <f>T("   DE TYPE MENAGER")</f>
        <v xml:space="preserve">   DE TYPE MENAGER</v>
      </c>
      <c r="C11430" s="4">
        <v>300</v>
      </c>
      <c r="D11430" s="4">
        <v>650000</v>
      </c>
    </row>
    <row r="11431" spans="1:4" x14ac:dyDescent="0.25">
      <c r="A11431" t="str">
        <f>T("   842330")</f>
        <v xml:space="preserve">   842330</v>
      </c>
      <c r="B11431" t="str">
        <f>T("   BASCULES A PESEES CONSTANTES ET BALANCES ET BASCULES ENSACHEUSES OU DOSEUSES")</f>
        <v xml:space="preserve">   BASCULES A PESEES CONSTANTES ET BALANCES ET BASCULES ENSACHEUSES OU DOSEUSES</v>
      </c>
      <c r="C11431" s="4">
        <v>20</v>
      </c>
      <c r="D11431" s="4">
        <v>49790</v>
      </c>
    </row>
    <row r="11432" spans="1:4" x14ac:dyDescent="0.25">
      <c r="A11432" t="str">
        <f>T("   842430")</f>
        <v xml:space="preserve">   842430</v>
      </c>
      <c r="B11432" t="str">
        <f>T("   MACHINES ET APPAREILS A JET DE SABLE, A JET DE VAPEUR ET APPAREILS A JET SIMILAIRES")</f>
        <v xml:space="preserve">   MACHINES ET APPAREILS A JET DE SABLE, A JET DE VAPEUR ET APPAREILS A JET SIMILAIRES</v>
      </c>
      <c r="C11432" s="4">
        <v>849</v>
      </c>
      <c r="D11432" s="4">
        <v>3585055</v>
      </c>
    </row>
    <row r="11433" spans="1:4" x14ac:dyDescent="0.25">
      <c r="A11433" t="str">
        <f>T("   842489")</f>
        <v xml:space="preserve">   842489</v>
      </c>
      <c r="B11433" t="str">
        <f>T("   AUTRES")</f>
        <v xml:space="preserve">   AUTRES</v>
      </c>
      <c r="C11433" s="4">
        <v>108</v>
      </c>
      <c r="D11433" s="4">
        <v>1306289</v>
      </c>
    </row>
    <row r="11434" spans="1:4" x14ac:dyDescent="0.25">
      <c r="A11434" t="str">
        <f>T("   842490")</f>
        <v xml:space="preserve">   842490</v>
      </c>
      <c r="B11434" t="str">
        <f>T("   PARTIES")</f>
        <v xml:space="preserve">   PARTIES</v>
      </c>
      <c r="C11434" s="4">
        <v>30286</v>
      </c>
      <c r="D11434" s="4">
        <v>130494558</v>
      </c>
    </row>
    <row r="11435" spans="1:4" x14ac:dyDescent="0.25">
      <c r="A11435" t="str">
        <f>T("   842539")</f>
        <v xml:space="preserve">   842539</v>
      </c>
      <c r="B11435" t="str">
        <f>T("   AUTRES")</f>
        <v xml:space="preserve">   AUTRES</v>
      </c>
      <c r="C11435" s="4">
        <v>34292</v>
      </c>
      <c r="D11435" s="4">
        <v>333477298</v>
      </c>
    </row>
    <row r="11436" spans="1:4" x14ac:dyDescent="0.25">
      <c r="A11436" t="str">
        <f>T("   842542")</f>
        <v xml:space="preserve">   842542</v>
      </c>
      <c r="B11436" t="str">
        <f>T("   AUTRES CRICS ET VERINS, HYDRAULIQUES")</f>
        <v xml:space="preserve">   AUTRES CRICS ET VERINS, HYDRAULIQUES</v>
      </c>
      <c r="C11436" s="4">
        <v>26</v>
      </c>
      <c r="D11436" s="4">
        <v>609126</v>
      </c>
    </row>
    <row r="11437" spans="1:4" x14ac:dyDescent="0.25">
      <c r="A11437" t="str">
        <f>T("   842619")</f>
        <v xml:space="preserve">   842619</v>
      </c>
      <c r="B11437" t="str">
        <f>T("   AUTRES")</f>
        <v xml:space="preserve">   AUTRES</v>
      </c>
      <c r="C11437" s="4">
        <v>1240</v>
      </c>
      <c r="D11437" s="4">
        <v>29315344</v>
      </c>
    </row>
    <row r="11438" spans="1:4" x14ac:dyDescent="0.25">
      <c r="A11438" t="str">
        <f>T("   842839")</f>
        <v xml:space="preserve">   842839</v>
      </c>
      <c r="B11438" t="str">
        <f>T("   AUTRES")</f>
        <v xml:space="preserve">   AUTRES</v>
      </c>
      <c r="C11438" s="4">
        <v>10845</v>
      </c>
      <c r="D11438" s="4">
        <v>8447377</v>
      </c>
    </row>
    <row r="11439" spans="1:4" x14ac:dyDescent="0.25">
      <c r="A11439" t="str">
        <f>T("   842911")</f>
        <v xml:space="preserve">   842911</v>
      </c>
      <c r="B11439" t="str">
        <f>T("   A CHENILLES")</f>
        <v xml:space="preserve">   A CHENILLES</v>
      </c>
      <c r="C11439" s="4">
        <v>46401</v>
      </c>
      <c r="D11439" s="4">
        <v>17751293</v>
      </c>
    </row>
    <row r="11440" spans="1:4" x14ac:dyDescent="0.25">
      <c r="A11440" t="str">
        <f>T("   842919")</f>
        <v xml:space="preserve">   842919</v>
      </c>
      <c r="B11440" t="str">
        <f>T("   AUTRES")</f>
        <v xml:space="preserve">   AUTRES</v>
      </c>
      <c r="C11440" s="4">
        <v>12771</v>
      </c>
      <c r="D11440" s="4">
        <v>7000000</v>
      </c>
    </row>
    <row r="11441" spans="1:4" x14ac:dyDescent="0.25">
      <c r="A11441" t="str">
        <f>T("   842920")</f>
        <v xml:space="preserve">   842920</v>
      </c>
      <c r="B11441" t="str">
        <f>T("   NIVELEUSES")</f>
        <v xml:space="preserve">   NIVELEUSES</v>
      </c>
      <c r="C11441" s="4">
        <v>6000</v>
      </c>
      <c r="D11441" s="4">
        <v>3005410</v>
      </c>
    </row>
    <row r="11442" spans="1:4" x14ac:dyDescent="0.25">
      <c r="A11442" t="str">
        <f>T("   842951")</f>
        <v xml:space="preserve">   842951</v>
      </c>
      <c r="B11442" t="str">
        <f>T("   CHARGEUSES ET CHARGEUSESPELLETEUSES A CHARGEMENT FRONTAL")</f>
        <v xml:space="preserve">   CHARGEUSES ET CHARGEUSESPELLETEUSES A CHARGEMENT FRONTAL</v>
      </c>
      <c r="C11442" s="4">
        <v>33566</v>
      </c>
      <c r="D11442" s="4">
        <v>15000000</v>
      </c>
    </row>
    <row r="11443" spans="1:4" x14ac:dyDescent="0.25">
      <c r="A11443" t="str">
        <f>T("   842959")</f>
        <v xml:space="preserve">   842959</v>
      </c>
      <c r="B11443" t="str">
        <f>T("   AUTRES")</f>
        <v xml:space="preserve">   AUTRES</v>
      </c>
      <c r="C11443" s="4">
        <v>40006</v>
      </c>
      <c r="D11443" s="4">
        <v>12172735</v>
      </c>
    </row>
    <row r="11444" spans="1:4" x14ac:dyDescent="0.25">
      <c r="A11444" t="str">
        <f>T("   843049")</f>
        <v xml:space="preserve">   843049</v>
      </c>
      <c r="B11444" t="str">
        <f>T("   AUTRES")</f>
        <v xml:space="preserve">   AUTRES</v>
      </c>
      <c r="C11444" s="4">
        <v>1127</v>
      </c>
      <c r="D11444" s="4">
        <v>60818126</v>
      </c>
    </row>
    <row r="11445" spans="1:4" x14ac:dyDescent="0.25">
      <c r="A11445" t="str">
        <f>T("   843110")</f>
        <v xml:space="preserve">   843110</v>
      </c>
      <c r="B11445" t="str">
        <f>T("   DE MACHINES OU APPAREILS DU N° 84.25")</f>
        <v xml:space="preserve">   DE MACHINES OU APPAREILS DU N° 84.25</v>
      </c>
      <c r="C11445" s="4">
        <v>20</v>
      </c>
      <c r="D11445" s="4">
        <v>468266</v>
      </c>
    </row>
    <row r="11446" spans="1:4" x14ac:dyDescent="0.25">
      <c r="A11446" t="str">
        <f>T("   843120")</f>
        <v xml:space="preserve">   843120</v>
      </c>
      <c r="B11446" t="str">
        <f>T("   DE MACHINES OU APPAREILS DU N° 84.27")</f>
        <v xml:space="preserve">   DE MACHINES OU APPAREILS DU N° 84.27</v>
      </c>
      <c r="C11446" s="4">
        <v>64.5</v>
      </c>
      <c r="D11446" s="4">
        <v>270594</v>
      </c>
    </row>
    <row r="11447" spans="1:4" x14ac:dyDescent="0.25">
      <c r="A11447" t="str">
        <f>T("   843143")</f>
        <v xml:space="preserve">   843143</v>
      </c>
      <c r="B11447" t="str">
        <f>T("   PARTIES DE MACHINES DE SONDAGE OU DE FORAGE DES N°S 8430.41 OU 8430.49")</f>
        <v xml:space="preserve">   PARTIES DE MACHINES DE SONDAGE OU DE FORAGE DES N°S 8430.41 OU 8430.49</v>
      </c>
      <c r="C11447" s="4">
        <v>2512557</v>
      </c>
      <c r="D11447" s="4">
        <v>5471178095</v>
      </c>
    </row>
    <row r="11448" spans="1:4" x14ac:dyDescent="0.25">
      <c r="A11448" t="str">
        <f>T("   843149")</f>
        <v xml:space="preserve">   843149</v>
      </c>
      <c r="B11448" t="str">
        <f>T("   AUTRES")</f>
        <v xml:space="preserve">   AUTRES</v>
      </c>
      <c r="C11448" s="4">
        <v>11703</v>
      </c>
      <c r="D11448" s="4">
        <v>16966175</v>
      </c>
    </row>
    <row r="11449" spans="1:4" x14ac:dyDescent="0.25">
      <c r="A11449" t="str">
        <f>T("   843359")</f>
        <v xml:space="preserve">   843359</v>
      </c>
      <c r="B11449" t="str">
        <f>T("   AUTRES")</f>
        <v xml:space="preserve">   AUTRES</v>
      </c>
      <c r="C11449" s="4">
        <v>12224</v>
      </c>
      <c r="D11449" s="4">
        <v>3100000</v>
      </c>
    </row>
    <row r="11450" spans="1:4" x14ac:dyDescent="0.25">
      <c r="A11450" t="str">
        <f>T("   843790")</f>
        <v xml:space="preserve">   843790</v>
      </c>
      <c r="B11450" t="str">
        <f>T("   PARTIES")</f>
        <v xml:space="preserve">   PARTIES</v>
      </c>
      <c r="C11450" s="4">
        <v>11</v>
      </c>
      <c r="D11450" s="4">
        <v>1846278</v>
      </c>
    </row>
    <row r="11451" spans="1:4" x14ac:dyDescent="0.25">
      <c r="A11451" t="str">
        <f>T("   843890")</f>
        <v xml:space="preserve">   843890</v>
      </c>
      <c r="B11451" t="str">
        <f>T("   PARTIES")</f>
        <v xml:space="preserve">   PARTIES</v>
      </c>
      <c r="C11451" s="4">
        <v>69</v>
      </c>
      <c r="D11451" s="4">
        <v>946002</v>
      </c>
    </row>
    <row r="11452" spans="1:4" x14ac:dyDescent="0.25">
      <c r="A11452" t="str">
        <f>T("   844190")</f>
        <v xml:space="preserve">   844190</v>
      </c>
      <c r="B11452" t="str">
        <f>T("   PARTIES")</f>
        <v xml:space="preserve">   PARTIES</v>
      </c>
      <c r="C11452" s="4">
        <v>4</v>
      </c>
      <c r="D11452" s="4">
        <v>78877</v>
      </c>
    </row>
    <row r="11453" spans="1:4" x14ac:dyDescent="0.25">
      <c r="A11453" t="str">
        <f>T("   844230")</f>
        <v xml:space="preserve">   844230</v>
      </c>
      <c r="B11453" t="str">
        <f>T("   MACHINES, APPAREILS ET MATERIEL")</f>
        <v xml:space="preserve">   MACHINES, APPAREILS ET MATERIEL</v>
      </c>
      <c r="C11453" s="4">
        <v>5239</v>
      </c>
      <c r="D11453" s="4">
        <v>2984886</v>
      </c>
    </row>
    <row r="11454" spans="1:4" x14ac:dyDescent="0.25">
      <c r="A11454" t="str">
        <f>T("   844331")</f>
        <v xml:space="preserve">   844331</v>
      </c>
      <c r="B11454" t="str">
        <f>T("   MACHINES QUI ASSURENT AU MOINS DEUX DES FONCTIONS SUIVANTES : IMPRESSION, COPIE OU T")</f>
        <v xml:space="preserve">   MACHINES QUI ASSURENT AU MOINS DEUX DES FONCTIONS SUIVANTES : IMPRESSION, COPIE OU T</v>
      </c>
      <c r="C11454" s="4">
        <v>3</v>
      </c>
      <c r="D11454" s="4">
        <v>734397</v>
      </c>
    </row>
    <row r="11455" spans="1:4" x14ac:dyDescent="0.25">
      <c r="A11455" t="str">
        <f>T("   844391")</f>
        <v xml:space="preserve">   844391</v>
      </c>
      <c r="B11455" t="str">
        <f>T("   PARTIES ET ACCESSOIRES DE MACHINES ET D’APPAREILS SERVANT A L’IMPRESSION AU MOYEN DE")</f>
        <v xml:space="preserve">   PARTIES ET ACCESSOIRES DE MACHINES ET D’APPAREILS SERVANT A L’IMPRESSION AU MOYEN DE</v>
      </c>
      <c r="C11455" s="4">
        <v>14</v>
      </c>
      <c r="D11455" s="4">
        <v>1165077</v>
      </c>
    </row>
    <row r="11456" spans="1:4" x14ac:dyDescent="0.25">
      <c r="A11456" t="str">
        <f>T("   844790")</f>
        <v xml:space="preserve">   844790</v>
      </c>
      <c r="B11456" t="str">
        <f>T("   AUTRES")</f>
        <v xml:space="preserve">   AUTRES</v>
      </c>
      <c r="C11456" s="4">
        <v>165</v>
      </c>
      <c r="D11456" s="4">
        <v>4025443</v>
      </c>
    </row>
    <row r="11457" spans="1:4" x14ac:dyDescent="0.25">
      <c r="A11457" t="str">
        <f>T("   844832")</f>
        <v xml:space="preserve">   844832</v>
      </c>
      <c r="B11457" t="str">
        <f>T("   DE MACHINES POUR LA PREPARATION DES MATIERES TEXTILES, AUTRES QUE LES GARNITURES DE")</f>
        <v xml:space="preserve">   DE MACHINES POUR LA PREPARATION DES MATIERES TEXTILES, AUTRES QUE LES GARNITURES DE</v>
      </c>
      <c r="C11457" s="4">
        <v>966</v>
      </c>
      <c r="D11457" s="4">
        <v>15668267</v>
      </c>
    </row>
    <row r="11458" spans="1:4" x14ac:dyDescent="0.25">
      <c r="A11458" t="str">
        <f>T("   844859")</f>
        <v xml:space="preserve">   844859</v>
      </c>
      <c r="B11458" t="str">
        <f>T("   AUTRES")</f>
        <v xml:space="preserve">   AUTRES</v>
      </c>
      <c r="C11458" s="4">
        <v>0.45</v>
      </c>
      <c r="D11458" s="4">
        <v>193204</v>
      </c>
    </row>
    <row r="11459" spans="1:4" x14ac:dyDescent="0.25">
      <c r="A11459" t="str">
        <f>T("   845229")</f>
        <v xml:space="preserve">   845229</v>
      </c>
      <c r="B11459" t="str">
        <f>T("   AUTRES")</f>
        <v xml:space="preserve">   AUTRES</v>
      </c>
      <c r="C11459" s="4">
        <v>21</v>
      </c>
      <c r="D11459" s="4">
        <v>74684</v>
      </c>
    </row>
    <row r="11460" spans="1:4" x14ac:dyDescent="0.25">
      <c r="A11460" t="str">
        <f>T("   846594")</f>
        <v xml:space="preserve">   846594</v>
      </c>
      <c r="B11460" t="str">
        <f>T("   MACHINES A CINTRER OU A ASSEMBLER")</f>
        <v xml:space="preserve">   MACHINES A CINTRER OU A ASSEMBLER</v>
      </c>
      <c r="C11460" s="4">
        <v>1</v>
      </c>
      <c r="D11460" s="4">
        <v>49790</v>
      </c>
    </row>
    <row r="11461" spans="1:4" x14ac:dyDescent="0.25">
      <c r="A11461" t="str">
        <f>T("   846880")</f>
        <v xml:space="preserve">   846880</v>
      </c>
      <c r="B11461" t="str">
        <f>T("   AUTRES MACHINES ET APPAREILS")</f>
        <v xml:space="preserve">   AUTRES MACHINES ET APPAREILS</v>
      </c>
      <c r="C11461" s="4">
        <v>296</v>
      </c>
      <c r="D11461" s="4">
        <v>237496</v>
      </c>
    </row>
    <row r="11462" spans="1:4" x14ac:dyDescent="0.25">
      <c r="A11462" t="str">
        <f>T("   847130")</f>
        <v xml:space="preserve">   847130</v>
      </c>
      <c r="B11462" t="str">
        <f>T("   MACHINES AUTOMATIQUES DE TRAITEMENT DE L'INFORMATION PORTATIVES, D'UN POIDS N'EXCEDAN")</f>
        <v xml:space="preserve">   MACHINES AUTOMATIQUES DE TRAITEMENT DE L'INFORMATION PORTATIVES, D'UN POIDS N'EXCEDAN</v>
      </c>
      <c r="C11462" s="4">
        <v>2807</v>
      </c>
      <c r="D11462" s="4">
        <v>34990421</v>
      </c>
    </row>
    <row r="11463" spans="1:4" x14ac:dyDescent="0.25">
      <c r="A11463" t="str">
        <f>T("   847141")</f>
        <v xml:space="preserve">   847141</v>
      </c>
      <c r="B11463" t="str">
        <f>T("   COMPORTANT, SOUS UNE MEME ENVELOPPE, AU MOINS UNE UNITE CENTRALE DE TRAITEMENT ET, Q")</f>
        <v xml:space="preserve">   COMPORTANT, SOUS UNE MEME ENVELOPPE, AU MOINS UNE UNITE CENTRALE DE TRAITEMENT ET, Q</v>
      </c>
      <c r="C11463" s="4">
        <v>4942</v>
      </c>
      <c r="D11463" s="4">
        <v>5600711</v>
      </c>
    </row>
    <row r="11464" spans="1:4" x14ac:dyDescent="0.25">
      <c r="A11464" t="str">
        <f>T("   847149")</f>
        <v xml:space="preserve">   847149</v>
      </c>
      <c r="B11464" t="str">
        <f>T("   AUTRES, SE PRESENTANT SOUS FORME DE SYSTEMES")</f>
        <v xml:space="preserve">   AUTRES, SE PRESENTANT SOUS FORME DE SYSTEMES</v>
      </c>
      <c r="C11464" s="4">
        <v>621</v>
      </c>
      <c r="D11464" s="4">
        <v>15524066</v>
      </c>
    </row>
    <row r="11465" spans="1:4" x14ac:dyDescent="0.25">
      <c r="A11465" t="str">
        <f>T("   847150")</f>
        <v xml:space="preserve">   847150</v>
      </c>
      <c r="B11465" t="str">
        <f>T("   UNITES DE TRAITEMENT AUTRES QUE CELLES DES N°S 8471.41 OU 8471.49, POUVANT COMPORTER,")</f>
        <v xml:space="preserve">   UNITES DE TRAITEMENT AUTRES QUE CELLES DES N°S 8471.41 OU 8471.49, POUVANT COMPORTER,</v>
      </c>
      <c r="C11465" s="4">
        <v>179</v>
      </c>
      <c r="D11465" s="4">
        <v>46777827</v>
      </c>
    </row>
    <row r="11466" spans="1:4" x14ac:dyDescent="0.25">
      <c r="A11466" t="str">
        <f>T("   847160")</f>
        <v xml:space="preserve">   847160</v>
      </c>
      <c r="B11466" t="str">
        <f>T("   UNITES D'ENTREE OU DE SORTIE, POUVANT COMPORTER, SOUS LA MEME ENVELOPPE, DES UNITES D")</f>
        <v xml:space="preserve">   UNITES D'ENTREE OU DE SORTIE, POUVANT COMPORTER, SOUS LA MEME ENVELOPPE, DES UNITES D</v>
      </c>
      <c r="C11466" s="4">
        <v>41</v>
      </c>
      <c r="D11466" s="4">
        <v>993810</v>
      </c>
    </row>
    <row r="11467" spans="1:4" x14ac:dyDescent="0.25">
      <c r="A11467" t="str">
        <f>T("   847180")</f>
        <v xml:space="preserve">   847180</v>
      </c>
      <c r="B11467" t="str">
        <f>T("   AUTRES UNITES DE MACHINES AUTOMATIQUES DE TRAITEMENT DE L'INFORMATION")</f>
        <v xml:space="preserve">   AUTRES UNITES DE MACHINES AUTOMATIQUES DE TRAITEMENT DE L'INFORMATION</v>
      </c>
      <c r="C11467" s="4">
        <v>7599.1</v>
      </c>
      <c r="D11467" s="4">
        <v>85684641</v>
      </c>
    </row>
    <row r="11468" spans="1:4" x14ac:dyDescent="0.25">
      <c r="A11468" t="str">
        <f>T("   847190")</f>
        <v xml:space="preserve">   847190</v>
      </c>
      <c r="B11468" t="str">
        <f>T("   AUTRES")</f>
        <v xml:space="preserve">   AUTRES</v>
      </c>
      <c r="C11468" s="4">
        <v>528.57000000000005</v>
      </c>
      <c r="D11468" s="4">
        <v>25811022</v>
      </c>
    </row>
    <row r="11469" spans="1:4" x14ac:dyDescent="0.25">
      <c r="A11469" t="str">
        <f>T("   847431")</f>
        <v xml:space="preserve">   847431</v>
      </c>
      <c r="B11469" t="str">
        <f>T("   BETONNIERES ET APPAREILS A GACHER LE CIMENT")</f>
        <v xml:space="preserve">   BETONNIERES ET APPAREILS A GACHER LE CIMENT</v>
      </c>
      <c r="C11469" s="4">
        <v>2000</v>
      </c>
      <c r="D11469" s="4">
        <v>2000000</v>
      </c>
    </row>
    <row r="11470" spans="1:4" x14ac:dyDescent="0.25">
      <c r="A11470" t="str">
        <f>T("   847490")</f>
        <v xml:space="preserve">   847490</v>
      </c>
      <c r="B11470" t="str">
        <f>T("   PARTIES")</f>
        <v xml:space="preserve">   PARTIES</v>
      </c>
      <c r="C11470" s="4">
        <v>2473</v>
      </c>
      <c r="D11470" s="4">
        <v>30118829</v>
      </c>
    </row>
    <row r="11471" spans="1:4" x14ac:dyDescent="0.25">
      <c r="A11471" t="str">
        <f>T("   847920")</f>
        <v xml:space="preserve">   847920</v>
      </c>
      <c r="B11471" t="str">
        <f>T("   MACHINES ET APPAREILS POUR L'EXTRACTION OU LA PREPARATION DES HUILES OU GRAISSES VEGE")</f>
        <v xml:space="preserve">   MACHINES ET APPAREILS POUR L'EXTRACTION OU LA PREPARATION DES HUILES OU GRAISSES VEGE</v>
      </c>
      <c r="C11471" s="4">
        <v>653</v>
      </c>
      <c r="D11471" s="4">
        <v>5358422</v>
      </c>
    </row>
    <row r="11472" spans="1:4" x14ac:dyDescent="0.25">
      <c r="A11472" t="str">
        <f>T("   847989")</f>
        <v xml:space="preserve">   847989</v>
      </c>
      <c r="B11472" t="str">
        <f>T("   AUTRES")</f>
        <v xml:space="preserve">   AUTRES</v>
      </c>
      <c r="C11472" s="4">
        <v>775</v>
      </c>
      <c r="D11472" s="4">
        <v>14135039</v>
      </c>
    </row>
    <row r="11473" spans="1:4" x14ac:dyDescent="0.25">
      <c r="A11473" t="str">
        <f>T("   848140")</f>
        <v xml:space="preserve">   848140</v>
      </c>
      <c r="B11473" t="str">
        <f>T("   SOUPAPES DE TROPPLEIN OU DE SURETE")</f>
        <v xml:space="preserve">   SOUPAPES DE TROPPLEIN OU DE SURETE</v>
      </c>
      <c r="C11473" s="4">
        <v>1432</v>
      </c>
      <c r="D11473" s="4">
        <v>5850278</v>
      </c>
    </row>
    <row r="11474" spans="1:4" x14ac:dyDescent="0.25">
      <c r="A11474" t="str">
        <f>T("   848299")</f>
        <v xml:space="preserve">   848299</v>
      </c>
      <c r="B11474" t="str">
        <f>T("   AUTRES")</f>
        <v xml:space="preserve">   AUTRES</v>
      </c>
      <c r="C11474" s="4">
        <v>460</v>
      </c>
      <c r="D11474" s="4">
        <v>7651666</v>
      </c>
    </row>
    <row r="11475" spans="1:4" x14ac:dyDescent="0.25">
      <c r="A11475" t="str">
        <f>T("   848330")</f>
        <v xml:space="preserve">   848330</v>
      </c>
      <c r="B11475" t="str">
        <f>T("   PALIERS, AUTRES QU'A ROULEMENTS INCORPORES; COUSSINETS")</f>
        <v xml:space="preserve">   PALIERS, AUTRES QU'A ROULEMENTS INCORPORES; COUSSINETS</v>
      </c>
      <c r="C11475" s="4">
        <v>198</v>
      </c>
      <c r="D11475" s="4">
        <v>1520714</v>
      </c>
    </row>
    <row r="11476" spans="1:4" x14ac:dyDescent="0.25">
      <c r="A11476" t="str">
        <f>T("   848340")</f>
        <v xml:space="preserve">   848340</v>
      </c>
      <c r="B11476" t="str">
        <f>T("   ENGRENAGES ET ROUES DE FRICTION, AUTRES QUE LES ROUES DENTEES ET AUTRES ORGANES ELEME")</f>
        <v xml:space="preserve">   ENGRENAGES ET ROUES DE FRICTION, AUTRES QUE LES ROUES DENTEES ET AUTRES ORGANES ELEME</v>
      </c>
      <c r="C11476" s="4">
        <v>217.7</v>
      </c>
      <c r="D11476" s="4">
        <v>2985584</v>
      </c>
    </row>
    <row r="11477" spans="1:4" x14ac:dyDescent="0.25">
      <c r="A11477" t="str">
        <f>T("   848410")</f>
        <v xml:space="preserve">   848410</v>
      </c>
      <c r="B11477" t="str">
        <f>T("   JOINTS METALLOPLASTIQUES")</f>
        <v xml:space="preserve">   JOINTS METALLOPLASTIQUES</v>
      </c>
      <c r="C11477" s="4">
        <v>870</v>
      </c>
      <c r="D11477" s="4">
        <v>700042</v>
      </c>
    </row>
    <row r="11478" spans="1:4" x14ac:dyDescent="0.25">
      <c r="A11478" t="str">
        <f>T("   848490")</f>
        <v xml:space="preserve">   848490</v>
      </c>
      <c r="B11478" t="str">
        <f>T("   AUTRES")</f>
        <v xml:space="preserve">   AUTRES</v>
      </c>
      <c r="C11478" s="4">
        <v>112</v>
      </c>
      <c r="D11478" s="4">
        <v>2371473</v>
      </c>
    </row>
    <row r="11479" spans="1:4" x14ac:dyDescent="0.25">
      <c r="A11479" t="str">
        <f>T("   850239")</f>
        <v xml:space="preserve">   850239</v>
      </c>
      <c r="B11479" t="str">
        <f>T("   AUTRES")</f>
        <v xml:space="preserve">   AUTRES</v>
      </c>
      <c r="C11479" s="4">
        <v>600</v>
      </c>
      <c r="D11479" s="4">
        <v>1053465</v>
      </c>
    </row>
    <row r="11480" spans="1:4" x14ac:dyDescent="0.25">
      <c r="A11480" t="str">
        <f>T("   850421")</f>
        <v xml:space="preserve">   850421</v>
      </c>
      <c r="B11480" t="str">
        <f>T("   D'UNE PUISSANCE N'EXCEDANT PAS 650 KVA")</f>
        <v xml:space="preserve">   D'UNE PUISSANCE N'EXCEDANT PAS 650 KVA</v>
      </c>
      <c r="C11480" s="4">
        <v>42</v>
      </c>
      <c r="D11480" s="4">
        <v>6562790</v>
      </c>
    </row>
    <row r="11481" spans="1:4" x14ac:dyDescent="0.25">
      <c r="A11481" t="str">
        <f>T("   850440")</f>
        <v xml:space="preserve">   850440</v>
      </c>
      <c r="B11481" t="str">
        <f>T("   CONVERTISSEURS STATIQUES")</f>
        <v xml:space="preserve">   CONVERTISSEURS STATIQUES</v>
      </c>
      <c r="C11481" s="4">
        <v>2049.5</v>
      </c>
      <c r="D11481" s="4">
        <v>426091669</v>
      </c>
    </row>
    <row r="11482" spans="1:4" x14ac:dyDescent="0.25">
      <c r="A11482" t="str">
        <f>T("   850450")</f>
        <v xml:space="preserve">   850450</v>
      </c>
      <c r="B11482" t="str">
        <f>T("   AUTRES BOBINES DE REACTANCE ET AUTRES SELFS")</f>
        <v xml:space="preserve">   AUTRES BOBINES DE REACTANCE ET AUTRES SELFS</v>
      </c>
      <c r="C11482" s="4">
        <v>5</v>
      </c>
      <c r="D11482" s="4">
        <v>965171</v>
      </c>
    </row>
    <row r="11483" spans="1:4" x14ac:dyDescent="0.25">
      <c r="A11483" t="str">
        <f>T("   850590")</f>
        <v xml:space="preserve">   850590</v>
      </c>
      <c r="B11483" t="str">
        <f>T("   AUTRES, Y COMPRIS LES PARTIES")</f>
        <v xml:space="preserve">   AUTRES, Y COMPRIS LES PARTIES</v>
      </c>
      <c r="C11483" s="4">
        <v>289</v>
      </c>
      <c r="D11483" s="4">
        <v>1220240</v>
      </c>
    </row>
    <row r="11484" spans="1:4" x14ac:dyDescent="0.25">
      <c r="A11484" t="str">
        <f>T("   850720")</f>
        <v xml:space="preserve">   850720</v>
      </c>
      <c r="B11484" t="str">
        <f>T("   AUTRES ACCUMULATEURS AU PLOMB")</f>
        <v xml:space="preserve">   AUTRES ACCUMULATEURS AU PLOMB</v>
      </c>
      <c r="C11484" s="4">
        <v>10993</v>
      </c>
      <c r="D11484" s="4">
        <v>59554872</v>
      </c>
    </row>
    <row r="11485" spans="1:4" x14ac:dyDescent="0.25">
      <c r="A11485" t="str">
        <f>T("   850980")</f>
        <v xml:space="preserve">   850980</v>
      </c>
      <c r="B11485" t="str">
        <f>T("   AUTRES APPAREILS")</f>
        <v xml:space="preserve">   AUTRES APPAREILS</v>
      </c>
      <c r="C11485" s="4">
        <v>23500</v>
      </c>
      <c r="D11485" s="4">
        <v>5634854</v>
      </c>
    </row>
    <row r="11486" spans="1:4" x14ac:dyDescent="0.25">
      <c r="A11486" t="str">
        <f>T("   851180")</f>
        <v xml:space="preserve">   851180</v>
      </c>
      <c r="B11486" t="str">
        <f>T("   AUTRES APPAREILS ET DISPOSITIFS")</f>
        <v xml:space="preserve">   AUTRES APPAREILS ET DISPOSITIFS</v>
      </c>
      <c r="C11486" s="4">
        <v>2617</v>
      </c>
      <c r="D11486" s="4">
        <v>11019462</v>
      </c>
    </row>
    <row r="11487" spans="1:4" x14ac:dyDescent="0.25">
      <c r="A11487" t="str">
        <f>T("   851660")</f>
        <v xml:space="preserve">   851660</v>
      </c>
      <c r="B11487" t="str">
        <f>T("   AUTRES FOURS; CUISINIERES, RECHAUDS (Y COMPRIS LES TABLES DE CUISSON), GRILS ET ROTIS")</f>
        <v xml:space="preserve">   AUTRES FOURS; CUISINIERES, RECHAUDS (Y COMPRIS LES TABLES DE CUISSON), GRILS ET ROTIS</v>
      </c>
      <c r="C11487" s="4">
        <v>500</v>
      </c>
      <c r="D11487" s="4">
        <v>535000</v>
      </c>
    </row>
    <row r="11488" spans="1:4" x14ac:dyDescent="0.25">
      <c r="A11488" t="str">
        <f>T("   851679")</f>
        <v xml:space="preserve">   851679</v>
      </c>
      <c r="B11488" t="str">
        <f>T("   AUTRES")</f>
        <v xml:space="preserve">   AUTRES</v>
      </c>
      <c r="C11488" s="4">
        <v>25306</v>
      </c>
      <c r="D11488" s="4">
        <v>6744000</v>
      </c>
    </row>
    <row r="11489" spans="1:4" x14ac:dyDescent="0.25">
      <c r="A11489" t="str">
        <f>T("   851712")</f>
        <v xml:space="preserve">   851712</v>
      </c>
      <c r="B11489" t="str">
        <f>T("   TELEPHONES POUR RESEAUX CELLULAIRES ET POUR AUTRES RESEAUX SANS FIL")</f>
        <v xml:space="preserve">   TELEPHONES POUR RESEAUX CELLULAIRES ET POUR AUTRES RESEAUX SANS FIL</v>
      </c>
      <c r="C11489" s="4">
        <v>234.09</v>
      </c>
      <c r="D11489" s="4">
        <v>6402504</v>
      </c>
    </row>
    <row r="11490" spans="1:4" x14ac:dyDescent="0.25">
      <c r="A11490" t="str">
        <f>T("   851762")</f>
        <v xml:space="preserve">   851762</v>
      </c>
      <c r="B11490" t="str">
        <f>T("   APPAREILS POUR LA RECEPTION, LA CONVERSION ET L'EMISSION, LA TRANSMISSION OU LA REGE")</f>
        <v xml:space="preserve">   APPAREILS POUR LA RECEPTION, LA CONVERSION ET L'EMISSION, LA TRANSMISSION OU LA REGE</v>
      </c>
      <c r="C11490" s="4">
        <v>1924.67</v>
      </c>
      <c r="D11490" s="4">
        <v>28971464</v>
      </c>
    </row>
    <row r="11491" spans="1:4" x14ac:dyDescent="0.25">
      <c r="A11491" t="str">
        <f>T("   851769")</f>
        <v xml:space="preserve">   851769</v>
      </c>
      <c r="B11491" t="str">
        <f>T("   AUTRES")</f>
        <v xml:space="preserve">   AUTRES</v>
      </c>
      <c r="C11491" s="4">
        <v>2765.6</v>
      </c>
      <c r="D11491" s="4">
        <v>203930969</v>
      </c>
    </row>
    <row r="11492" spans="1:4" x14ac:dyDescent="0.25">
      <c r="A11492" t="str">
        <f>T("   851770")</f>
        <v xml:space="preserve">   851770</v>
      </c>
      <c r="B11492" t="str">
        <f>T("   PARTIES")</f>
        <v xml:space="preserve">   PARTIES</v>
      </c>
      <c r="C11492" s="4">
        <v>5430</v>
      </c>
      <c r="D11492" s="4">
        <v>573880944</v>
      </c>
    </row>
    <row r="11493" spans="1:4" x14ac:dyDescent="0.25">
      <c r="A11493" t="str">
        <f>T("   851810")</f>
        <v xml:space="preserve">   851810</v>
      </c>
      <c r="B11493" t="str">
        <f>T("   MICROPHONES ET LEURS SUPPORTS")</f>
        <v xml:space="preserve">   MICROPHONES ET LEURS SUPPORTS</v>
      </c>
      <c r="C11493" s="4">
        <v>63</v>
      </c>
      <c r="D11493" s="4">
        <v>1172251</v>
      </c>
    </row>
    <row r="11494" spans="1:4" x14ac:dyDescent="0.25">
      <c r="A11494" t="str">
        <f>T("   851830")</f>
        <v xml:space="preserve">   851830</v>
      </c>
      <c r="B11494" t="str">
        <f>T("   CASQUES D'ECOUTE ET ECOUTEURS, MEME COMBINES AVEC UN MICROPHONE, ET ENSEMBLES OU ASSO")</f>
        <v xml:space="preserve">   CASQUES D'ECOUTE ET ECOUTEURS, MEME COMBINES AVEC UN MICROPHONE, ET ENSEMBLES OU ASSO</v>
      </c>
      <c r="C11494" s="4">
        <v>31</v>
      </c>
      <c r="D11494" s="4">
        <v>385073</v>
      </c>
    </row>
    <row r="11495" spans="1:4" x14ac:dyDescent="0.25">
      <c r="A11495" t="str">
        <f>T("   851989")</f>
        <v xml:space="preserve">   851989</v>
      </c>
      <c r="B11495" t="str">
        <f>T("   AUTRES")</f>
        <v xml:space="preserve">   AUTRES</v>
      </c>
      <c r="C11495" s="4">
        <v>700.82</v>
      </c>
      <c r="D11495" s="4">
        <v>389600</v>
      </c>
    </row>
    <row r="11496" spans="1:4" x14ac:dyDescent="0.25">
      <c r="A11496" t="str">
        <f>T("   852321")</f>
        <v xml:space="preserve">   852321</v>
      </c>
      <c r="B11496" t="str">
        <f>T("   CARTES MUNIES D'UNE PISTE MAGNETIQUE")</f>
        <v xml:space="preserve">   CARTES MUNIES D'UNE PISTE MAGNETIQUE</v>
      </c>
      <c r="C11496" s="4">
        <v>8</v>
      </c>
      <c r="D11496" s="4">
        <v>717620</v>
      </c>
    </row>
    <row r="11497" spans="1:4" x14ac:dyDescent="0.25">
      <c r="A11497" t="str">
        <f>T("   852421")</f>
        <v xml:space="preserve">   852421</v>
      </c>
      <c r="B11497" t="str">
        <f>T("   BANDES MAGNETIQUES ENREGISTREES, DE 4 MM ET - DE LARGEUR")</f>
        <v xml:space="preserve">   BANDES MAGNETIQUES ENREGISTREES, DE 4 MM ET - DE LARGEUR</v>
      </c>
      <c r="C11497" s="4">
        <v>13.3</v>
      </c>
      <c r="D11497" s="4">
        <v>19000</v>
      </c>
    </row>
    <row r="11498" spans="1:4" x14ac:dyDescent="0.25">
      <c r="A11498" t="str">
        <f>T("   852550")</f>
        <v xml:space="preserve">   852550</v>
      </c>
      <c r="B11498" t="str">
        <f>T("   APPAREILS D'EMISSION")</f>
        <v xml:space="preserve">   APPAREILS D'EMISSION</v>
      </c>
      <c r="C11498" s="4">
        <v>101</v>
      </c>
      <c r="D11498" s="4">
        <v>1193445</v>
      </c>
    </row>
    <row r="11499" spans="1:4" x14ac:dyDescent="0.25">
      <c r="A11499" t="str">
        <f>T("   852580")</f>
        <v xml:space="preserve">   852580</v>
      </c>
      <c r="B11499" t="str">
        <f>T("   CAMERAS DE TELEVISION, APPAREILS PHOTOGRAPHIQUES NUMERIQUES ET CAMESCOPES")</f>
        <v xml:space="preserve">   CAMERAS DE TELEVISION, APPAREILS PHOTOGRAPHIQUES NUMERIQUES ET CAMESCOPES</v>
      </c>
      <c r="C11499" s="4">
        <v>45.25</v>
      </c>
      <c r="D11499" s="4">
        <v>1481151</v>
      </c>
    </row>
    <row r="11500" spans="1:4" x14ac:dyDescent="0.25">
      <c r="A11500" t="str">
        <f>T("   852691")</f>
        <v xml:space="preserve">   852691</v>
      </c>
      <c r="B11500" t="str">
        <f>T("   Appareils de radionavigation")</f>
        <v xml:space="preserve">   Appareils de radionavigation</v>
      </c>
      <c r="C11500" s="4">
        <v>454</v>
      </c>
      <c r="D11500" s="4">
        <v>2034901</v>
      </c>
    </row>
    <row r="11501" spans="1:4" x14ac:dyDescent="0.25">
      <c r="A11501" t="str">
        <f>T("   852719")</f>
        <v xml:space="preserve">   852719</v>
      </c>
      <c r="B11501" t="str">
        <f>T("   AUTRES")</f>
        <v xml:space="preserve">   AUTRES</v>
      </c>
      <c r="C11501" s="4">
        <v>1500</v>
      </c>
      <c r="D11501" s="4">
        <v>295718</v>
      </c>
    </row>
    <row r="11502" spans="1:4" x14ac:dyDescent="0.25">
      <c r="A11502" t="str">
        <f>T("   852729")</f>
        <v xml:space="preserve">   852729</v>
      </c>
      <c r="B11502" t="str">
        <f>T("   AUTRES")</f>
        <v xml:space="preserve">   AUTRES</v>
      </c>
      <c r="C11502" s="4">
        <v>2023</v>
      </c>
      <c r="D11502" s="4">
        <v>3231178</v>
      </c>
    </row>
    <row r="11503" spans="1:4" x14ac:dyDescent="0.25">
      <c r="A11503" t="str">
        <f>T("   852791")</f>
        <v xml:space="preserve">   852791</v>
      </c>
      <c r="B11503" t="str">
        <f>T("   COMBINES A UN APPAREIL D'ENREGISTREMENT OU DE REPRODUCTION DU SON")</f>
        <v xml:space="preserve">   COMBINES A UN APPAREIL D'ENREGISTREMENT OU DE REPRODUCTION DU SON</v>
      </c>
      <c r="C11503" s="4">
        <v>11</v>
      </c>
      <c r="D11503" s="4">
        <v>303394</v>
      </c>
    </row>
    <row r="11504" spans="1:4" x14ac:dyDescent="0.25">
      <c r="A11504" t="str">
        <f>T("   852799")</f>
        <v xml:space="preserve">   852799</v>
      </c>
      <c r="B11504" t="str">
        <f>T("   AUTRES")</f>
        <v xml:space="preserve">   AUTRES</v>
      </c>
      <c r="C11504" s="4">
        <v>7</v>
      </c>
      <c r="D11504" s="4">
        <v>51233</v>
      </c>
    </row>
    <row r="11505" spans="1:4" x14ac:dyDescent="0.25">
      <c r="A11505" t="str">
        <f>T("   852849")</f>
        <v xml:space="preserve">   852849</v>
      </c>
      <c r="B11505" t="str">
        <f>T("   AUTRES")</f>
        <v xml:space="preserve">   AUTRES</v>
      </c>
      <c r="C11505" s="4">
        <v>1003</v>
      </c>
      <c r="D11505" s="4">
        <v>1141619</v>
      </c>
    </row>
    <row r="11506" spans="1:4" x14ac:dyDescent="0.25">
      <c r="A11506" t="str">
        <f>T("   852859")</f>
        <v xml:space="preserve">   852859</v>
      </c>
      <c r="B11506" t="str">
        <f>T("   AUTRES")</f>
        <v xml:space="preserve">   AUTRES</v>
      </c>
      <c r="C11506" s="4">
        <v>10000</v>
      </c>
      <c r="D11506" s="4">
        <v>1700000</v>
      </c>
    </row>
    <row r="11507" spans="1:4" x14ac:dyDescent="0.25">
      <c r="A11507" t="str">
        <f>T("   852872")</f>
        <v xml:space="preserve">   852872</v>
      </c>
      <c r="B11507" t="str">
        <f>T("   AUTRES, EN COULEURS")</f>
        <v xml:space="preserve">   AUTRES, EN COULEURS</v>
      </c>
      <c r="C11507" s="4">
        <v>120</v>
      </c>
      <c r="D11507" s="4">
        <v>448107</v>
      </c>
    </row>
    <row r="11508" spans="1:4" x14ac:dyDescent="0.25">
      <c r="A11508" t="str">
        <f>T("   852910")</f>
        <v xml:space="preserve">   852910</v>
      </c>
      <c r="B11508" t="str">
        <f>T("   ANTENNES ET REFLECTEURS D’ANTENNES DE TOUS TYPES; PARTIES RECONNAISSABLES COMME ETANT")</f>
        <v xml:space="preserve">   ANTENNES ET REFLECTEURS D’ANTENNES DE TOUS TYPES; PARTIES RECONNAISSABLES COMME ETANT</v>
      </c>
      <c r="C11508" s="4">
        <v>5253</v>
      </c>
      <c r="D11508" s="4">
        <v>60782382</v>
      </c>
    </row>
    <row r="11509" spans="1:4" x14ac:dyDescent="0.25">
      <c r="A11509" t="str">
        <f>T("   852990")</f>
        <v xml:space="preserve">   852990</v>
      </c>
      <c r="B11509" t="str">
        <f>T("   AUTRES")</f>
        <v xml:space="preserve">   AUTRES</v>
      </c>
      <c r="C11509" s="4">
        <v>2684</v>
      </c>
      <c r="D11509" s="4">
        <v>28525153</v>
      </c>
    </row>
    <row r="11510" spans="1:4" x14ac:dyDescent="0.25">
      <c r="A11510" t="str">
        <f>T("   853650")</f>
        <v xml:space="preserve">   853650</v>
      </c>
      <c r="B11510" t="str">
        <f>T("   AUTRES INTERRUPTEURS, SECTIONNEURS ET COMMUTATEURS")</f>
        <v xml:space="preserve">   AUTRES INTERRUPTEURS, SECTIONNEURS ET COMMUTATEURS</v>
      </c>
      <c r="C11510" s="4">
        <v>952</v>
      </c>
      <c r="D11510" s="4">
        <v>16290699</v>
      </c>
    </row>
    <row r="11511" spans="1:4" x14ac:dyDescent="0.25">
      <c r="A11511" t="str">
        <f>T("   853669")</f>
        <v xml:space="preserve">   853669</v>
      </c>
      <c r="B11511" t="str">
        <f>T("   AUTRES")</f>
        <v xml:space="preserve">   AUTRES</v>
      </c>
      <c r="C11511" s="4">
        <v>49</v>
      </c>
      <c r="D11511" s="4">
        <v>7708466</v>
      </c>
    </row>
    <row r="11512" spans="1:4" x14ac:dyDescent="0.25">
      <c r="A11512" t="str">
        <f>T("   853910")</f>
        <v xml:space="preserve">   853910</v>
      </c>
      <c r="B11512" t="str">
        <f>T("   ARTICLES DITS «PHARES ET PROJECTEURS SCELLES»")</f>
        <v xml:space="preserve">   ARTICLES DITS «PHARES ET PROJECTEURS SCELLES»</v>
      </c>
      <c r="C11512" s="4">
        <v>220</v>
      </c>
      <c r="D11512" s="4">
        <v>196668</v>
      </c>
    </row>
    <row r="11513" spans="1:4" x14ac:dyDescent="0.25">
      <c r="A11513" t="str">
        <f>T("   854129")</f>
        <v xml:space="preserve">   854129</v>
      </c>
      <c r="B11513" t="str">
        <f>T("   AUTRES")</f>
        <v xml:space="preserve">   AUTRES</v>
      </c>
      <c r="C11513" s="4">
        <v>15</v>
      </c>
      <c r="D11513" s="4">
        <v>1054235</v>
      </c>
    </row>
    <row r="11514" spans="1:4" x14ac:dyDescent="0.25">
      <c r="A11514" t="str">
        <f>T("   854140")</f>
        <v xml:space="preserve">   854140</v>
      </c>
      <c r="B11514" t="str">
        <f>T("   DISPOSITIFS PHOTOSENSIBLES A SEMICONDUCTEUR, Y COMPRIS LES CELLULES PHOTOVOLTAIQUES")</f>
        <v xml:space="preserve">   DISPOSITIFS PHOTOSENSIBLES A SEMICONDUCTEUR, Y COMPRIS LES CELLULES PHOTOVOLTAIQUES</v>
      </c>
      <c r="C11514" s="4">
        <v>11135</v>
      </c>
      <c r="D11514" s="4">
        <v>68313687</v>
      </c>
    </row>
    <row r="11515" spans="1:4" x14ac:dyDescent="0.25">
      <c r="A11515" t="str">
        <f>T("   854370")</f>
        <v xml:space="preserve">   854370</v>
      </c>
      <c r="B11515" t="str">
        <f>T("   AUTRES MACHINES ET APPAREILS")</f>
        <v xml:space="preserve">   AUTRES MACHINES ET APPAREILS</v>
      </c>
      <c r="C11515" s="4">
        <v>896</v>
      </c>
      <c r="D11515" s="4">
        <v>19388</v>
      </c>
    </row>
    <row r="11516" spans="1:4" x14ac:dyDescent="0.25">
      <c r="A11516" t="str">
        <f>T("   854420")</f>
        <v xml:space="preserve">   854420</v>
      </c>
      <c r="B11516" t="str">
        <f>T("   Cables coaxiaux et autres conducteurs electriques coaxiaux")</f>
        <v xml:space="preserve">   Cables coaxiaux et autres conducteurs electriques coaxiaux</v>
      </c>
      <c r="C11516" s="4">
        <v>3226</v>
      </c>
      <c r="D11516" s="4">
        <v>14024236</v>
      </c>
    </row>
    <row r="11517" spans="1:4" x14ac:dyDescent="0.25">
      <c r="A11517" t="str">
        <f>T("   854442")</f>
        <v xml:space="preserve">   854442</v>
      </c>
      <c r="B11517" t="str">
        <f>T("   MUNIS DE PIECES DE CONNEXION")</f>
        <v xml:space="preserve">   MUNIS DE PIECES DE CONNEXION</v>
      </c>
      <c r="C11517" s="4">
        <v>731</v>
      </c>
      <c r="D11517" s="4">
        <v>21965170</v>
      </c>
    </row>
    <row r="11518" spans="1:4" x14ac:dyDescent="0.25">
      <c r="A11518" t="str">
        <f>T("   854449")</f>
        <v xml:space="preserve">   854449</v>
      </c>
      <c r="B11518" t="str">
        <f>T("   AUTRES")</f>
        <v xml:space="preserve">   AUTRES</v>
      </c>
      <c r="C11518" s="4">
        <v>32</v>
      </c>
      <c r="D11518" s="4">
        <v>5105949</v>
      </c>
    </row>
    <row r="11519" spans="1:4" x14ac:dyDescent="0.25">
      <c r="A11519" t="str">
        <f>T("   854470")</f>
        <v xml:space="preserve">   854470</v>
      </c>
      <c r="B11519" t="str">
        <f>T("   Cables de fibres optiques")</f>
        <v xml:space="preserve">   Cables de fibres optiques</v>
      </c>
      <c r="C11519" s="4">
        <v>4100</v>
      </c>
      <c r="D11519" s="4">
        <v>7830908</v>
      </c>
    </row>
    <row r="11520" spans="1:4" x14ac:dyDescent="0.25">
      <c r="A11520" t="str">
        <f>T("   854590")</f>
        <v xml:space="preserve">   854590</v>
      </c>
      <c r="B11520" t="str">
        <f>T("   AUTRES")</f>
        <v xml:space="preserve">   AUTRES</v>
      </c>
      <c r="C11520" s="4">
        <v>179</v>
      </c>
      <c r="D11520" s="4">
        <v>14892</v>
      </c>
    </row>
    <row r="11521" spans="1:4" x14ac:dyDescent="0.25">
      <c r="A11521" t="str">
        <f>T("   854690")</f>
        <v xml:space="preserve">   854690</v>
      </c>
      <c r="B11521" t="str">
        <f>T("   AUTRES")</f>
        <v xml:space="preserve">   AUTRES</v>
      </c>
      <c r="C11521" s="4">
        <v>179</v>
      </c>
      <c r="D11521" s="4">
        <v>16490</v>
      </c>
    </row>
    <row r="11522" spans="1:4" x14ac:dyDescent="0.25">
      <c r="A11522" t="str">
        <f>T("   860110")</f>
        <v xml:space="preserve">   860110</v>
      </c>
      <c r="B11522" t="str">
        <f>T("   A SOURCE EXTERIEURE D'ELECTRICITE")</f>
        <v xml:space="preserve">   A SOURCE EXTERIEURE D'ELECTRICITE</v>
      </c>
      <c r="C11522" s="4">
        <v>358</v>
      </c>
      <c r="D11522" s="4">
        <v>2569771</v>
      </c>
    </row>
    <row r="11523" spans="1:4" x14ac:dyDescent="0.25">
      <c r="A11523" t="str">
        <f>T("   860900")</f>
        <v xml:space="preserve">   860900</v>
      </c>
      <c r="B11523" t="str">
        <f>T("   CADRES ET CONTENEURS (Y COMPRIS LES CONTENEURSCITERNES ET LES CONTENEURSRESERVOIRS) S")</f>
        <v xml:space="preserve">   CADRES ET CONTENEURS (Y COMPRIS LES CONTENEURSCITERNES ET LES CONTENEURSRESERVOIRS) S</v>
      </c>
      <c r="C11523" s="4">
        <v>23225</v>
      </c>
      <c r="D11523" s="4">
        <v>105413053</v>
      </c>
    </row>
    <row r="11524" spans="1:4" x14ac:dyDescent="0.25">
      <c r="A11524" t="str">
        <f>T("   870120")</f>
        <v xml:space="preserve">   870120</v>
      </c>
      <c r="B11524" t="str">
        <f>T("   TRACTEURS ROUTIERS POUR SEMIREMORQUES")</f>
        <v xml:space="preserve">   TRACTEURS ROUTIERS POUR SEMIREMORQUES</v>
      </c>
      <c r="C11524" s="4">
        <v>488173</v>
      </c>
      <c r="D11524" s="4">
        <v>243378419</v>
      </c>
    </row>
    <row r="11525" spans="1:4" x14ac:dyDescent="0.25">
      <c r="A11525" t="str">
        <f>T("   870190")</f>
        <v xml:space="preserve">   870190</v>
      </c>
      <c r="B11525" t="str">
        <f>T("   AUTRES")</f>
        <v xml:space="preserve">   AUTRES</v>
      </c>
      <c r="C11525" s="4">
        <v>8307</v>
      </c>
      <c r="D11525" s="4">
        <v>16693353</v>
      </c>
    </row>
    <row r="11526" spans="1:4" x14ac:dyDescent="0.25">
      <c r="A11526" t="str">
        <f>T("   870210")</f>
        <v xml:space="preserve">   870210</v>
      </c>
      <c r="B11526" t="str">
        <f>T("   A MOTEUR A PISTON A ALLUMAGE PAR COMPRESSION (DIESEL OU SEMIDIESEL)")</f>
        <v xml:space="preserve">   A MOTEUR A PISTON A ALLUMAGE PAR COMPRESSION (DIESEL OU SEMIDIESEL)</v>
      </c>
      <c r="C11526" s="4">
        <v>12494</v>
      </c>
      <c r="D11526" s="4">
        <v>40626800</v>
      </c>
    </row>
    <row r="11527" spans="1:4" x14ac:dyDescent="0.25">
      <c r="A11527" t="str">
        <f>T("   870290")</f>
        <v xml:space="preserve">   870290</v>
      </c>
      <c r="B11527" t="str">
        <f>T("   AUTRES")</f>
        <v xml:space="preserve">   AUTRES</v>
      </c>
      <c r="C11527" s="4">
        <v>19296</v>
      </c>
      <c r="D11527" s="4">
        <v>21898767</v>
      </c>
    </row>
    <row r="11528" spans="1:4" x14ac:dyDescent="0.25">
      <c r="A11528" t="str">
        <f>T("   870321")</f>
        <v xml:space="preserve">   870321</v>
      </c>
      <c r="B11528" t="str">
        <f>T("   D’UNE CYLINDREE N’EXCEDANT PAS 1.000 CM³")</f>
        <v xml:space="preserve">   D’UNE CYLINDREE N’EXCEDANT PAS 1.000 CM³</v>
      </c>
      <c r="C11528" s="4">
        <v>4655</v>
      </c>
      <c r="D11528" s="4">
        <v>8738394</v>
      </c>
    </row>
    <row r="11529" spans="1:4" x14ac:dyDescent="0.25">
      <c r="A11529" t="str">
        <f>T("   870322")</f>
        <v xml:space="preserve">   870322</v>
      </c>
      <c r="B11529" t="str">
        <f>T("   D’UNE CYLINDREE EXCEDANT 1.000 CM³ MAIS N’EXCEDANT PAS 1.500 CM³")</f>
        <v xml:space="preserve">   D’UNE CYLINDREE EXCEDANT 1.000 CM³ MAIS N’EXCEDANT PAS 1.500 CM³</v>
      </c>
      <c r="C11529" s="4">
        <v>435155</v>
      </c>
      <c r="D11529" s="4">
        <v>631771886</v>
      </c>
    </row>
    <row r="11530" spans="1:4" x14ac:dyDescent="0.25">
      <c r="A11530" t="str">
        <f>T("   870323")</f>
        <v xml:space="preserve">   870323</v>
      </c>
      <c r="B11530" t="str">
        <f>T("   D’UNE CYLINDREE EXCEDANT 1.500 CM³ MAIS N’EXCEDANT PAS 3.000 CM³")</f>
        <v xml:space="preserve">   D’UNE CYLINDREE EXCEDANT 1.500 CM³ MAIS N’EXCEDANT PAS 3.000 CM³</v>
      </c>
      <c r="C11530" s="4">
        <v>4878236</v>
      </c>
      <c r="D11530" s="4">
        <v>7105390699</v>
      </c>
    </row>
    <row r="11531" spans="1:4" x14ac:dyDescent="0.25">
      <c r="A11531" t="str">
        <f>T("   870324")</f>
        <v xml:space="preserve">   870324</v>
      </c>
      <c r="B11531" t="str">
        <f>T("   D’UNE CYLINDREE EXCEDANT 3.000 CM³")</f>
        <v xml:space="preserve">   D’UNE CYLINDREE EXCEDANT 3.000 CM³</v>
      </c>
      <c r="C11531" s="4">
        <v>1782436</v>
      </c>
      <c r="D11531" s="4">
        <v>3334874755</v>
      </c>
    </row>
    <row r="11532" spans="1:4" x14ac:dyDescent="0.25">
      <c r="A11532" t="str">
        <f>T("   870331")</f>
        <v xml:space="preserve">   870331</v>
      </c>
      <c r="B11532" t="str">
        <f>T("   D'UNE CYLINDREE N'EXCEDANT PAS 1.500 CM³")</f>
        <v xml:space="preserve">   D'UNE CYLINDREE N'EXCEDANT PAS 1.500 CM³</v>
      </c>
      <c r="C11532" s="4">
        <v>4469</v>
      </c>
      <c r="D11532" s="4">
        <v>7976654</v>
      </c>
    </row>
    <row r="11533" spans="1:4" x14ac:dyDescent="0.25">
      <c r="A11533" t="str">
        <f>T("   870332")</f>
        <v xml:space="preserve">   870332</v>
      </c>
      <c r="B11533" t="str">
        <f>T("   D'UNE CYLINDREE EXCEDANT 1.500 CM³ MAIS N'EXCEDANT PAS 2.500 CM³")</f>
        <v xml:space="preserve">   D'UNE CYLINDREE EXCEDANT 1.500 CM³ MAIS N'EXCEDANT PAS 2.500 CM³</v>
      </c>
      <c r="C11533" s="4">
        <v>15661</v>
      </c>
      <c r="D11533" s="4">
        <v>20004054</v>
      </c>
    </row>
    <row r="11534" spans="1:4" x14ac:dyDescent="0.25">
      <c r="A11534" t="str">
        <f>T("   870333")</f>
        <v xml:space="preserve">   870333</v>
      </c>
      <c r="B11534" t="str">
        <f>T("   D'UNE CYLINDREE EXCEDANT 2.500 CM³")</f>
        <v xml:space="preserve">   D'UNE CYLINDREE EXCEDANT 2.500 CM³</v>
      </c>
      <c r="C11534" s="4">
        <v>82950</v>
      </c>
      <c r="D11534" s="4">
        <v>131749305</v>
      </c>
    </row>
    <row r="11535" spans="1:4" x14ac:dyDescent="0.25">
      <c r="A11535" t="str">
        <f>T("   870421")</f>
        <v xml:space="preserve">   870421</v>
      </c>
      <c r="B11535" t="str">
        <f>T("   D'UN POIDS EN CHARGE MAXIMAL N'EXCEDANT PAS 5 TONNES")</f>
        <v xml:space="preserve">   D'UN POIDS EN CHARGE MAXIMAL N'EXCEDANT PAS 5 TONNES</v>
      </c>
      <c r="C11535" s="4">
        <v>83912</v>
      </c>
      <c r="D11535" s="4">
        <v>72191042</v>
      </c>
    </row>
    <row r="11536" spans="1:4" x14ac:dyDescent="0.25">
      <c r="A11536" t="str">
        <f>T("   870422")</f>
        <v xml:space="preserve">   870422</v>
      </c>
      <c r="B11536" t="str">
        <f>T("   D'UN POIDS EN CHARGE MAXIMAL EXCEDANT 5 TONNES MAIS N'EXCEDANT PAS 20 TONNES")</f>
        <v xml:space="preserve">   D'UN POIDS EN CHARGE MAXIMAL EXCEDANT 5 TONNES MAIS N'EXCEDANT PAS 20 TONNES</v>
      </c>
      <c r="C11536" s="4">
        <v>151210</v>
      </c>
      <c r="D11536" s="4">
        <v>42318202</v>
      </c>
    </row>
    <row r="11537" spans="1:4" x14ac:dyDescent="0.25">
      <c r="A11537" t="str">
        <f>T("   870423")</f>
        <v xml:space="preserve">   870423</v>
      </c>
      <c r="B11537" t="str">
        <f>T("   D'UN POIDS EN CHARGE MAXIMAL EXCEDANT 20 TONNES")</f>
        <v xml:space="preserve">   D'UN POIDS EN CHARGE MAXIMAL EXCEDANT 20 TONNES</v>
      </c>
      <c r="C11537" s="4">
        <v>38340</v>
      </c>
      <c r="D11537" s="4">
        <v>10047656</v>
      </c>
    </row>
    <row r="11538" spans="1:4" x14ac:dyDescent="0.25">
      <c r="A11538" t="str">
        <f>T("   870431")</f>
        <v xml:space="preserve">   870431</v>
      </c>
      <c r="B11538" t="str">
        <f>T("   D'UN POIDS EN CHARGE MAXIMAL N'EXCEDANT PAS 5 TONNES")</f>
        <v xml:space="preserve">   D'UN POIDS EN CHARGE MAXIMAL N'EXCEDANT PAS 5 TONNES</v>
      </c>
      <c r="C11538" s="4">
        <v>230854</v>
      </c>
      <c r="D11538" s="4">
        <v>319747108</v>
      </c>
    </row>
    <row r="11539" spans="1:4" x14ac:dyDescent="0.25">
      <c r="A11539" t="str">
        <f>T("   870490")</f>
        <v xml:space="preserve">   870490</v>
      </c>
      <c r="B11539" t="str">
        <f>T("   AUTRES")</f>
        <v xml:space="preserve">   AUTRES</v>
      </c>
      <c r="C11539" s="4">
        <v>1425</v>
      </c>
      <c r="D11539" s="4">
        <v>5060800</v>
      </c>
    </row>
    <row r="11540" spans="1:4" x14ac:dyDescent="0.25">
      <c r="A11540" t="str">
        <f>T("   870540")</f>
        <v xml:space="preserve">   870540</v>
      </c>
      <c r="B11540" t="str">
        <f>T("   CAMIONSBETONNIERES")</f>
        <v xml:space="preserve">   CAMIONSBETONNIERES</v>
      </c>
      <c r="C11540" s="4">
        <v>12047</v>
      </c>
      <c r="D11540" s="4">
        <v>20606500</v>
      </c>
    </row>
    <row r="11541" spans="1:4" x14ac:dyDescent="0.25">
      <c r="A11541" t="str">
        <f>T("   870590")</f>
        <v xml:space="preserve">   870590</v>
      </c>
      <c r="B11541" t="str">
        <f>T("   AUTRES")</f>
        <v xml:space="preserve">   AUTRES</v>
      </c>
      <c r="C11541" s="4">
        <v>27687</v>
      </c>
      <c r="D11541" s="4">
        <v>52857163</v>
      </c>
    </row>
    <row r="11542" spans="1:4" x14ac:dyDescent="0.25">
      <c r="A11542" t="str">
        <f>T("   870710")</f>
        <v xml:space="preserve">   870710</v>
      </c>
      <c r="B11542" t="str">
        <f>T("   DES VEHICULES DU N° 87.03")</f>
        <v xml:space="preserve">   DES VEHICULES DU N° 87.03</v>
      </c>
      <c r="C11542" s="4">
        <v>998</v>
      </c>
      <c r="D11542" s="4">
        <v>300000</v>
      </c>
    </row>
    <row r="11543" spans="1:4" x14ac:dyDescent="0.25">
      <c r="A11543" t="str">
        <f>T("   870810")</f>
        <v xml:space="preserve">   870810</v>
      </c>
      <c r="B11543" t="str">
        <f>T("   PARECHOCS ET LEURS PARTIES")</f>
        <v xml:space="preserve">   PARECHOCS ET LEURS PARTIES</v>
      </c>
      <c r="C11543" s="4">
        <v>54</v>
      </c>
      <c r="D11543" s="4">
        <v>59250</v>
      </c>
    </row>
    <row r="11544" spans="1:4" x14ac:dyDescent="0.25">
      <c r="A11544" t="str">
        <f>T("   870829")</f>
        <v xml:space="preserve">   870829</v>
      </c>
      <c r="B11544" t="str">
        <f>T("   AUTRES")</f>
        <v xml:space="preserve">   AUTRES</v>
      </c>
      <c r="C11544" s="4">
        <v>46</v>
      </c>
      <c r="D11544" s="4">
        <v>120000</v>
      </c>
    </row>
    <row r="11545" spans="1:4" x14ac:dyDescent="0.25">
      <c r="A11545" t="str">
        <f>T("   870891")</f>
        <v xml:space="preserve">   870891</v>
      </c>
      <c r="B11545" t="str">
        <f>T("   RADIATEURS ET LEURS PARTIES")</f>
        <v xml:space="preserve">   RADIATEURS ET LEURS PARTIES</v>
      </c>
      <c r="C11545" s="4">
        <v>55</v>
      </c>
      <c r="D11545" s="4">
        <v>118500</v>
      </c>
    </row>
    <row r="11546" spans="1:4" x14ac:dyDescent="0.25">
      <c r="A11546" t="str">
        <f>T("   870899")</f>
        <v xml:space="preserve">   870899</v>
      </c>
      <c r="B11546" t="str">
        <f>T("   AUTRES")</f>
        <v xml:space="preserve">   AUTRES</v>
      </c>
      <c r="C11546" s="4">
        <v>456.26</v>
      </c>
      <c r="D11546" s="4">
        <v>3961686</v>
      </c>
    </row>
    <row r="11547" spans="1:4" x14ac:dyDescent="0.25">
      <c r="A11547" t="str">
        <f>T("   871110")</f>
        <v xml:space="preserve">   871110</v>
      </c>
      <c r="B11547" t="str">
        <f>T("   A MOTEUR A PISTON ALTERNATIF, D'UNE CYLINDREE N'EXCEDANT PAS 50 CM³")</f>
        <v xml:space="preserve">   A MOTEUR A PISTON ALTERNATIF, D'UNE CYLINDREE N'EXCEDANT PAS 50 CM³</v>
      </c>
      <c r="C11547" s="4">
        <v>2042</v>
      </c>
      <c r="D11547" s="4">
        <v>970000</v>
      </c>
    </row>
    <row r="11548" spans="1:4" x14ac:dyDescent="0.25">
      <c r="A11548" t="str">
        <f>T("   871120")</f>
        <v xml:space="preserve">   871120</v>
      </c>
      <c r="B11548" t="str">
        <f>T("   A MOTEUR A PISTON ALTERNATIF, D'UNE CYLINDREE EXCEDANT 50 CM³ MAIS N'EXCEDANT PAS 250")</f>
        <v xml:space="preserve">   A MOTEUR A PISTON ALTERNATIF, D'UNE CYLINDREE EXCEDANT 50 CM³ MAIS N'EXCEDANT PAS 250</v>
      </c>
      <c r="C11548" s="4">
        <v>14866</v>
      </c>
      <c r="D11548" s="4">
        <v>57544768</v>
      </c>
    </row>
    <row r="11549" spans="1:4" x14ac:dyDescent="0.25">
      <c r="A11549" t="str">
        <f>T("   871140")</f>
        <v xml:space="preserve">   871140</v>
      </c>
      <c r="B11549" t="str">
        <f>T("   A MOTEUR A PISTON ALTERNATIF, D'UNE CYLINDREE EXCEDANT 500 CM³ MAIS N'EXCEDANT PAS 80")</f>
        <v xml:space="preserve">   A MOTEUR A PISTON ALTERNATIF, D'UNE CYLINDREE EXCEDANT 500 CM³ MAIS N'EXCEDANT PAS 80</v>
      </c>
      <c r="C11549" s="4">
        <v>200</v>
      </c>
      <c r="D11549" s="4">
        <v>300000</v>
      </c>
    </row>
    <row r="11550" spans="1:4" x14ac:dyDescent="0.25">
      <c r="A11550" t="str">
        <f>T("   871200")</f>
        <v xml:space="preserve">   871200</v>
      </c>
      <c r="B11550" t="str">
        <f>T("   BICYCLETTES ET AUTRES CYCLES (Y COMPRIS LES TRIPORTEURS), SANS MOTEUR.")</f>
        <v xml:space="preserve">   BICYCLETTES ET AUTRES CYCLES (Y COMPRIS LES TRIPORTEURS), SANS MOTEUR.</v>
      </c>
      <c r="C11550" s="4">
        <v>59623</v>
      </c>
      <c r="D11550" s="4">
        <v>19767379</v>
      </c>
    </row>
    <row r="11551" spans="1:4" x14ac:dyDescent="0.25">
      <c r="A11551" t="str">
        <f>T("   871491")</f>
        <v xml:space="preserve">   871491</v>
      </c>
      <c r="B11551" t="str">
        <f>T("   CADRES ET FOURCHES, ET LEURS PARTIES")</f>
        <v xml:space="preserve">   CADRES ET FOURCHES, ET LEURS PARTIES</v>
      </c>
      <c r="C11551" s="4">
        <v>1427</v>
      </c>
      <c r="D11551" s="4">
        <v>258700</v>
      </c>
    </row>
    <row r="11552" spans="1:4" x14ac:dyDescent="0.25">
      <c r="A11552" t="str">
        <f>T("   871631")</f>
        <v xml:space="preserve">   871631</v>
      </c>
      <c r="B11552" t="str">
        <f>T("   CITERNES")</f>
        <v xml:space="preserve">   CITERNES</v>
      </c>
      <c r="C11552" s="4">
        <v>7500</v>
      </c>
      <c r="D11552" s="4">
        <v>1200000</v>
      </c>
    </row>
    <row r="11553" spans="1:4" x14ac:dyDescent="0.25">
      <c r="A11553" t="str">
        <f>T("   871639")</f>
        <v xml:space="preserve">   871639</v>
      </c>
      <c r="B11553" t="str">
        <f>T("   AUTRES")</f>
        <v xml:space="preserve">   AUTRES</v>
      </c>
      <c r="C11553" s="4">
        <v>81135</v>
      </c>
      <c r="D11553" s="4">
        <v>29998967</v>
      </c>
    </row>
    <row r="11554" spans="1:4" x14ac:dyDescent="0.25">
      <c r="A11554" t="str">
        <f>T("   871640")</f>
        <v xml:space="preserve">   871640</v>
      </c>
      <c r="B11554" t="str">
        <f>T("   AUTRES REMORQUES ET SEMIREMORQUES")</f>
        <v xml:space="preserve">   AUTRES REMORQUES ET SEMIREMORQUES</v>
      </c>
      <c r="C11554" s="4">
        <v>88789</v>
      </c>
      <c r="D11554" s="4">
        <v>24005957</v>
      </c>
    </row>
    <row r="11555" spans="1:4" x14ac:dyDescent="0.25">
      <c r="A11555" t="str">
        <f>T("   880330")</f>
        <v xml:space="preserve">   880330</v>
      </c>
      <c r="B11555" t="str">
        <f>T("   AUTRES PARTIES D'AVIONS OU D'HELICOPTERES")</f>
        <v xml:space="preserve">   AUTRES PARTIES D'AVIONS OU D'HELICOPTERES</v>
      </c>
      <c r="C11555" s="4">
        <v>43</v>
      </c>
      <c r="D11555" s="4">
        <v>3634795</v>
      </c>
    </row>
    <row r="11556" spans="1:4" x14ac:dyDescent="0.25">
      <c r="A11556" t="str">
        <f>T("   880390")</f>
        <v xml:space="preserve">   880390</v>
      </c>
      <c r="B11556" t="str">
        <f>T("   AUTRES")</f>
        <v xml:space="preserve">   AUTRES</v>
      </c>
      <c r="C11556" s="4">
        <v>3937</v>
      </c>
      <c r="D11556" s="4">
        <v>6002759</v>
      </c>
    </row>
    <row r="11557" spans="1:4" x14ac:dyDescent="0.25">
      <c r="A11557" t="str">
        <f>T("   890200")</f>
        <v xml:space="preserve">   890200</v>
      </c>
      <c r="B11557" t="str">
        <f>T("   BATEAUX DE PECHE; NAVIRESUSINES ET AUTRES BATEAUX POUR LE TRAITEMENT OU LA MISE EN CON")</f>
        <v xml:space="preserve">   BATEAUX DE PECHE; NAVIRESUSINES ET AUTRES BATEAUX POUR LE TRAITEMENT OU LA MISE EN CON</v>
      </c>
      <c r="C11557" s="4">
        <v>1166</v>
      </c>
      <c r="D11557" s="4">
        <v>2091163</v>
      </c>
    </row>
    <row r="11558" spans="1:4" x14ac:dyDescent="0.25">
      <c r="A11558" t="str">
        <f>T("   890399")</f>
        <v xml:space="preserve">   890399</v>
      </c>
      <c r="B11558" t="str">
        <f>T("   AUTRES")</f>
        <v xml:space="preserve">   AUTRES</v>
      </c>
      <c r="C11558" s="4">
        <v>756</v>
      </c>
      <c r="D11558" s="4">
        <v>999775</v>
      </c>
    </row>
    <row r="11559" spans="1:4" x14ac:dyDescent="0.25">
      <c r="A11559" t="str">
        <f>T("   890590")</f>
        <v xml:space="preserve">   890590</v>
      </c>
      <c r="B11559" t="str">
        <f>T("   AUTRES")</f>
        <v xml:space="preserve">   AUTRES</v>
      </c>
      <c r="C11559" s="4">
        <v>8379264</v>
      </c>
      <c r="D11559" s="4">
        <v>73411864323</v>
      </c>
    </row>
    <row r="11560" spans="1:4" x14ac:dyDescent="0.25">
      <c r="A11560" t="str">
        <f>T("   890690")</f>
        <v xml:space="preserve">   890690</v>
      </c>
      <c r="B11560" t="str">
        <f>T("   AUTRES")</f>
        <v xml:space="preserve">   AUTRES</v>
      </c>
      <c r="C11560" s="4">
        <v>839</v>
      </c>
      <c r="D11560" s="4">
        <v>164305680</v>
      </c>
    </row>
    <row r="11561" spans="1:4" x14ac:dyDescent="0.25">
      <c r="A11561" t="str">
        <f>T("   890710")</f>
        <v xml:space="preserve">   890710</v>
      </c>
      <c r="B11561" t="str">
        <f>T("   RADEAUX GONFLABLES")</f>
        <v xml:space="preserve">   RADEAUX GONFLABLES</v>
      </c>
      <c r="C11561" s="4">
        <v>724</v>
      </c>
      <c r="D11561" s="4">
        <v>12852304</v>
      </c>
    </row>
    <row r="11562" spans="1:4" x14ac:dyDescent="0.25">
      <c r="A11562" t="str">
        <f>T("   900720")</f>
        <v xml:space="preserve">   900720</v>
      </c>
      <c r="B11562" t="str">
        <f>T("   PROJECTEURS")</f>
        <v xml:space="preserve">   PROJECTEURS</v>
      </c>
      <c r="C11562" s="4">
        <v>27</v>
      </c>
      <c r="D11562" s="4">
        <v>327616</v>
      </c>
    </row>
    <row r="11563" spans="1:4" x14ac:dyDescent="0.25">
      <c r="A11563" t="str">
        <f>T("   901010")</f>
        <v xml:space="preserve">   901010</v>
      </c>
      <c r="B11563" t="str">
        <f>T("   APPAREILS ET MATERIEL POUR LE DEVELOPPEMENT AUTOMATIQUE DES PELLICULES PHOTOGRAPHIQUE")</f>
        <v xml:space="preserve">   APPAREILS ET MATERIEL POUR LE DEVELOPPEMENT AUTOMATIQUE DES PELLICULES PHOTOGRAPHIQUE</v>
      </c>
      <c r="C11563" s="4">
        <v>18.18</v>
      </c>
      <c r="D11563" s="4">
        <v>71199</v>
      </c>
    </row>
    <row r="11564" spans="1:4" x14ac:dyDescent="0.25">
      <c r="A11564" t="str">
        <f>T("   901590")</f>
        <v xml:space="preserve">   901590</v>
      </c>
      <c r="B11564" t="str">
        <f>T("   PARTIES ET ACCESSOIRES")</f>
        <v xml:space="preserve">   PARTIES ET ACCESSOIRES</v>
      </c>
      <c r="C11564" s="4">
        <v>3844</v>
      </c>
      <c r="D11564" s="4">
        <v>15695674</v>
      </c>
    </row>
    <row r="11565" spans="1:4" x14ac:dyDescent="0.25">
      <c r="A11565" t="str">
        <f>T("   901819")</f>
        <v xml:space="preserve">   901819</v>
      </c>
      <c r="B11565" t="str">
        <f>T("   AUTRES")</f>
        <v xml:space="preserve">   AUTRES</v>
      </c>
      <c r="C11565" s="4">
        <v>3</v>
      </c>
      <c r="D11565" s="4">
        <v>404092</v>
      </c>
    </row>
    <row r="11566" spans="1:4" x14ac:dyDescent="0.25">
      <c r="A11566" t="str">
        <f>T("   901890")</f>
        <v xml:space="preserve">   901890</v>
      </c>
      <c r="B11566" t="str">
        <f>T("   AUTRES INSTRUMENTS ET APPAREILS")</f>
        <v xml:space="preserve">   AUTRES INSTRUMENTS ET APPAREILS</v>
      </c>
      <c r="C11566" s="4">
        <v>13067.27</v>
      </c>
      <c r="D11566" s="4">
        <v>6702007</v>
      </c>
    </row>
    <row r="11567" spans="1:4" x14ac:dyDescent="0.25">
      <c r="A11567" t="str">
        <f>T("   902214")</f>
        <v xml:space="preserve">   902214</v>
      </c>
      <c r="B11567" t="str">
        <f>T("   AUTRES, POUR USAGES MEDICAUX, CHIRURGICAUX OU VETERINAIRES")</f>
        <v xml:space="preserve">   AUTRES, POUR USAGES MEDICAUX, CHIRURGICAUX OU VETERINAIRES</v>
      </c>
      <c r="C11567" s="4">
        <v>62</v>
      </c>
      <c r="D11567" s="4">
        <v>4140149</v>
      </c>
    </row>
    <row r="11568" spans="1:4" x14ac:dyDescent="0.25">
      <c r="A11568" t="str">
        <f>T("   902300")</f>
        <v xml:space="preserve">   902300</v>
      </c>
      <c r="B11568" t="str">
        <f>T("   INSTRUMENTS, APPAREILS ET MODELES CONCUS POUR LA DEMONSTRATION (DANS L'ENSEIGNEMENT OU")</f>
        <v xml:space="preserve">   INSTRUMENTS, APPAREILS ET MODELES CONCUS POUR LA DEMONSTRATION (DANS L'ENSEIGNEMENT OU</v>
      </c>
      <c r="C11568" s="4">
        <v>3</v>
      </c>
      <c r="D11568" s="4">
        <v>204993</v>
      </c>
    </row>
    <row r="11569" spans="1:4" x14ac:dyDescent="0.25">
      <c r="A11569" t="str">
        <f>T("   902511")</f>
        <v xml:space="preserve">   902511</v>
      </c>
      <c r="B11569" t="str">
        <f>T("   A LIQUIDE, A LECTURE DIRECTE")</f>
        <v xml:space="preserve">   A LIQUIDE, A LECTURE DIRECTE</v>
      </c>
      <c r="C11569" s="4">
        <v>13</v>
      </c>
      <c r="D11569" s="4">
        <v>500047</v>
      </c>
    </row>
    <row r="11570" spans="1:4" x14ac:dyDescent="0.25">
      <c r="A11570" t="str">
        <f>T("   902519")</f>
        <v xml:space="preserve">   902519</v>
      </c>
      <c r="B11570" t="str">
        <f>T("   AUTRES")</f>
        <v xml:space="preserve">   AUTRES</v>
      </c>
      <c r="C11570" s="4">
        <v>7</v>
      </c>
      <c r="D11570" s="4">
        <v>140747</v>
      </c>
    </row>
    <row r="11571" spans="1:4" x14ac:dyDescent="0.25">
      <c r="A11571" t="str">
        <f>T("   902610")</f>
        <v xml:space="preserve">   902610</v>
      </c>
      <c r="B11571" t="str">
        <f>T("   POUR LA MESURE OU LE CONTROLE DU DEBIT OU DU NIVEAU DES LIQUIDES")</f>
        <v xml:space="preserve">   POUR LA MESURE OU LE CONTROLE DU DEBIT OU DU NIVEAU DES LIQUIDES</v>
      </c>
      <c r="C11571" s="4">
        <v>765</v>
      </c>
      <c r="D11571" s="4">
        <v>72884506</v>
      </c>
    </row>
    <row r="11572" spans="1:4" x14ac:dyDescent="0.25">
      <c r="A11572" t="str">
        <f>T("   902620")</f>
        <v xml:space="preserve">   902620</v>
      </c>
      <c r="B11572" t="str">
        <f>T("   POUR LA MESURE OU LE CONTROLE DE LA PRESSION")</f>
        <v xml:space="preserve">   POUR LA MESURE OU LE CONTROLE DE LA PRESSION</v>
      </c>
      <c r="C11572" s="4">
        <v>779</v>
      </c>
      <c r="D11572" s="4">
        <v>4610193</v>
      </c>
    </row>
    <row r="11573" spans="1:4" x14ac:dyDescent="0.25">
      <c r="A11573" t="str">
        <f>T("   902780")</f>
        <v xml:space="preserve">   902780</v>
      </c>
      <c r="B11573" t="str">
        <f>T("   AUTRES INSTRUMENTS ET APPAREILS")</f>
        <v xml:space="preserve">   AUTRES INSTRUMENTS ET APPAREILS</v>
      </c>
      <c r="C11573" s="4">
        <v>2698</v>
      </c>
      <c r="D11573" s="4">
        <v>21428901</v>
      </c>
    </row>
    <row r="11574" spans="1:4" x14ac:dyDescent="0.25">
      <c r="A11574" t="str">
        <f>T("   903039")</f>
        <v xml:space="preserve">   903039</v>
      </c>
      <c r="B11574" t="str">
        <f>T("   AUTRES, AVEC DISPOSITIF ENREGISTREUR")</f>
        <v xml:space="preserve">   AUTRES, AVEC DISPOSITIF ENREGISTREUR</v>
      </c>
      <c r="C11574" s="4">
        <v>10</v>
      </c>
      <c r="D11574" s="4">
        <v>22016543</v>
      </c>
    </row>
    <row r="11575" spans="1:4" x14ac:dyDescent="0.25">
      <c r="A11575" t="str">
        <f>T("   920710")</f>
        <v xml:space="preserve">   920710</v>
      </c>
      <c r="B11575" t="str">
        <f>T("   INSTRUMENTS A CLAVIER, AUTRES QUE LES ACCORDEONS")</f>
        <v xml:space="preserve">   INSTRUMENTS A CLAVIER, AUTRES QUE LES ACCORDEONS</v>
      </c>
      <c r="C11575" s="4">
        <v>246</v>
      </c>
      <c r="D11575" s="4">
        <v>1012649</v>
      </c>
    </row>
    <row r="11576" spans="1:4" x14ac:dyDescent="0.25">
      <c r="A11576" t="str">
        <f>T("   940159")</f>
        <v xml:space="preserve">   940159</v>
      </c>
      <c r="B11576" t="str">
        <f>T("   AUTRES")</f>
        <v xml:space="preserve">   AUTRES</v>
      </c>
      <c r="C11576" s="4">
        <v>907</v>
      </c>
      <c r="D11576" s="4">
        <v>1092299</v>
      </c>
    </row>
    <row r="11577" spans="1:4" x14ac:dyDescent="0.25">
      <c r="A11577" t="str">
        <f>T("   940171")</f>
        <v xml:space="preserve">   940171</v>
      </c>
      <c r="B11577" t="str">
        <f>T("   REMBOURRES")</f>
        <v xml:space="preserve">   REMBOURRES</v>
      </c>
      <c r="C11577" s="4">
        <v>365</v>
      </c>
      <c r="D11577" s="4">
        <v>898702</v>
      </c>
    </row>
    <row r="11578" spans="1:4" x14ac:dyDescent="0.25">
      <c r="A11578" t="str">
        <f>T("   940310")</f>
        <v xml:space="preserve">   940310</v>
      </c>
      <c r="B11578" t="str">
        <f>T("   MEUBLES EN METAL DES TYPES UTILISES DANS LES BUREAUX")</f>
        <v xml:space="preserve">   MEUBLES EN METAL DES TYPES UTILISES DANS LES BUREAUX</v>
      </c>
      <c r="C11578" s="4">
        <v>6200</v>
      </c>
      <c r="D11578" s="4">
        <v>725000</v>
      </c>
    </row>
    <row r="11579" spans="1:4" x14ac:dyDescent="0.25">
      <c r="A11579" t="str">
        <f>T("   940350")</f>
        <v xml:space="preserve">   940350</v>
      </c>
      <c r="B11579" t="str">
        <f>T("   MEUBLES EN BOIS DES TYPES UTILISES DANS LES CHAMBRES A COUCHER")</f>
        <v xml:space="preserve">   MEUBLES EN BOIS DES TYPES UTILISES DANS LES CHAMBRES A COUCHER</v>
      </c>
      <c r="C11579" s="4">
        <v>5092</v>
      </c>
      <c r="D11579" s="4">
        <v>6496002</v>
      </c>
    </row>
    <row r="11580" spans="1:4" x14ac:dyDescent="0.25">
      <c r="A11580" t="str">
        <f>T("   940360")</f>
        <v xml:space="preserve">   940360</v>
      </c>
      <c r="B11580" t="str">
        <f>T("   Autres meubles en bois")</f>
        <v xml:space="preserve">   Autres meubles en bois</v>
      </c>
      <c r="C11580" s="4">
        <v>71712</v>
      </c>
      <c r="D11580" s="4">
        <v>106748727</v>
      </c>
    </row>
    <row r="11581" spans="1:4" x14ac:dyDescent="0.25">
      <c r="A11581" t="str">
        <f>T("   940389")</f>
        <v xml:space="preserve">   940389</v>
      </c>
      <c r="B11581" t="str">
        <f>T("   AUTRES")</f>
        <v xml:space="preserve">   AUTRES</v>
      </c>
      <c r="C11581" s="4">
        <v>61466</v>
      </c>
      <c r="D11581" s="4">
        <v>33625254</v>
      </c>
    </row>
    <row r="11582" spans="1:4" x14ac:dyDescent="0.25">
      <c r="A11582" t="str">
        <f>T("   940390")</f>
        <v xml:space="preserve">   940390</v>
      </c>
      <c r="B11582" t="str">
        <f>T("   PARTIES")</f>
        <v xml:space="preserve">   PARTIES</v>
      </c>
      <c r="C11582" s="4">
        <v>14020</v>
      </c>
      <c r="D11582" s="4">
        <v>3303759</v>
      </c>
    </row>
    <row r="11583" spans="1:4" x14ac:dyDescent="0.25">
      <c r="A11583" t="str">
        <f>T("   940421")</f>
        <v xml:space="preserve">   940421</v>
      </c>
      <c r="B11583" t="str">
        <f>T("   EN CAOUTCHOUC ALVEOLAIRE OU EN MATIERES PLASTIQUES ALVEOLAIRES, RECOUVERTS OU NON")</f>
        <v xml:space="preserve">   EN CAOUTCHOUC ALVEOLAIRE OU EN MATIERES PLASTIQUES ALVEOLAIRES, RECOUVERTS OU NON</v>
      </c>
      <c r="C11583" s="4">
        <v>300</v>
      </c>
      <c r="D11583" s="4">
        <v>149369</v>
      </c>
    </row>
    <row r="11584" spans="1:4" x14ac:dyDescent="0.25">
      <c r="A11584" t="str">
        <f>T("   940429")</f>
        <v xml:space="preserve">   940429</v>
      </c>
      <c r="B11584" t="str">
        <f>T("   EN AUTRES MATIERES")</f>
        <v xml:space="preserve">   EN AUTRES MATIERES</v>
      </c>
      <c r="C11584" s="4">
        <v>3515</v>
      </c>
      <c r="D11584" s="4">
        <v>1514834</v>
      </c>
    </row>
    <row r="11585" spans="1:4" x14ac:dyDescent="0.25">
      <c r="A11585" t="str">
        <f>T("   940490")</f>
        <v xml:space="preserve">   940490</v>
      </c>
      <c r="B11585" t="str">
        <f>T("   AUTRES")</f>
        <v xml:space="preserve">   AUTRES</v>
      </c>
      <c r="C11585" s="4">
        <v>445</v>
      </c>
      <c r="D11585" s="4">
        <v>479818</v>
      </c>
    </row>
    <row r="11586" spans="1:4" x14ac:dyDescent="0.25">
      <c r="A11586" t="str">
        <f>T("   940540")</f>
        <v xml:space="preserve">   940540</v>
      </c>
      <c r="B11586" t="str">
        <f>T("   AUTRES APPAREILS D'ECLAIRAGE ELECTRIQUES")</f>
        <v xml:space="preserve">   AUTRES APPAREILS D'ECLAIRAGE ELECTRIQUES</v>
      </c>
      <c r="C11586" s="4">
        <v>1257</v>
      </c>
      <c r="D11586" s="4">
        <v>1100000</v>
      </c>
    </row>
    <row r="11587" spans="1:4" x14ac:dyDescent="0.25">
      <c r="A11587" t="str">
        <f>T("   940600")</f>
        <v xml:space="preserve">   940600</v>
      </c>
      <c r="B11587" t="str">
        <f>T("   CONSTRUCTIONS PREFABRIQUEES.")</f>
        <v xml:space="preserve">   CONSTRUCTIONS PREFABRIQUEES.</v>
      </c>
      <c r="C11587" s="4">
        <v>46947</v>
      </c>
      <c r="D11587" s="4">
        <v>10306447</v>
      </c>
    </row>
    <row r="11588" spans="1:4" x14ac:dyDescent="0.25">
      <c r="A11588" t="str">
        <f>T("   950300")</f>
        <v xml:space="preserve">   950300</v>
      </c>
      <c r="B11588" t="str">
        <f>T("   TRICYCLES, TROTTINETTES, AUTOS A PEDALES ET JOUETS A ROUES SIMILAIRES; LANDAUS ET POUSS")</f>
        <v xml:space="preserve">   TRICYCLES, TROTTINETTES, AUTOS A PEDALES ET JOUETS A ROUES SIMILAIRES; LANDAUS ET POUSS</v>
      </c>
      <c r="C11588" s="4">
        <v>168245</v>
      </c>
      <c r="D11588" s="4">
        <v>56382657</v>
      </c>
    </row>
    <row r="11589" spans="1:4" x14ac:dyDescent="0.25">
      <c r="A11589" t="str">
        <f>T("   950490")</f>
        <v xml:space="preserve">   950490</v>
      </c>
      <c r="B11589" t="str">
        <f>T("   AUTRES")</f>
        <v xml:space="preserve">   AUTRES</v>
      </c>
      <c r="C11589" s="4">
        <v>8.06</v>
      </c>
      <c r="D11589" s="4">
        <v>79907</v>
      </c>
    </row>
    <row r="11590" spans="1:4" x14ac:dyDescent="0.25">
      <c r="A11590" t="str">
        <f>T("   950629")</f>
        <v xml:space="preserve">   950629</v>
      </c>
      <c r="B11590" t="str">
        <f>T("   AUTRES")</f>
        <v xml:space="preserve">   AUTRES</v>
      </c>
      <c r="C11590" s="4">
        <v>185</v>
      </c>
      <c r="D11590" s="4">
        <v>108541</v>
      </c>
    </row>
    <row r="11591" spans="1:4" x14ac:dyDescent="0.25">
      <c r="A11591" t="str">
        <f>T("   950699")</f>
        <v xml:space="preserve">   950699</v>
      </c>
      <c r="B11591" t="str">
        <f>T("   AUTRES")</f>
        <v xml:space="preserve">   AUTRES</v>
      </c>
      <c r="C11591" s="4">
        <v>1258</v>
      </c>
      <c r="D11591" s="4">
        <v>1120011</v>
      </c>
    </row>
    <row r="11592" spans="1:4" x14ac:dyDescent="0.25">
      <c r="A11592" t="str">
        <f>T("   960500")</f>
        <v xml:space="preserve">   960500</v>
      </c>
      <c r="B11592" t="str">
        <f>T("   ASSORTIMENTS DE VOYAGE POUR LA TOILETTE DES PERSONNES, LA COUTURE OU LE NETTOYAGE DES C")</f>
        <v xml:space="preserve">   ASSORTIMENTS DE VOYAGE POUR LA TOILETTE DES PERSONNES, LA COUTURE OU LE NETTOYAGE DES C</v>
      </c>
      <c r="C11592" s="4">
        <v>17154</v>
      </c>
      <c r="D11592" s="4">
        <v>13053604</v>
      </c>
    </row>
    <row r="11593" spans="1:4" x14ac:dyDescent="0.25">
      <c r="A11593" t="str">
        <f>T("   961000")</f>
        <v xml:space="preserve">   961000</v>
      </c>
      <c r="B11593" t="str">
        <f>T("   ARDOISES ET TABLEAUX POUR L'ECRITURE OU LE DESSIN, MEME ENCADRES.")</f>
        <v xml:space="preserve">   ARDOISES ET TABLEAUX POUR L'ECRITURE OU LE DESSIN, MEME ENCADRES.</v>
      </c>
      <c r="C11593" s="4">
        <v>2.88</v>
      </c>
      <c r="D11593" s="4">
        <v>38497</v>
      </c>
    </row>
    <row r="11594" spans="1:4" x14ac:dyDescent="0.25">
      <c r="A11594" t="str">
        <f>T("   970300")</f>
        <v xml:space="preserve">   970300</v>
      </c>
      <c r="B11594" t="str">
        <f>T("   PRODUCTIONS ORIGINALES DE L'ART STATUAIRE OU DE LA SCULPTURE, EN TOUTES MATIERES.")</f>
        <v xml:space="preserve">   PRODUCTIONS ORIGINALES DE L'ART STATUAIRE OU DE LA SCULPTURE, EN TOUTES MATIERES.</v>
      </c>
      <c r="C11594" s="4">
        <v>2320</v>
      </c>
      <c r="D11594" s="4">
        <v>2000000</v>
      </c>
    </row>
    <row r="11595" spans="1:4" s="5" customFormat="1" x14ac:dyDescent="0.25">
      <c r="A11595" s="5" t="str">
        <f>T("   ZZ_Total_Produit_SH6")</f>
        <v xml:space="preserve">   ZZ_Total_Produit_SH6</v>
      </c>
      <c r="B11595" s="5" t="str">
        <f>T("   ZZ_Total_Produit_SH6")</f>
        <v xml:space="preserve">   ZZ_Total_Produit_SH6</v>
      </c>
      <c r="C11595" s="1">
        <v>71513484.670000002</v>
      </c>
      <c r="D11595" s="1">
        <v>108700141171.90199</v>
      </c>
    </row>
    <row r="11596" spans="1:4" s="5" customFormat="1" x14ac:dyDescent="0.25">
      <c r="B11596" s="5" t="str">
        <f>T("Uruguay")</f>
        <v>Uruguay</v>
      </c>
      <c r="C11596" s="1"/>
      <c r="D11596" s="1"/>
    </row>
    <row r="11597" spans="1:4" x14ac:dyDescent="0.25">
      <c r="A11597" t="str">
        <f>T("   020714")</f>
        <v xml:space="preserve">   020714</v>
      </c>
      <c r="B11597" t="str">
        <f>T("   MORCEAUX ET ABATS, CONGELES")</f>
        <v xml:space="preserve">   MORCEAUX ET ABATS, CONGELES</v>
      </c>
      <c r="C11597" s="4">
        <v>126000</v>
      </c>
      <c r="D11597" s="4">
        <v>77750188</v>
      </c>
    </row>
    <row r="11598" spans="1:4" x14ac:dyDescent="0.25">
      <c r="A11598" t="str">
        <f>T("   030219")</f>
        <v xml:space="preserve">   030219</v>
      </c>
      <c r="B11598" t="str">
        <f>T("   AUTRES")</f>
        <v xml:space="preserve">   AUTRES</v>
      </c>
      <c r="C11598" s="4">
        <v>418940</v>
      </c>
      <c r="D11598" s="4">
        <v>168044000</v>
      </c>
    </row>
    <row r="11599" spans="1:4" x14ac:dyDescent="0.25">
      <c r="A11599" t="str">
        <f>T("   030269")</f>
        <v xml:space="preserve">   030269</v>
      </c>
      <c r="B11599" t="str">
        <f>T("   Autres poissons entiers,frais ou refrigeres.(foies,oeufs laitances exclus)")</f>
        <v xml:space="preserve">   Autres poissons entiers,frais ou refrigeres.(foies,oeufs laitances exclus)</v>
      </c>
      <c r="C11599" s="4">
        <v>562540</v>
      </c>
      <c r="D11599" s="4">
        <v>225016000</v>
      </c>
    </row>
    <row r="11600" spans="1:4" x14ac:dyDescent="0.25">
      <c r="A11600" t="str">
        <f>T("   030379")</f>
        <v xml:space="preserve">   030379</v>
      </c>
      <c r="B11600" t="str">
        <f>T("   AUTRES POISSONS ENTIERS CONGELES.(FOIES,OEUFS,LAITANCES EXCLUS)")</f>
        <v xml:space="preserve">   AUTRES POISSONS ENTIERS CONGELES.(FOIES,OEUFS,LAITANCES EXCLUS)</v>
      </c>
      <c r="C11600" s="4">
        <v>1125620</v>
      </c>
      <c r="D11600" s="4">
        <v>377721184</v>
      </c>
    </row>
    <row r="11601" spans="1:4" x14ac:dyDescent="0.25">
      <c r="A11601" t="str">
        <f>T("   100640")</f>
        <v xml:space="preserve">   100640</v>
      </c>
      <c r="B11601" t="str">
        <f>T("   RIZ EN BRISURES")</f>
        <v xml:space="preserve">   RIZ EN BRISURES</v>
      </c>
      <c r="C11601" s="4">
        <v>8100300</v>
      </c>
      <c r="D11601" s="4">
        <v>3029776618.4520001</v>
      </c>
    </row>
    <row r="11602" spans="1:4" x14ac:dyDescent="0.25">
      <c r="A11602" t="str">
        <f>T("   170191")</f>
        <v xml:space="preserve">   170191</v>
      </c>
      <c r="B11602" t="str">
        <f>T("   ADDITIONNES D'AROMATISANTS OU DE COLORANTS")</f>
        <v xml:space="preserve">   ADDITIONNES D'AROMATISANTS OU DE COLORANTS</v>
      </c>
      <c r="C11602" s="4">
        <v>675437</v>
      </c>
      <c r="D11602" s="4">
        <v>54745547</v>
      </c>
    </row>
    <row r="11603" spans="1:4" x14ac:dyDescent="0.25">
      <c r="A11603" t="str">
        <f>T("   170199")</f>
        <v xml:space="preserve">   170199</v>
      </c>
      <c r="B11603" t="str">
        <f>T("   AUTRES")</f>
        <v xml:space="preserve">   AUTRES</v>
      </c>
      <c r="C11603" s="4">
        <v>135410</v>
      </c>
      <c r="D11603" s="4">
        <v>29189206.550000001</v>
      </c>
    </row>
    <row r="11604" spans="1:4" x14ac:dyDescent="0.25">
      <c r="A11604" t="str">
        <f>T("   620590")</f>
        <v xml:space="preserve">   620590</v>
      </c>
      <c r="B11604" t="str">
        <f>T("   D'AUTRES MATIERES TEXTILES")</f>
        <v xml:space="preserve">   D'AUTRES MATIERES TEXTILES</v>
      </c>
      <c r="C11604" s="4">
        <v>850</v>
      </c>
      <c r="D11604" s="4">
        <v>1200000</v>
      </c>
    </row>
    <row r="11605" spans="1:4" x14ac:dyDescent="0.25">
      <c r="A11605" t="str">
        <f>T("   732394")</f>
        <v xml:space="preserve">   732394</v>
      </c>
      <c r="B11605" t="str">
        <f>T("   EN FER OU EN ACIER, EMAILLES")</f>
        <v xml:space="preserve">   EN FER OU EN ACIER, EMAILLES</v>
      </c>
      <c r="C11605" s="4">
        <v>510</v>
      </c>
      <c r="D11605" s="4">
        <v>300000</v>
      </c>
    </row>
    <row r="11606" spans="1:4" x14ac:dyDescent="0.25">
      <c r="A11606" t="str">
        <f>T("   940350")</f>
        <v xml:space="preserve">   940350</v>
      </c>
      <c r="B11606" t="str">
        <f>T("   MEUBLES EN BOIS DES TYPES UTILISES DANS LES CHAMBRES A COUCHER")</f>
        <v xml:space="preserve">   MEUBLES EN BOIS DES TYPES UTILISES DANS LES CHAMBRES A COUCHER</v>
      </c>
      <c r="C11606" s="4">
        <v>1750</v>
      </c>
      <c r="D11606" s="4">
        <v>2500000</v>
      </c>
    </row>
    <row r="11607" spans="1:4" s="5" customFormat="1" x14ac:dyDescent="0.25">
      <c r="A11607" s="5" t="str">
        <f>T("   ZZ_Total_Produit_SH6")</f>
        <v xml:space="preserve">   ZZ_Total_Produit_SH6</v>
      </c>
      <c r="B11607" s="5" t="str">
        <f>T("   ZZ_Total_Produit_SH6")</f>
        <v xml:space="preserve">   ZZ_Total_Produit_SH6</v>
      </c>
      <c r="C11607" s="1">
        <v>11147357</v>
      </c>
      <c r="D11607" s="1">
        <v>3966242744.0029998</v>
      </c>
    </row>
    <row r="11608" spans="1:4" s="5" customFormat="1" x14ac:dyDescent="0.25">
      <c r="B11608" s="5" t="str">
        <f>T("Venezuela")</f>
        <v>Venezuela</v>
      </c>
      <c r="C11608" s="1"/>
      <c r="D11608" s="1"/>
    </row>
    <row r="11609" spans="1:4" x14ac:dyDescent="0.25">
      <c r="A11609" t="str">
        <f>T("   271019")</f>
        <v xml:space="preserve">   271019</v>
      </c>
      <c r="B11609" t="str">
        <f>T("   AUTRES")</f>
        <v xml:space="preserve">   AUTRES</v>
      </c>
      <c r="C11609" s="4">
        <v>421100</v>
      </c>
      <c r="D11609" s="4">
        <v>46393830</v>
      </c>
    </row>
    <row r="11610" spans="1:4" s="5" customFormat="1" x14ac:dyDescent="0.25">
      <c r="A11610" s="5" t="str">
        <f>T("   ZZ_Total_Produit_SH6")</f>
        <v xml:space="preserve">   ZZ_Total_Produit_SH6</v>
      </c>
      <c r="B11610" s="5" t="str">
        <f>T("   ZZ_Total_Produit_SH6")</f>
        <v xml:space="preserve">   ZZ_Total_Produit_SH6</v>
      </c>
      <c r="C11610" s="1">
        <v>421100</v>
      </c>
      <c r="D11610" s="1">
        <v>46393830</v>
      </c>
    </row>
    <row r="11611" spans="1:4" s="5" customFormat="1" x14ac:dyDescent="0.25">
      <c r="B11611" s="5" t="str">
        <f>T("Iles Vierges Britanniques")</f>
        <v>Iles Vierges Britanniques</v>
      </c>
      <c r="C11611" s="1"/>
      <c r="D11611" s="1"/>
    </row>
    <row r="11612" spans="1:4" x14ac:dyDescent="0.25">
      <c r="A11612" t="str">
        <f>T("   691090")</f>
        <v xml:space="preserve">   691090</v>
      </c>
      <c r="B11612" t="str">
        <f>T("   AUTRES")</f>
        <v xml:space="preserve">   AUTRES</v>
      </c>
      <c r="C11612" s="4">
        <v>4000</v>
      </c>
      <c r="D11612" s="4">
        <v>27902531</v>
      </c>
    </row>
    <row r="11613" spans="1:4" s="5" customFormat="1" x14ac:dyDescent="0.25">
      <c r="A11613" s="5" t="str">
        <f>T("   ZZ_Total_Produit_SH6")</f>
        <v xml:space="preserve">   ZZ_Total_Produit_SH6</v>
      </c>
      <c r="B11613" s="5" t="str">
        <f>T("   ZZ_Total_Produit_SH6")</f>
        <v xml:space="preserve">   ZZ_Total_Produit_SH6</v>
      </c>
      <c r="C11613" s="1">
        <v>4000</v>
      </c>
      <c r="D11613" s="1">
        <v>27902531</v>
      </c>
    </row>
    <row r="11614" spans="1:4" s="5" customFormat="1" x14ac:dyDescent="0.25">
      <c r="B11614" s="5" t="str">
        <f>T("Vietnam")</f>
        <v>Vietnam</v>
      </c>
      <c r="C11614" s="1"/>
      <c r="D11614" s="1"/>
    </row>
    <row r="11615" spans="1:4" x14ac:dyDescent="0.25">
      <c r="A11615" t="str">
        <f>T("   030219")</f>
        <v xml:space="preserve">   030219</v>
      </c>
      <c r="B11615" t="str">
        <f>T("   AUTRES")</f>
        <v xml:space="preserve">   AUTRES</v>
      </c>
      <c r="C11615" s="4">
        <v>46800</v>
      </c>
      <c r="D11615" s="4">
        <v>18720000</v>
      </c>
    </row>
    <row r="11616" spans="1:4" x14ac:dyDescent="0.25">
      <c r="A11616" t="str">
        <f>T("   030269")</f>
        <v xml:space="preserve">   030269</v>
      </c>
      <c r="B11616" t="str">
        <f>T("   Autres poissons entiers,frais ou refrigeres.(foies,oeufs laitances exclus)")</f>
        <v xml:space="preserve">   Autres poissons entiers,frais ou refrigeres.(foies,oeufs laitances exclus)</v>
      </c>
      <c r="C11616" s="4">
        <v>28350</v>
      </c>
      <c r="D11616" s="4">
        <v>11340000</v>
      </c>
    </row>
    <row r="11617" spans="1:4" x14ac:dyDescent="0.25">
      <c r="A11617" t="str">
        <f>T("   030379")</f>
        <v xml:space="preserve">   030379</v>
      </c>
      <c r="B11617" t="str">
        <f>T("   AUTRES POISSONS ENTIERS CONGELES.(FOIES,OEUFS,LAITANCES EXCLUS)")</f>
        <v xml:space="preserve">   AUTRES POISSONS ENTIERS CONGELES.(FOIES,OEUFS,LAITANCES EXCLUS)</v>
      </c>
      <c r="C11617" s="4">
        <v>103000</v>
      </c>
      <c r="D11617" s="4">
        <v>32450288</v>
      </c>
    </row>
    <row r="11618" spans="1:4" x14ac:dyDescent="0.25">
      <c r="A11618" t="str">
        <f>T("   100620")</f>
        <v xml:space="preserve">   100620</v>
      </c>
      <c r="B11618" t="str">
        <f>T("   RIZ DECORTIQUE (RIZ CARGO OU RIZ BRUN)")</f>
        <v xml:space="preserve">   RIZ DECORTIQUE (RIZ CARGO OU RIZ BRUN)</v>
      </c>
      <c r="C11618" s="4">
        <v>1774000</v>
      </c>
      <c r="D11618" s="4">
        <v>623113720.704</v>
      </c>
    </row>
    <row r="11619" spans="1:4" x14ac:dyDescent="0.25">
      <c r="A11619" t="str">
        <f>T("   100630")</f>
        <v xml:space="preserve">   100630</v>
      </c>
      <c r="B11619" t="str">
        <f>T("   RIZ SEMIBLANCHI OU BLANCHI, MEME POLI OU GLACE")</f>
        <v xml:space="preserve">   RIZ SEMIBLANCHI OU BLANCHI, MEME POLI OU GLACE</v>
      </c>
      <c r="C11619" s="4">
        <v>10374177</v>
      </c>
      <c r="D11619" s="4">
        <v>2219370786</v>
      </c>
    </row>
    <row r="11620" spans="1:4" x14ac:dyDescent="0.25">
      <c r="A11620" t="str">
        <f>T("   100640")</f>
        <v xml:space="preserve">   100640</v>
      </c>
      <c r="B11620" t="str">
        <f>T("   RIZ EN BRISURES")</f>
        <v xml:space="preserve">   RIZ EN BRISURES</v>
      </c>
      <c r="C11620" s="4">
        <v>14759468</v>
      </c>
      <c r="D11620" s="4">
        <v>5446147771.6719999</v>
      </c>
    </row>
    <row r="11621" spans="1:4" x14ac:dyDescent="0.25">
      <c r="A11621" t="str">
        <f>T("   190531")</f>
        <v xml:space="preserve">   190531</v>
      </c>
      <c r="B11621" t="str">
        <f>T("   BISCUITS ADDITIONNES D’EDULCORANTS")</f>
        <v xml:space="preserve">   BISCUITS ADDITIONNES D’EDULCORANTS</v>
      </c>
      <c r="C11621" s="4">
        <v>5996</v>
      </c>
      <c r="D11621" s="4">
        <v>5514199</v>
      </c>
    </row>
    <row r="11622" spans="1:4" x14ac:dyDescent="0.25">
      <c r="A11622" t="str">
        <f>T("   190590")</f>
        <v xml:space="preserve">   190590</v>
      </c>
      <c r="B11622" t="str">
        <f>T("   AUTRES")</f>
        <v xml:space="preserve">   AUTRES</v>
      </c>
      <c r="C11622" s="4">
        <v>38214</v>
      </c>
      <c r="D11622" s="4">
        <v>26155972</v>
      </c>
    </row>
    <row r="11623" spans="1:4" x14ac:dyDescent="0.25">
      <c r="A11623" t="str">
        <f>T("   200980")</f>
        <v xml:space="preserve">   200980</v>
      </c>
      <c r="B11623" t="str">
        <f>T("   AUTRES JUS DE FRUITS OU DE LEGUMES,SANS ALCOOL,SUCRES OU NON")</f>
        <v xml:space="preserve">   AUTRES JUS DE FRUITS OU DE LEGUMES,SANS ALCOOL,SUCRES OU NON</v>
      </c>
      <c r="C11623" s="4">
        <v>134668</v>
      </c>
      <c r="D11623" s="4">
        <v>25432213</v>
      </c>
    </row>
    <row r="11624" spans="1:4" x14ac:dyDescent="0.25">
      <c r="A11624" t="str">
        <f>T("   240220")</f>
        <v xml:space="preserve">   240220</v>
      </c>
      <c r="B11624" t="str">
        <f>T("   Cigarettes contenant du tabac")</f>
        <v xml:space="preserve">   Cigarettes contenant du tabac</v>
      </c>
      <c r="C11624" s="4">
        <v>6325</v>
      </c>
      <c r="D11624" s="4">
        <v>7340100</v>
      </c>
    </row>
    <row r="11625" spans="1:4" x14ac:dyDescent="0.25">
      <c r="A11625" t="str">
        <f>T("   401140")</f>
        <v xml:space="preserve">   401140</v>
      </c>
      <c r="B11625" t="str">
        <f>T("   DES TYPES UTILISES POUR MOTOCYCLES")</f>
        <v xml:space="preserve">   DES TYPES UTILISES POUR MOTOCYCLES</v>
      </c>
      <c r="C11625" s="4">
        <v>15000</v>
      </c>
      <c r="D11625" s="4">
        <v>1092300</v>
      </c>
    </row>
    <row r="11626" spans="1:4" x14ac:dyDescent="0.25">
      <c r="A11626" t="str">
        <f>T("   401390")</f>
        <v xml:space="preserve">   401390</v>
      </c>
      <c r="B11626" t="str">
        <f>T("   AUTRES")</f>
        <v xml:space="preserve">   AUTRES</v>
      </c>
      <c r="C11626" s="4">
        <v>9173</v>
      </c>
      <c r="D11626" s="4">
        <v>628000</v>
      </c>
    </row>
    <row r="11627" spans="1:4" x14ac:dyDescent="0.25">
      <c r="A11627" t="str">
        <f>T("   610910")</f>
        <v xml:space="preserve">   610910</v>
      </c>
      <c r="B11627" t="str">
        <f>T("   DE COTON")</f>
        <v xml:space="preserve">   DE COTON</v>
      </c>
      <c r="C11627" s="4">
        <v>3600</v>
      </c>
      <c r="D11627" s="4">
        <v>5300000</v>
      </c>
    </row>
    <row r="11628" spans="1:4" x14ac:dyDescent="0.25">
      <c r="A11628" t="str">
        <f>T("   630491")</f>
        <v xml:space="preserve">   630491</v>
      </c>
      <c r="B11628" t="str">
        <f>T("   EN BONNETERIE")</f>
        <v xml:space="preserve">   EN BONNETERIE</v>
      </c>
      <c r="C11628" s="4">
        <v>1638000</v>
      </c>
      <c r="D11628" s="4">
        <v>3764804850</v>
      </c>
    </row>
    <row r="11629" spans="1:4" x14ac:dyDescent="0.25">
      <c r="A11629" t="str">
        <f>T("   650610")</f>
        <v xml:space="preserve">   650610</v>
      </c>
      <c r="B11629" t="str">
        <f>T("   COIFFURES DE SECURITE")</f>
        <v xml:space="preserve">   COIFFURES DE SECURITE</v>
      </c>
      <c r="C11629" s="4">
        <v>5700</v>
      </c>
      <c r="D11629" s="4">
        <v>4580643</v>
      </c>
    </row>
    <row r="11630" spans="1:4" x14ac:dyDescent="0.25">
      <c r="A11630" t="str">
        <f>T("   681019")</f>
        <v xml:space="preserve">   681019</v>
      </c>
      <c r="B11630" t="str">
        <f>T("   AUTRES")</f>
        <v xml:space="preserve">   AUTRES</v>
      </c>
      <c r="C11630" s="4">
        <v>1226100</v>
      </c>
      <c r="D11630" s="4">
        <v>65108636</v>
      </c>
    </row>
    <row r="11631" spans="1:4" x14ac:dyDescent="0.25">
      <c r="A11631" t="str">
        <f>T("   681099")</f>
        <v xml:space="preserve">   681099</v>
      </c>
      <c r="B11631" t="str">
        <f>T("   AUTRES")</f>
        <v xml:space="preserve">   AUTRES</v>
      </c>
      <c r="C11631" s="4">
        <v>214920</v>
      </c>
      <c r="D11631" s="4">
        <v>8739072</v>
      </c>
    </row>
    <row r="11632" spans="1:4" x14ac:dyDescent="0.25">
      <c r="A11632" t="str">
        <f>T("   681182")</f>
        <v xml:space="preserve">   681182</v>
      </c>
      <c r="B11632" t="str">
        <f>T("   AUTRES PLAQUES, PANNEAUX, CARREAUX, TUILES ET ARTICLES SIMILAIRES")</f>
        <v xml:space="preserve">   AUTRES PLAQUES, PANNEAUX, CARREAUX, TUILES ET ARTICLES SIMILAIRES</v>
      </c>
      <c r="C11632" s="4">
        <v>50000</v>
      </c>
      <c r="D11632" s="4">
        <v>3058439</v>
      </c>
    </row>
    <row r="11633" spans="1:4" x14ac:dyDescent="0.25">
      <c r="A11633" t="str">
        <f>T("   690510")</f>
        <v xml:space="preserve">   690510</v>
      </c>
      <c r="B11633" t="str">
        <f>T("   TUILES")</f>
        <v xml:space="preserve">   TUILES</v>
      </c>
      <c r="C11633" s="4">
        <v>1619125</v>
      </c>
      <c r="D11633" s="4">
        <v>101015131</v>
      </c>
    </row>
    <row r="11634" spans="1:4" x14ac:dyDescent="0.25">
      <c r="A11634" t="str">
        <f>T("   690590")</f>
        <v xml:space="preserve">   690590</v>
      </c>
      <c r="B11634" t="str">
        <f>T("   AUTRES")</f>
        <v xml:space="preserve">   AUTRES</v>
      </c>
      <c r="C11634" s="4">
        <v>273280</v>
      </c>
      <c r="D11634" s="4">
        <v>15772538</v>
      </c>
    </row>
    <row r="11635" spans="1:4" x14ac:dyDescent="0.25">
      <c r="A11635" t="str">
        <f>T("   840212")</f>
        <v xml:space="preserve">   840212</v>
      </c>
      <c r="B11635" t="str">
        <f>T("   CHAUDIERES AQUATUBULAIRES D'UNE PRODUCTION HORAIRE DE VAPEUR N'EXCEDANT PAS 45 TONNE")</f>
        <v xml:space="preserve">   CHAUDIERES AQUATUBULAIRES D'UNE PRODUCTION HORAIRE DE VAPEUR N'EXCEDANT PAS 45 TONNE</v>
      </c>
      <c r="C11635" s="4">
        <v>5000</v>
      </c>
      <c r="D11635" s="4">
        <v>9334967</v>
      </c>
    </row>
    <row r="11636" spans="1:4" x14ac:dyDescent="0.25">
      <c r="A11636" t="str">
        <f>T("   843860")</f>
        <v xml:space="preserve">   843860</v>
      </c>
      <c r="B11636" t="str">
        <f>T("   MACHINES ET APPAREILS POUR LA PREPARATION DES FRUITS OU DES LEGUMES")</f>
        <v xml:space="preserve">   MACHINES ET APPAREILS POUR LA PREPARATION DES FRUITS OU DES LEGUMES</v>
      </c>
      <c r="C11636" s="4">
        <v>5640</v>
      </c>
      <c r="D11636" s="4">
        <v>45602995</v>
      </c>
    </row>
    <row r="11637" spans="1:4" x14ac:dyDescent="0.25">
      <c r="A11637" t="str">
        <f>T("   847050")</f>
        <v xml:space="preserve">   847050</v>
      </c>
      <c r="B11637" t="str">
        <f>T("   Caisses enregistreuses")</f>
        <v xml:space="preserve">   Caisses enregistreuses</v>
      </c>
      <c r="C11637" s="4">
        <v>152</v>
      </c>
      <c r="D11637" s="4">
        <v>590364</v>
      </c>
    </row>
    <row r="11638" spans="1:4" x14ac:dyDescent="0.25">
      <c r="A11638" t="str">
        <f>T("   850440")</f>
        <v xml:space="preserve">   850440</v>
      </c>
      <c r="B11638" t="str">
        <f>T("   CONVERTISSEURS STATIQUES")</f>
        <v xml:space="preserve">   CONVERTISSEURS STATIQUES</v>
      </c>
      <c r="C11638" s="4">
        <v>118</v>
      </c>
      <c r="D11638" s="4">
        <v>459172</v>
      </c>
    </row>
    <row r="11639" spans="1:4" x14ac:dyDescent="0.25">
      <c r="A11639" t="str">
        <f>T("   851430")</f>
        <v xml:space="preserve">   851430</v>
      </c>
      <c r="B11639" t="str">
        <f>T("   AUTRES FOURS")</f>
        <v xml:space="preserve">   AUTRES FOURS</v>
      </c>
      <c r="C11639" s="4">
        <v>9500</v>
      </c>
      <c r="D11639" s="4">
        <v>9334967</v>
      </c>
    </row>
    <row r="11640" spans="1:4" x14ac:dyDescent="0.25">
      <c r="A11640" t="str">
        <f>T("   851712")</f>
        <v xml:space="preserve">   851712</v>
      </c>
      <c r="B11640" t="str">
        <f>T("   TELEPHONES POUR RESEAUX CELLULAIRES ET POUR AUTRES RESEAUX SANS FIL")</f>
        <v xml:space="preserve">   TELEPHONES POUR RESEAUX CELLULAIRES ET POUR AUTRES RESEAUX SANS FIL</v>
      </c>
      <c r="C11640" s="4">
        <v>2981</v>
      </c>
      <c r="D11640" s="4">
        <v>10911127</v>
      </c>
    </row>
    <row r="11641" spans="1:4" x14ac:dyDescent="0.25">
      <c r="A11641" t="str">
        <f>T("   851769")</f>
        <v xml:space="preserve">   851769</v>
      </c>
      <c r="B11641" t="str">
        <f>T("   AUTRES")</f>
        <v xml:space="preserve">   AUTRES</v>
      </c>
      <c r="C11641" s="4">
        <v>27.1</v>
      </c>
      <c r="D11641" s="4">
        <v>312171</v>
      </c>
    </row>
    <row r="11642" spans="1:4" x14ac:dyDescent="0.25">
      <c r="A11642" t="str">
        <f>T("   852719")</f>
        <v xml:space="preserve">   852719</v>
      </c>
      <c r="B11642" t="str">
        <f>T("   AUTRES")</f>
        <v xml:space="preserve">   AUTRES</v>
      </c>
      <c r="C11642" s="4">
        <v>12499</v>
      </c>
      <c r="D11642" s="4">
        <v>13811635</v>
      </c>
    </row>
    <row r="11643" spans="1:4" x14ac:dyDescent="0.25">
      <c r="A11643" t="str">
        <f>T("   852849")</f>
        <v xml:space="preserve">   852849</v>
      </c>
      <c r="B11643" t="str">
        <f>T("   AUTRES")</f>
        <v xml:space="preserve">   AUTRES</v>
      </c>
      <c r="C11643" s="4">
        <v>19400</v>
      </c>
      <c r="D11643" s="4">
        <v>27583438</v>
      </c>
    </row>
    <row r="11644" spans="1:4" x14ac:dyDescent="0.25">
      <c r="A11644" t="str">
        <f>T("   870324")</f>
        <v xml:space="preserve">   870324</v>
      </c>
      <c r="B11644" t="str">
        <f>T("   D’UNE CYLINDREE EXCEDANT 3.000 CM³")</f>
        <v xml:space="preserve">   D’UNE CYLINDREE EXCEDANT 3.000 CM³</v>
      </c>
      <c r="C11644" s="4">
        <v>1939</v>
      </c>
      <c r="D11644" s="4">
        <v>1200000</v>
      </c>
    </row>
    <row r="11645" spans="1:4" x14ac:dyDescent="0.25">
      <c r="A11645" t="str">
        <f>T("   871499")</f>
        <v xml:space="preserve">   871499</v>
      </c>
      <c r="B11645" t="str">
        <f>T("   AUTRES")</f>
        <v xml:space="preserve">   AUTRES</v>
      </c>
      <c r="C11645" s="4">
        <v>23094</v>
      </c>
      <c r="D11645" s="4">
        <v>4755054</v>
      </c>
    </row>
    <row r="11646" spans="1:4" s="5" customFormat="1" x14ac:dyDescent="0.25">
      <c r="A11646" s="5" t="str">
        <f>T("   ZZ_Total_Produit_SH6")</f>
        <v xml:space="preserve">   ZZ_Total_Produit_SH6</v>
      </c>
      <c r="B11646" s="5" t="str">
        <f>T("   ZZ_Total_Produit_SH6")</f>
        <v xml:space="preserve">   ZZ_Total_Produit_SH6</v>
      </c>
      <c r="C11646" s="1">
        <v>32406246.100000001</v>
      </c>
      <c r="D11646" s="1">
        <v>12509580549.375999</v>
      </c>
    </row>
    <row r="11647" spans="1:4" s="5" customFormat="1" x14ac:dyDescent="0.25">
      <c r="B11647" s="5" t="str">
        <f>T("Pays non défini")</f>
        <v>Pays non défini</v>
      </c>
      <c r="C11647" s="1"/>
      <c r="D11647" s="1"/>
    </row>
    <row r="11648" spans="1:4" x14ac:dyDescent="0.25">
      <c r="A11648" t="str">
        <f>T("   030229")</f>
        <v xml:space="preserve">   030229</v>
      </c>
      <c r="B11648" t="str">
        <f>T("   AUTRES")</f>
        <v xml:space="preserve">   AUTRES</v>
      </c>
      <c r="C11648" s="4">
        <v>82296</v>
      </c>
      <c r="D11648" s="4">
        <v>3930000</v>
      </c>
    </row>
    <row r="11649" spans="1:4" x14ac:dyDescent="0.25">
      <c r="A11649" t="str">
        <f>T("   030310")</f>
        <v xml:space="preserve">   030310</v>
      </c>
      <c r="B11649" t="str">
        <f>T("   SAUMONS DU PACIFIQUE ENTIERS CONGELES.(FOIES,OEUFS,LAITANCES EXCLUS)")</f>
        <v xml:space="preserve">   SAUMONS DU PACIFIQUE ENTIERS CONGELES.(FOIES,OEUFS,LAITANCES EXCLUS)</v>
      </c>
      <c r="C11649" s="4">
        <v>138432</v>
      </c>
      <c r="D11649" s="4">
        <v>4830000</v>
      </c>
    </row>
    <row r="11650" spans="1:4" x14ac:dyDescent="0.25">
      <c r="A11650" t="str">
        <f>T("   080450")</f>
        <v xml:space="preserve">   080450</v>
      </c>
      <c r="B11650" t="str">
        <f>T("   GOYAVES, MANGUES ET MANGOUSTANS")</f>
        <v xml:space="preserve">   GOYAVES, MANGUES ET MANGOUSTANS</v>
      </c>
      <c r="C11650" s="4">
        <v>1000</v>
      </c>
      <c r="D11650" s="4">
        <v>125000</v>
      </c>
    </row>
    <row r="11651" spans="1:4" x14ac:dyDescent="0.25">
      <c r="A11651" t="str">
        <f>T("   090420")</f>
        <v xml:space="preserve">   090420</v>
      </c>
      <c r="B11651" t="str">
        <f>T("   PIMENTS SECHES OU BROYES OU PULVERISES")</f>
        <v xml:space="preserve">   PIMENTS SECHES OU BROYES OU PULVERISES</v>
      </c>
      <c r="C11651" s="4">
        <v>1500</v>
      </c>
      <c r="D11651" s="4">
        <v>1345000</v>
      </c>
    </row>
    <row r="11652" spans="1:4" x14ac:dyDescent="0.25">
      <c r="A11652" t="str">
        <f>T("   100610")</f>
        <v xml:space="preserve">   100610</v>
      </c>
      <c r="B11652" t="str">
        <f>T("   RIZ EN PAILLE (RIZ PADDY)")</f>
        <v xml:space="preserve">   RIZ EN PAILLE (RIZ PADDY)</v>
      </c>
      <c r="C11652" s="4">
        <v>2800</v>
      </c>
      <c r="D11652" s="4">
        <v>545000</v>
      </c>
    </row>
    <row r="11653" spans="1:4" x14ac:dyDescent="0.25">
      <c r="A11653" t="str">
        <f>T("   100620")</f>
        <v xml:space="preserve">   100620</v>
      </c>
      <c r="B11653" t="str">
        <f>T("   RIZ DECORTIQUE (RIZ CARGO OU RIZ BRUN)")</f>
        <v xml:space="preserve">   RIZ DECORTIQUE (RIZ CARGO OU RIZ BRUN)</v>
      </c>
      <c r="C11653" s="4">
        <v>5000</v>
      </c>
      <c r="D11653" s="4">
        <v>1079519.4950000001</v>
      </c>
    </row>
    <row r="11654" spans="1:4" x14ac:dyDescent="0.25">
      <c r="A11654" t="str">
        <f>T("   100640")</f>
        <v xml:space="preserve">   100640</v>
      </c>
      <c r="B11654" t="str">
        <f>T("   RIZ EN BRISURES")</f>
        <v xml:space="preserve">   RIZ EN BRISURES</v>
      </c>
      <c r="C11654" s="4">
        <v>5110385</v>
      </c>
      <c r="D11654" s="4">
        <v>1189351543.2939999</v>
      </c>
    </row>
    <row r="11655" spans="1:4" x14ac:dyDescent="0.25">
      <c r="A11655" t="str">
        <f>T("   110419")</f>
        <v xml:space="preserve">   110419</v>
      </c>
      <c r="B11655" t="str">
        <f>T("   D'AUTRES CEREALES")</f>
        <v xml:space="preserve">   D'AUTRES CEREALES</v>
      </c>
      <c r="C11655" s="4">
        <v>722310</v>
      </c>
      <c r="D11655" s="4">
        <v>6850000</v>
      </c>
    </row>
    <row r="11656" spans="1:4" x14ac:dyDescent="0.25">
      <c r="A11656" t="str">
        <f>T("   110620")</f>
        <v xml:space="preserve">   110620</v>
      </c>
      <c r="B11656" t="str">
        <f>T("   DE SAGOU OU DES RACINES OU TUBERCULES DU N° 07.14")</f>
        <v xml:space="preserve">   DE SAGOU OU DES RACINES OU TUBERCULES DU N° 07.14</v>
      </c>
      <c r="C11656" s="4">
        <v>135750</v>
      </c>
      <c r="D11656" s="4">
        <v>2335000</v>
      </c>
    </row>
    <row r="11657" spans="1:4" x14ac:dyDescent="0.25">
      <c r="A11657" t="str">
        <f>T("   170112")</f>
        <v xml:space="preserve">   170112</v>
      </c>
      <c r="B11657" t="str">
        <f>T("   DE BETTERAVE")</f>
        <v xml:space="preserve">   DE BETTERAVE</v>
      </c>
      <c r="C11657" s="4">
        <v>820860</v>
      </c>
      <c r="D11657" s="4">
        <v>34960000</v>
      </c>
    </row>
    <row r="11658" spans="1:4" x14ac:dyDescent="0.25">
      <c r="A11658" t="str">
        <f>T("   170199")</f>
        <v xml:space="preserve">   170199</v>
      </c>
      <c r="B11658" t="str">
        <f>T("   AUTRES")</f>
        <v xml:space="preserve">   AUTRES</v>
      </c>
      <c r="C11658" s="4">
        <v>250800</v>
      </c>
      <c r="D11658" s="4">
        <v>73999013.785999998</v>
      </c>
    </row>
    <row r="11659" spans="1:4" x14ac:dyDescent="0.25">
      <c r="A11659" t="str">
        <f>T("   180500")</f>
        <v xml:space="preserve">   180500</v>
      </c>
      <c r="B11659" t="str">
        <f>T("   POUDRE DE CACAO, SANS ADDITION DE SUCRE OU D'AUTRES EDULCORANTS.")</f>
        <v xml:space="preserve">   POUDRE DE CACAO, SANS ADDITION DE SUCRE OU D'AUTRES EDULCORANTS.</v>
      </c>
      <c r="C11659" s="4">
        <v>223520</v>
      </c>
      <c r="D11659" s="4">
        <v>6820000</v>
      </c>
    </row>
    <row r="11660" spans="1:4" x14ac:dyDescent="0.25">
      <c r="A11660" t="str">
        <f>T("   252020")</f>
        <v xml:space="preserve">   252020</v>
      </c>
      <c r="B11660" t="str">
        <f>T("   PLATRES")</f>
        <v xml:space="preserve">   PLATRES</v>
      </c>
      <c r="C11660" s="4">
        <v>112280</v>
      </c>
      <c r="D11660" s="4">
        <v>2400000</v>
      </c>
    </row>
    <row r="11661" spans="1:4" x14ac:dyDescent="0.25">
      <c r="A11661" t="str">
        <f>T("   271129")</f>
        <v xml:space="preserve">   271129</v>
      </c>
      <c r="B11661" t="str">
        <f>T("   AUTRES")</f>
        <v xml:space="preserve">   AUTRES</v>
      </c>
      <c r="C11661" s="4">
        <v>244140</v>
      </c>
      <c r="D11661" s="4">
        <v>4540000</v>
      </c>
    </row>
    <row r="11662" spans="1:4" x14ac:dyDescent="0.25">
      <c r="A11662" t="str">
        <f>T("   281511")</f>
        <v xml:space="preserve">   281511</v>
      </c>
      <c r="B11662" t="str">
        <f>T("   SOLIDE")</f>
        <v xml:space="preserve">   SOLIDE</v>
      </c>
      <c r="C11662" s="4">
        <v>1084320</v>
      </c>
      <c r="D11662" s="4">
        <v>2500000</v>
      </c>
    </row>
    <row r="11663" spans="1:4" x14ac:dyDescent="0.25">
      <c r="A11663" t="str">
        <f>T("   281512")</f>
        <v xml:space="preserve">   281512</v>
      </c>
      <c r="B11663" t="str">
        <f>T("   EN SOLUTION AQUEUSE (LESSIVE DE SOUDE CAUSTIQUE)")</f>
        <v xml:space="preserve">   EN SOLUTION AQUEUSE (LESSIVE DE SOUDE CAUSTIQUE)</v>
      </c>
      <c r="C11663" s="4">
        <v>1305105</v>
      </c>
      <c r="D11663" s="4">
        <v>4700000</v>
      </c>
    </row>
    <row r="11664" spans="1:4" x14ac:dyDescent="0.25">
      <c r="A11664" t="str">
        <f>T("   330190")</f>
        <v xml:space="preserve">   330190</v>
      </c>
      <c r="B11664" t="str">
        <f>T("   AUTRES")</f>
        <v xml:space="preserve">   AUTRES</v>
      </c>
      <c r="C11664" s="4">
        <v>60000</v>
      </c>
      <c r="D11664" s="4">
        <v>17850000</v>
      </c>
    </row>
    <row r="11665" spans="1:4" x14ac:dyDescent="0.25">
      <c r="A11665" t="str">
        <f>T("   330499")</f>
        <v xml:space="preserve">   330499</v>
      </c>
      <c r="B11665" t="str">
        <f>T("   AUTRES")</f>
        <v xml:space="preserve">   AUTRES</v>
      </c>
      <c r="C11665" s="4">
        <v>12740</v>
      </c>
      <c r="D11665" s="4">
        <v>450000</v>
      </c>
    </row>
    <row r="11666" spans="1:4" x14ac:dyDescent="0.25">
      <c r="A11666" t="str">
        <f>T("   370790")</f>
        <v xml:space="preserve">   370790</v>
      </c>
      <c r="B11666" t="str">
        <f>T("   AUTRES")</f>
        <v xml:space="preserve">   AUTRES</v>
      </c>
      <c r="C11666" s="4">
        <v>20300</v>
      </c>
      <c r="D11666" s="4">
        <v>810000</v>
      </c>
    </row>
    <row r="11667" spans="1:4" x14ac:dyDescent="0.25">
      <c r="A11667" t="str">
        <f>T("   380999")</f>
        <v xml:space="preserve">   380999</v>
      </c>
      <c r="B11667" t="str">
        <f>T("   AUTRES PREPARATIONS CHIMIQUES D'APPRET,FINISSAGE,FIXATION DES COLORANTS")</f>
        <v xml:space="preserve">   AUTRES PREPARATIONS CHIMIQUES D'APPRET,FINISSAGE,FIXATION DES COLORANTS</v>
      </c>
      <c r="C11667" s="4">
        <v>4000</v>
      </c>
      <c r="D11667" s="4">
        <v>600000</v>
      </c>
    </row>
    <row r="11668" spans="1:4" x14ac:dyDescent="0.25">
      <c r="A11668" t="str">
        <f>T("   401110")</f>
        <v xml:space="preserve">   401110</v>
      </c>
      <c r="B11668" t="str">
        <f>T("   DES TYPES UTILISES POUR LES VOITURES DE TOURISME (Y COMPRIS LES VOITURES DU TYPE «BRE")</f>
        <v xml:space="preserve">   DES TYPES UTILISES POUR LES VOITURES DE TOURISME (Y COMPRIS LES VOITURES DU TYPE «BRE</v>
      </c>
      <c r="C11668" s="4">
        <v>18000</v>
      </c>
      <c r="D11668" s="4">
        <v>1600000</v>
      </c>
    </row>
    <row r="11669" spans="1:4" x14ac:dyDescent="0.25">
      <c r="A11669" t="str">
        <f>T("   490199")</f>
        <v xml:space="preserve">   490199</v>
      </c>
      <c r="B11669" t="str">
        <f>T("   AUTRES")</f>
        <v xml:space="preserve">   AUTRES</v>
      </c>
      <c r="C11669" s="4">
        <v>2200</v>
      </c>
      <c r="D11669" s="4">
        <v>702000</v>
      </c>
    </row>
    <row r="11670" spans="1:4" x14ac:dyDescent="0.25">
      <c r="A11670" t="str">
        <f>T("   520299")</f>
        <v xml:space="preserve">   520299</v>
      </c>
      <c r="B11670" t="str">
        <f>T("   AUTRES")</f>
        <v xml:space="preserve">   AUTRES</v>
      </c>
      <c r="C11670" s="4">
        <v>5000</v>
      </c>
      <c r="D11670" s="4">
        <v>850000</v>
      </c>
    </row>
    <row r="11671" spans="1:4" x14ac:dyDescent="0.25">
      <c r="A11671" t="str">
        <f>T("   610990")</f>
        <v xml:space="preserve">   610990</v>
      </c>
      <c r="B11671" t="str">
        <f>T("   D'AUTRES MATIERES TEXTILES")</f>
        <v xml:space="preserve">   D'AUTRES MATIERES TEXTILES</v>
      </c>
      <c r="C11671" s="4">
        <v>24500</v>
      </c>
      <c r="D11671" s="4">
        <v>1550000</v>
      </c>
    </row>
    <row r="11672" spans="1:4" x14ac:dyDescent="0.25">
      <c r="A11672" t="str">
        <f>T("   621050")</f>
        <v xml:space="preserve">   621050</v>
      </c>
      <c r="B11672" t="str">
        <f>T("   AUTRES VETEMENTS POUR FEMMES OU FILLETTES")</f>
        <v xml:space="preserve">   AUTRES VETEMENTS POUR FEMMES OU FILLETTES</v>
      </c>
      <c r="C11672" s="4">
        <v>800</v>
      </c>
      <c r="D11672" s="4">
        <v>700000</v>
      </c>
    </row>
    <row r="11673" spans="1:4" x14ac:dyDescent="0.25">
      <c r="A11673" t="str">
        <f>T("   630399")</f>
        <v xml:space="preserve">   630399</v>
      </c>
      <c r="B11673" t="str">
        <f>T("   D'AUTRES MATIERES TEXTILES")</f>
        <v xml:space="preserve">   D'AUTRES MATIERES TEXTILES</v>
      </c>
      <c r="C11673" s="4">
        <v>216842</v>
      </c>
      <c r="D11673" s="4">
        <v>4610000</v>
      </c>
    </row>
    <row r="11674" spans="1:4" x14ac:dyDescent="0.25">
      <c r="A11674" t="str">
        <f>T("   630510")</f>
        <v xml:space="preserve">   630510</v>
      </c>
      <c r="B11674" t="str">
        <f>T("   DE JUTE OU D'AUTRES FIBRES TEXTILES LIBERIENNES DU N° 53.03")</f>
        <v xml:space="preserve">   DE JUTE OU D'AUTRES FIBRES TEXTILES LIBERIENNES DU N° 53.03</v>
      </c>
      <c r="C11674" s="4">
        <v>12600</v>
      </c>
      <c r="D11674" s="4">
        <v>900000</v>
      </c>
    </row>
    <row r="11675" spans="1:4" x14ac:dyDescent="0.25">
      <c r="A11675" t="str">
        <f>T("   630900")</f>
        <v xml:space="preserve">   630900</v>
      </c>
      <c r="B11675" t="str">
        <f>T("   ARTICLES DE FRIPERIE.")</f>
        <v xml:space="preserve">   ARTICLES DE FRIPERIE.</v>
      </c>
      <c r="C11675" s="4">
        <v>1600</v>
      </c>
      <c r="D11675" s="4">
        <v>400000</v>
      </c>
    </row>
    <row r="11676" spans="1:4" x14ac:dyDescent="0.25">
      <c r="A11676" t="str">
        <f>T("   690390")</f>
        <v xml:space="preserve">   690390</v>
      </c>
      <c r="B11676" t="str">
        <f>T("   AUTRES")</f>
        <v xml:space="preserve">   AUTRES</v>
      </c>
      <c r="C11676" s="4">
        <v>328284</v>
      </c>
      <c r="D11676" s="4">
        <v>6220000</v>
      </c>
    </row>
    <row r="11677" spans="1:4" x14ac:dyDescent="0.25">
      <c r="A11677" t="str">
        <f>T("   691200")</f>
        <v xml:space="preserve">   691200</v>
      </c>
      <c r="B11677" t="str">
        <f>T("   VAISSELLE, AUTRES ARTICLES DE MENAGE OU D'ECONOMIE DOMESTIQUE ET ARTICLES D'HYGIENE OU")</f>
        <v xml:space="preserve">   VAISSELLE, AUTRES ARTICLES DE MENAGE OU D'ECONOMIE DOMESTIQUE ET ARTICLES D'HYGIENE OU</v>
      </c>
      <c r="C11677" s="4">
        <v>22000</v>
      </c>
      <c r="D11677" s="4">
        <v>800000</v>
      </c>
    </row>
    <row r="11678" spans="1:4" x14ac:dyDescent="0.25">
      <c r="A11678" t="str">
        <f>T("   701090")</f>
        <v xml:space="preserve">   701090</v>
      </c>
      <c r="B11678" t="str">
        <f>T("   AUTRES")</f>
        <v xml:space="preserve">   AUTRES</v>
      </c>
      <c r="C11678" s="4">
        <v>1000</v>
      </c>
      <c r="D11678" s="4">
        <v>210000</v>
      </c>
    </row>
    <row r="11679" spans="1:4" x14ac:dyDescent="0.25">
      <c r="A11679" t="str">
        <f>T("   810299")</f>
        <v xml:space="preserve">   810299</v>
      </c>
      <c r="B11679" t="str">
        <f>T("   AUTRES")</f>
        <v xml:space="preserve">   AUTRES</v>
      </c>
      <c r="C11679" s="4">
        <v>1000</v>
      </c>
      <c r="D11679" s="4">
        <v>550000</v>
      </c>
    </row>
    <row r="11680" spans="1:4" x14ac:dyDescent="0.25">
      <c r="A11680" t="str">
        <f>T("   820520")</f>
        <v xml:space="preserve">   820520</v>
      </c>
      <c r="B11680" t="str">
        <f>T("   MARTEAUX ET MASSES")</f>
        <v xml:space="preserve">   MARTEAUX ET MASSES</v>
      </c>
      <c r="C11680" s="4">
        <v>1762</v>
      </c>
      <c r="D11680" s="4">
        <v>200000</v>
      </c>
    </row>
    <row r="11681" spans="1:4" x14ac:dyDescent="0.25">
      <c r="A11681" t="str">
        <f>T("   840490")</f>
        <v xml:space="preserve">   840490</v>
      </c>
      <c r="B11681" t="str">
        <f>T("   PARTIES")</f>
        <v xml:space="preserve">   PARTIES</v>
      </c>
      <c r="C11681" s="4">
        <v>5500</v>
      </c>
      <c r="D11681" s="4">
        <v>620000</v>
      </c>
    </row>
    <row r="11682" spans="1:4" x14ac:dyDescent="0.25">
      <c r="A11682" t="str">
        <f>T("   840590")</f>
        <v xml:space="preserve">   840590</v>
      </c>
      <c r="B11682" t="str">
        <f>T("   PARTIES")</f>
        <v xml:space="preserve">   PARTIES</v>
      </c>
      <c r="C11682" s="4">
        <v>100</v>
      </c>
      <c r="D11682" s="4">
        <v>100000</v>
      </c>
    </row>
    <row r="11683" spans="1:4" x14ac:dyDescent="0.25">
      <c r="A11683" t="str">
        <f>T("   841899")</f>
        <v xml:space="preserve">   841899</v>
      </c>
      <c r="B11683" t="str">
        <f>T("   AUTRES")</f>
        <v xml:space="preserve">   AUTRES</v>
      </c>
      <c r="C11683" s="4">
        <v>16514</v>
      </c>
      <c r="D11683" s="4">
        <v>2600000</v>
      </c>
    </row>
    <row r="11684" spans="1:4" x14ac:dyDescent="0.25">
      <c r="A11684" t="str">
        <f>T("   843290")</f>
        <v xml:space="preserve">   843290</v>
      </c>
      <c r="B11684" t="str">
        <f>T("   PARTIES")</f>
        <v xml:space="preserve">   PARTIES</v>
      </c>
      <c r="C11684" s="4">
        <v>130552</v>
      </c>
      <c r="D11684" s="4">
        <v>6890000</v>
      </c>
    </row>
    <row r="11685" spans="1:4" x14ac:dyDescent="0.25">
      <c r="A11685" t="str">
        <f>T("   844790")</f>
        <v xml:space="preserve">   844790</v>
      </c>
      <c r="B11685" t="str">
        <f>T("   AUTRES")</f>
        <v xml:space="preserve">   AUTRES</v>
      </c>
      <c r="C11685" s="4">
        <v>5000</v>
      </c>
      <c r="D11685" s="4">
        <v>3840000</v>
      </c>
    </row>
    <row r="11686" spans="1:4" x14ac:dyDescent="0.25">
      <c r="A11686" t="str">
        <f>T("   844819")</f>
        <v xml:space="preserve">   844819</v>
      </c>
      <c r="B11686" t="str">
        <f>T("   AUTRES")</f>
        <v xml:space="preserve">   AUTRES</v>
      </c>
      <c r="C11686" s="4">
        <v>11563116</v>
      </c>
      <c r="D11686" s="4">
        <v>192874000</v>
      </c>
    </row>
    <row r="11687" spans="1:4" x14ac:dyDescent="0.25">
      <c r="A11687" t="str">
        <f>T("   844859")</f>
        <v xml:space="preserve">   844859</v>
      </c>
      <c r="B11687" t="str">
        <f>T("   AUTRES")</f>
        <v xml:space="preserve">   AUTRES</v>
      </c>
      <c r="C11687" s="4">
        <v>205004</v>
      </c>
      <c r="D11687" s="4">
        <v>12196000</v>
      </c>
    </row>
    <row r="11688" spans="1:4" x14ac:dyDescent="0.25">
      <c r="A11688" t="str">
        <f>T("   845090")</f>
        <v xml:space="preserve">   845090</v>
      </c>
      <c r="B11688" t="str">
        <f>T("   PARTIES")</f>
        <v xml:space="preserve">   PARTIES</v>
      </c>
      <c r="C11688" s="4">
        <v>1464620</v>
      </c>
      <c r="D11688" s="4">
        <v>13220000</v>
      </c>
    </row>
    <row r="11689" spans="1:4" x14ac:dyDescent="0.25">
      <c r="A11689" t="str">
        <f>T("   847090")</f>
        <v xml:space="preserve">   847090</v>
      </c>
      <c r="B11689" t="str">
        <f>T("   AUTRES")</f>
        <v xml:space="preserve">   AUTRES</v>
      </c>
      <c r="C11689" s="4">
        <v>1500</v>
      </c>
      <c r="D11689" s="4">
        <v>255000</v>
      </c>
    </row>
    <row r="11690" spans="1:4" x14ac:dyDescent="0.25">
      <c r="A11690" t="str">
        <f>T("   870322")</f>
        <v xml:space="preserve">   870322</v>
      </c>
      <c r="B11690" t="str">
        <f>T("   D’UNE CYLINDREE EXCEDANT 1.000 CM³ MAIS N’EXCEDANT PAS 1.500 CM³")</f>
        <v xml:space="preserve">   D’UNE CYLINDREE EXCEDANT 1.000 CM³ MAIS N’EXCEDANT PAS 1.500 CM³</v>
      </c>
      <c r="C11690" s="4">
        <v>11032355</v>
      </c>
      <c r="D11690" s="4">
        <v>2133270786</v>
      </c>
    </row>
    <row r="11691" spans="1:4" x14ac:dyDescent="0.25">
      <c r="A11691" t="str">
        <f>T("   870323")</f>
        <v xml:space="preserve">   870323</v>
      </c>
      <c r="B11691" t="str">
        <f>T("   D’UNE CYLINDREE EXCEDANT 1.500 CM³ MAIS N’EXCEDANT PAS 3.000 CM³")</f>
        <v xml:space="preserve">   D’UNE CYLINDREE EXCEDANT 1.500 CM³ MAIS N’EXCEDANT PAS 3.000 CM³</v>
      </c>
      <c r="C11691" s="4">
        <v>11335</v>
      </c>
      <c r="D11691" s="4">
        <v>950000</v>
      </c>
    </row>
    <row r="11692" spans="1:4" x14ac:dyDescent="0.25">
      <c r="A11692" t="str">
        <f>T("   902290")</f>
        <v xml:space="preserve">   902290</v>
      </c>
      <c r="B11692" t="str">
        <f>T("   AUTRES, Y COMPRIS LES PARTIES ET ACCESSOIRES")</f>
        <v xml:space="preserve">   AUTRES, Y COMPRIS LES PARTIES ET ACCESSOIRES</v>
      </c>
      <c r="C11692" s="4">
        <v>30482</v>
      </c>
      <c r="D11692" s="4">
        <v>850000</v>
      </c>
    </row>
    <row r="11693" spans="1:4" s="5" customFormat="1" x14ac:dyDescent="0.25">
      <c r="A11693" s="5" t="str">
        <f>T("   ZZ_Total_Produit_SH6")</f>
        <v xml:space="preserve">   ZZ_Total_Produit_SH6</v>
      </c>
      <c r="B11693" s="5" t="str">
        <f>T("   ZZ_Total_Produit_SH6")</f>
        <v xml:space="preserve">   ZZ_Total_Produit_SH6</v>
      </c>
      <c r="C11693" s="1">
        <v>35439204</v>
      </c>
      <c r="D11693" s="1">
        <v>3746977862.5760002</v>
      </c>
    </row>
    <row r="11694" spans="1:4" s="5" customFormat="1" x14ac:dyDescent="0.25">
      <c r="B11694" s="5" t="str">
        <f>T("Afrique du Sud")</f>
        <v>Afrique du Sud</v>
      </c>
      <c r="C11694" s="1"/>
      <c r="D11694" s="1"/>
    </row>
    <row r="11695" spans="1:4" x14ac:dyDescent="0.25">
      <c r="A11695" t="str">
        <f>T("   030379")</f>
        <v xml:space="preserve">   030379</v>
      </c>
      <c r="B11695" t="str">
        <f>T("   AUTRES POISSONS ENTIERS CONGELES.(FOIES,OEUFS,LAITANCES EXCLUS)")</f>
        <v xml:space="preserve">   AUTRES POISSONS ENTIERS CONGELES.(FOIES,OEUFS,LAITANCES EXCLUS)</v>
      </c>
      <c r="C11695" s="4">
        <v>15732</v>
      </c>
      <c r="D11695" s="4">
        <v>10000000</v>
      </c>
    </row>
    <row r="11696" spans="1:4" x14ac:dyDescent="0.25">
      <c r="A11696" t="str">
        <f>T("   070190")</f>
        <v xml:space="preserve">   070190</v>
      </c>
      <c r="B11696" t="str">
        <f>T("   AUTRES")</f>
        <v xml:space="preserve">   AUTRES</v>
      </c>
      <c r="C11696" s="4">
        <v>29000</v>
      </c>
      <c r="D11696" s="4">
        <v>4785228</v>
      </c>
    </row>
    <row r="11697" spans="1:4" x14ac:dyDescent="0.25">
      <c r="A11697" t="str">
        <f>T("   080510")</f>
        <v xml:space="preserve">   080510</v>
      </c>
      <c r="B11697" t="str">
        <f>T("   ORANGES")</f>
        <v xml:space="preserve">   ORANGES</v>
      </c>
      <c r="C11697" s="4">
        <v>5097</v>
      </c>
      <c r="D11697" s="4">
        <v>1590047</v>
      </c>
    </row>
    <row r="11698" spans="1:4" x14ac:dyDescent="0.25">
      <c r="A11698" t="str">
        <f>T("   080550")</f>
        <v xml:space="preserve">   080550</v>
      </c>
      <c r="B11698" t="str">
        <f>T("   CITRONS (CITRUS LIMON, CITRUS LIMONUM) ET LIMES (CITRUS AURANTIFOLIA, CITRUS LATIFOLI")</f>
        <v xml:space="preserve">   CITRONS (CITRUS LIMON, CITRUS LIMONUM) ET LIMES (CITRUS AURANTIFOLIA, CITRUS LATIFOLI</v>
      </c>
      <c r="C11698" s="4">
        <v>10611</v>
      </c>
      <c r="D11698" s="4">
        <v>2052499</v>
      </c>
    </row>
    <row r="11699" spans="1:4" x14ac:dyDescent="0.25">
      <c r="A11699" t="str">
        <f>T("   080610")</f>
        <v xml:space="preserve">   080610</v>
      </c>
      <c r="B11699" t="str">
        <f>T("   FRAIS")</f>
        <v xml:space="preserve">   FRAIS</v>
      </c>
      <c r="C11699" s="4">
        <v>68955</v>
      </c>
      <c r="D11699" s="4">
        <v>16379320</v>
      </c>
    </row>
    <row r="11700" spans="1:4" x14ac:dyDescent="0.25">
      <c r="A11700" t="str">
        <f>T("   080810")</f>
        <v xml:space="preserve">   080810</v>
      </c>
      <c r="B11700" t="str">
        <f>T("   POMMES")</f>
        <v xml:space="preserve">   POMMES</v>
      </c>
      <c r="C11700" s="4">
        <v>4915612</v>
      </c>
      <c r="D11700" s="4">
        <v>790310865</v>
      </c>
    </row>
    <row r="11701" spans="1:4" x14ac:dyDescent="0.25">
      <c r="A11701" t="str">
        <f>T("   080820")</f>
        <v xml:space="preserve">   080820</v>
      </c>
      <c r="B11701" t="str">
        <f>T("   Poires et coings,frais")</f>
        <v xml:space="preserve">   Poires et coings,frais</v>
      </c>
      <c r="C11701" s="4">
        <v>225497</v>
      </c>
      <c r="D11701" s="4">
        <v>38698264</v>
      </c>
    </row>
    <row r="11702" spans="1:4" x14ac:dyDescent="0.25">
      <c r="A11702" t="str">
        <f>T("   080930")</f>
        <v xml:space="preserve">   080930</v>
      </c>
      <c r="B11702" t="str">
        <f>T("   PECHES, Y COMPRIS LES BRUGNONS ET NECTARINES")</f>
        <v xml:space="preserve">   PECHES, Y COMPRIS LES BRUGNONS ET NECTARINES</v>
      </c>
      <c r="C11702" s="4">
        <v>7136</v>
      </c>
      <c r="D11702" s="4">
        <v>780592</v>
      </c>
    </row>
    <row r="11703" spans="1:4" x14ac:dyDescent="0.25">
      <c r="A11703" t="str">
        <f>T("   080940")</f>
        <v xml:space="preserve">   080940</v>
      </c>
      <c r="B11703" t="str">
        <f>T("   PRUNES ET PRUNELLES")</f>
        <v xml:space="preserve">   PRUNES ET PRUNELLES</v>
      </c>
      <c r="C11703" s="4">
        <v>23775</v>
      </c>
      <c r="D11703" s="4">
        <v>6355595</v>
      </c>
    </row>
    <row r="11704" spans="1:4" x14ac:dyDescent="0.25">
      <c r="A11704" t="str">
        <f>T("   081090")</f>
        <v xml:space="preserve">   081090</v>
      </c>
      <c r="B11704" t="str">
        <f>T("   AUTRES")</f>
        <v xml:space="preserve">   AUTRES</v>
      </c>
      <c r="C11704" s="4">
        <v>6383</v>
      </c>
      <c r="D11704" s="4">
        <v>4403460</v>
      </c>
    </row>
    <row r="11705" spans="1:4" x14ac:dyDescent="0.25">
      <c r="A11705" t="str">
        <f>T("   090190")</f>
        <v xml:space="preserve">   090190</v>
      </c>
      <c r="B11705" t="str">
        <f>T("   AUTRES")</f>
        <v xml:space="preserve">   AUTRES</v>
      </c>
      <c r="C11705" s="4">
        <v>392</v>
      </c>
      <c r="D11705" s="4">
        <v>1688380</v>
      </c>
    </row>
    <row r="11706" spans="1:4" x14ac:dyDescent="0.25">
      <c r="A11706" t="str">
        <f>T("   090210")</f>
        <v xml:space="preserve">   090210</v>
      </c>
      <c r="B11706" t="str">
        <f>T("   THE VERT (NON FERMENTE) PRESENTE EN EMBALLAGES IMMEDIATS D'UN CONTENU N'EXCEDANT PAS")</f>
        <v xml:space="preserve">   THE VERT (NON FERMENTE) PRESENTE EN EMBALLAGES IMMEDIATS D'UN CONTENU N'EXCEDANT PAS</v>
      </c>
      <c r="C11706" s="4">
        <v>806</v>
      </c>
      <c r="D11706" s="4">
        <v>462452</v>
      </c>
    </row>
    <row r="11707" spans="1:4" x14ac:dyDescent="0.25">
      <c r="A11707" t="str">
        <f>T("   170199")</f>
        <v xml:space="preserve">   170199</v>
      </c>
      <c r="B11707" t="str">
        <f>T("   AUTRES")</f>
        <v xml:space="preserve">   AUTRES</v>
      </c>
      <c r="C11707" s="4">
        <v>1003200</v>
      </c>
      <c r="D11707" s="4">
        <v>425899496.22899997</v>
      </c>
    </row>
    <row r="11708" spans="1:4" x14ac:dyDescent="0.25">
      <c r="A11708" t="str">
        <f>T("   170490")</f>
        <v xml:space="preserve">   170490</v>
      </c>
      <c r="B11708" t="str">
        <f>T("   AUTRES")</f>
        <v xml:space="preserve">   AUTRES</v>
      </c>
      <c r="C11708" s="4">
        <v>360</v>
      </c>
      <c r="D11708" s="4">
        <v>206628</v>
      </c>
    </row>
    <row r="11709" spans="1:4" x14ac:dyDescent="0.25">
      <c r="A11709" t="str">
        <f>T("   190230")</f>
        <v xml:space="preserve">   190230</v>
      </c>
      <c r="B11709" t="str">
        <f>T("   AUTRES PATES ALIMENTAIRES")</f>
        <v xml:space="preserve">   AUTRES PATES ALIMENTAIRES</v>
      </c>
      <c r="C11709" s="4">
        <v>69</v>
      </c>
      <c r="D11709" s="4">
        <v>78715</v>
      </c>
    </row>
    <row r="11710" spans="1:4" x14ac:dyDescent="0.25">
      <c r="A11710" t="str">
        <f>T("   190531")</f>
        <v xml:space="preserve">   190531</v>
      </c>
      <c r="B11710" t="str">
        <f>T("   BISCUITS ADDITIONNES D’EDULCORANTS")</f>
        <v xml:space="preserve">   BISCUITS ADDITIONNES D’EDULCORANTS</v>
      </c>
      <c r="C11710" s="4">
        <v>7235</v>
      </c>
      <c r="D11710" s="4">
        <v>3870123</v>
      </c>
    </row>
    <row r="11711" spans="1:4" x14ac:dyDescent="0.25">
      <c r="A11711" t="str">
        <f>T("   200949")</f>
        <v xml:space="preserve">   200949</v>
      </c>
      <c r="B11711" t="str">
        <f>T("   AUTRES")</f>
        <v xml:space="preserve">   AUTRES</v>
      </c>
      <c r="C11711" s="4">
        <v>118015</v>
      </c>
      <c r="D11711" s="4">
        <v>86382964</v>
      </c>
    </row>
    <row r="11712" spans="1:4" x14ac:dyDescent="0.25">
      <c r="A11712" t="str">
        <f>T("   200969")</f>
        <v xml:space="preserve">   200969</v>
      </c>
      <c r="B11712" t="str">
        <f>T("   AUTRES")</f>
        <v xml:space="preserve">   AUTRES</v>
      </c>
      <c r="C11712" s="4">
        <v>39917</v>
      </c>
      <c r="D11712" s="4">
        <v>39995488</v>
      </c>
    </row>
    <row r="11713" spans="1:4" x14ac:dyDescent="0.25">
      <c r="A11713" t="str">
        <f>T("   200980")</f>
        <v xml:space="preserve">   200980</v>
      </c>
      <c r="B11713" t="str">
        <f>T("   AUTRES JUS DE FRUITS OU DE LEGUMES,SANS ALCOOL,SUCRES OU NON")</f>
        <v xml:space="preserve">   AUTRES JUS DE FRUITS OU DE LEGUMES,SANS ALCOOL,SUCRES OU NON</v>
      </c>
      <c r="C11713" s="4">
        <v>142394</v>
      </c>
      <c r="D11713" s="4">
        <v>42392980</v>
      </c>
    </row>
    <row r="11714" spans="1:4" x14ac:dyDescent="0.25">
      <c r="A11714" t="str">
        <f>T("   200990")</f>
        <v xml:space="preserve">   200990</v>
      </c>
      <c r="B11714" t="str">
        <f>T("   MELANGES DE JUS")</f>
        <v xml:space="preserve">   MELANGES DE JUS</v>
      </c>
      <c r="C11714" s="4">
        <v>36710</v>
      </c>
      <c r="D11714" s="4">
        <v>6752465</v>
      </c>
    </row>
    <row r="11715" spans="1:4" x14ac:dyDescent="0.25">
      <c r="A11715" t="str">
        <f>T("   210390")</f>
        <v xml:space="preserve">   210390</v>
      </c>
      <c r="B11715" t="str">
        <f>T("   AUTRES")</f>
        <v xml:space="preserve">   AUTRES</v>
      </c>
      <c r="C11715" s="4">
        <v>581</v>
      </c>
      <c r="D11715" s="4">
        <v>65596</v>
      </c>
    </row>
    <row r="11716" spans="1:4" x14ac:dyDescent="0.25">
      <c r="A11716" t="str">
        <f>T("   210690")</f>
        <v xml:space="preserve">   210690</v>
      </c>
      <c r="B11716" t="str">
        <f>T("   AUTRES")</f>
        <v xml:space="preserve">   AUTRES</v>
      </c>
      <c r="C11716" s="4">
        <v>672</v>
      </c>
      <c r="D11716" s="4">
        <v>386361</v>
      </c>
    </row>
    <row r="11717" spans="1:4" x14ac:dyDescent="0.25">
      <c r="A11717" t="str">
        <f>T("   220210")</f>
        <v xml:space="preserve">   220210</v>
      </c>
      <c r="B11717" t="str">
        <f>T("   EAUX, Y COMPRIS LES EAUX MINERALES ET LES EAUX GAZEIFIEES, ADDITIONNEES DE SUCRE OU D")</f>
        <v xml:space="preserve">   EAUX, Y COMPRIS LES EAUX MINERALES ET LES EAUX GAZEIFIEES, ADDITIONNEES DE SUCRE OU D</v>
      </c>
      <c r="C11717" s="4">
        <v>261</v>
      </c>
      <c r="D11717" s="4">
        <v>372300</v>
      </c>
    </row>
    <row r="11718" spans="1:4" x14ac:dyDescent="0.25">
      <c r="A11718" t="str">
        <f>T("   220290")</f>
        <v xml:space="preserve">   220290</v>
      </c>
      <c r="B11718" t="str">
        <f>T("   AUTRES")</f>
        <v xml:space="preserve">   AUTRES</v>
      </c>
      <c r="C11718" s="4">
        <v>861</v>
      </c>
      <c r="D11718" s="4">
        <v>493938</v>
      </c>
    </row>
    <row r="11719" spans="1:4" x14ac:dyDescent="0.25">
      <c r="A11719" t="str">
        <f>T("   220421")</f>
        <v xml:space="preserve">   220421</v>
      </c>
      <c r="B11719" t="str">
        <f>T("   EN RECIPIENTS D'UNE CONTENANCE N'EXCEDANT PAS 2 L")</f>
        <v xml:space="preserve">   EN RECIPIENTS D'UNE CONTENANCE N'EXCEDANT PAS 2 L</v>
      </c>
      <c r="C11719" s="4">
        <v>21612</v>
      </c>
      <c r="D11719" s="4">
        <v>10969324</v>
      </c>
    </row>
    <row r="11720" spans="1:4" x14ac:dyDescent="0.25">
      <c r="A11720" t="str">
        <f>T("   220590")</f>
        <v xml:space="preserve">   220590</v>
      </c>
      <c r="B11720" t="str">
        <f>T("   AUTRES")</f>
        <v xml:space="preserve">   AUTRES</v>
      </c>
      <c r="C11720" s="4">
        <v>15959</v>
      </c>
      <c r="D11720" s="4">
        <v>1912418</v>
      </c>
    </row>
    <row r="11721" spans="1:4" x14ac:dyDescent="0.25">
      <c r="A11721" t="str">
        <f>T("   220870")</f>
        <v xml:space="preserve">   220870</v>
      </c>
      <c r="B11721" t="str">
        <f>T("   LIQUEURS")</f>
        <v xml:space="preserve">   LIQUEURS</v>
      </c>
      <c r="C11721" s="4">
        <v>822</v>
      </c>
      <c r="D11721" s="4">
        <v>556254</v>
      </c>
    </row>
    <row r="11722" spans="1:4" x14ac:dyDescent="0.25">
      <c r="A11722" t="str">
        <f>T("   220890")</f>
        <v xml:space="preserve">   220890</v>
      </c>
      <c r="B11722" t="str">
        <f>T("   AUTRES")</f>
        <v xml:space="preserve">   AUTRES</v>
      </c>
      <c r="C11722" s="4">
        <v>240</v>
      </c>
      <c r="D11722" s="4">
        <v>137751</v>
      </c>
    </row>
    <row r="11723" spans="1:4" x14ac:dyDescent="0.25">
      <c r="A11723" t="str">
        <f>T("   250810")</f>
        <v xml:space="preserve">   250810</v>
      </c>
      <c r="B11723" t="str">
        <f>T("   BENTONITE")</f>
        <v xml:space="preserve">   BENTONITE</v>
      </c>
      <c r="C11723" s="4">
        <v>63750</v>
      </c>
      <c r="D11723" s="4">
        <v>19943078</v>
      </c>
    </row>
    <row r="11724" spans="1:4" x14ac:dyDescent="0.25">
      <c r="A11724" t="str">
        <f>T("   271011")</f>
        <v xml:space="preserve">   271011</v>
      </c>
      <c r="B11724" t="str">
        <f>T("   HUILLES DE PETROLE OU D'ESSENCE")</f>
        <v xml:space="preserve">   HUILLES DE PETROLE OU D'ESSENCE</v>
      </c>
      <c r="C11724" s="4">
        <v>51</v>
      </c>
      <c r="D11724" s="4">
        <v>222937</v>
      </c>
    </row>
    <row r="11725" spans="1:4" x14ac:dyDescent="0.25">
      <c r="A11725" t="str">
        <f>T("   271019")</f>
        <v xml:space="preserve">   271019</v>
      </c>
      <c r="B11725" t="str">
        <f>T("   AUTRES")</f>
        <v xml:space="preserve">   AUTRES</v>
      </c>
      <c r="C11725" s="4">
        <v>572200</v>
      </c>
      <c r="D11725" s="4">
        <v>273960992</v>
      </c>
    </row>
    <row r="11726" spans="1:4" x14ac:dyDescent="0.25">
      <c r="A11726" t="str">
        <f>T("   280610")</f>
        <v xml:space="preserve">   280610</v>
      </c>
      <c r="B11726" t="str">
        <f>T("   CHLORURE D'HYDROGENE (ACIDE CHLORHYDRIQUE)")</f>
        <v xml:space="preserve">   CHLORURE D'HYDROGENE (ACIDE CHLORHYDRIQUE)</v>
      </c>
      <c r="C11726" s="4">
        <v>140974</v>
      </c>
      <c r="D11726" s="4">
        <v>19138624</v>
      </c>
    </row>
    <row r="11727" spans="1:4" x14ac:dyDescent="0.25">
      <c r="A11727" t="str">
        <f>T("   280700")</f>
        <v xml:space="preserve">   280700</v>
      </c>
      <c r="B11727" t="str">
        <f>T("   ACIDE SULFURIQUE; OLEUM.")</f>
        <v xml:space="preserve">   ACIDE SULFURIQUE; OLEUM.</v>
      </c>
      <c r="C11727" s="4">
        <v>37905</v>
      </c>
      <c r="D11727" s="4">
        <v>5884383</v>
      </c>
    </row>
    <row r="11728" spans="1:4" x14ac:dyDescent="0.25">
      <c r="A11728" t="str">
        <f>T("   284910")</f>
        <v xml:space="preserve">   284910</v>
      </c>
      <c r="B11728" t="str">
        <f>T("   DE CALCIUM")</f>
        <v xml:space="preserve">   DE CALCIUM</v>
      </c>
      <c r="C11728" s="4">
        <v>21300</v>
      </c>
      <c r="D11728" s="4">
        <v>10686342</v>
      </c>
    </row>
    <row r="11729" spans="1:4" x14ac:dyDescent="0.25">
      <c r="A11729" t="str">
        <f>T("   294200")</f>
        <v xml:space="preserve">   294200</v>
      </c>
      <c r="B11729" t="str">
        <f>T("   AUTRES COMPOSES ORGANIQUES.")</f>
        <v xml:space="preserve">   AUTRES COMPOSES ORGANIQUES.</v>
      </c>
      <c r="C11729" s="4">
        <v>8</v>
      </c>
      <c r="D11729" s="4">
        <v>120000</v>
      </c>
    </row>
    <row r="11730" spans="1:4" x14ac:dyDescent="0.25">
      <c r="A11730" t="str">
        <f>T("   300620")</f>
        <v xml:space="preserve">   300620</v>
      </c>
      <c r="B11730" t="str">
        <f>T("   REACTIFS DESTINES A LA DETERMINATION DES GROUPES OU DES FACTEURS SANGUINS")</f>
        <v xml:space="preserve">   REACTIFS DESTINES A LA DETERMINATION DES GROUPES OU DES FACTEURS SANGUINS</v>
      </c>
      <c r="C11730" s="4">
        <v>5</v>
      </c>
      <c r="D11730" s="4">
        <v>410849</v>
      </c>
    </row>
    <row r="11731" spans="1:4" x14ac:dyDescent="0.25">
      <c r="A11731" t="str">
        <f>T("   330499")</f>
        <v xml:space="preserve">   330499</v>
      </c>
      <c r="B11731" t="str">
        <f>T("   AUTRES")</f>
        <v xml:space="preserve">   AUTRES</v>
      </c>
      <c r="C11731" s="4">
        <v>118360</v>
      </c>
      <c r="D11731" s="4">
        <v>42040017</v>
      </c>
    </row>
    <row r="11732" spans="1:4" x14ac:dyDescent="0.25">
      <c r="A11732" t="str">
        <f>T("   330590")</f>
        <v xml:space="preserve">   330590</v>
      </c>
      <c r="B11732" t="str">
        <f>T("   AUTRES")</f>
        <v xml:space="preserve">   AUTRES</v>
      </c>
      <c r="C11732" s="4">
        <v>683</v>
      </c>
      <c r="D11732" s="4">
        <v>391609</v>
      </c>
    </row>
    <row r="11733" spans="1:4" x14ac:dyDescent="0.25">
      <c r="A11733" t="str">
        <f>T("   330610")</f>
        <v xml:space="preserve">   330610</v>
      </c>
      <c r="B11733" t="str">
        <f>T("   Dentifrices")</f>
        <v xml:space="preserve">   Dentifrices</v>
      </c>
      <c r="C11733" s="4">
        <v>1020</v>
      </c>
      <c r="D11733" s="4">
        <v>585773</v>
      </c>
    </row>
    <row r="11734" spans="1:4" x14ac:dyDescent="0.25">
      <c r="A11734" t="str">
        <f>T("   340319")</f>
        <v xml:space="preserve">   340319</v>
      </c>
      <c r="B11734" t="str">
        <f>T("   AUTRES")</f>
        <v xml:space="preserve">   AUTRES</v>
      </c>
      <c r="C11734" s="4">
        <v>25</v>
      </c>
      <c r="D11734" s="4">
        <v>149369</v>
      </c>
    </row>
    <row r="11735" spans="1:4" x14ac:dyDescent="0.25">
      <c r="A11735" t="str">
        <f>T("   350520")</f>
        <v xml:space="preserve">   350520</v>
      </c>
      <c r="B11735" t="str">
        <f>T("   Colles")</f>
        <v xml:space="preserve">   Colles</v>
      </c>
      <c r="C11735" s="4">
        <v>21200</v>
      </c>
      <c r="D11735" s="4">
        <v>18962491</v>
      </c>
    </row>
    <row r="11736" spans="1:4" x14ac:dyDescent="0.25">
      <c r="A11736" t="str">
        <f>T("   380850")</f>
        <v xml:space="preserve">   380850</v>
      </c>
      <c r="B11736" t="str">
        <f>T("   MARCHANDISES MENTIONNEES DANS LA NOTE 1 DE SOUSPOSITIONS DU PRESENT CHAPITRE")</f>
        <v xml:space="preserve">   MARCHANDISES MENTIONNEES DANS LA NOTE 1 DE SOUSPOSITIONS DU PRESENT CHAPITRE</v>
      </c>
      <c r="C11736" s="4">
        <v>112</v>
      </c>
      <c r="D11736" s="4">
        <v>877000</v>
      </c>
    </row>
    <row r="11737" spans="1:4" x14ac:dyDescent="0.25">
      <c r="A11737" t="str">
        <f>T("   382200")</f>
        <v xml:space="preserve">   382200</v>
      </c>
      <c r="B11737" t="str">
        <f>T("   REACTIFS DE DIAGNOSTIC OU DE LABORATOIRE SUR TOUT SUPPORT ET REACTIFS DE DIAGNOSTIC OU")</f>
        <v xml:space="preserve">   REACTIFS DE DIAGNOSTIC OU DE LABORATOIRE SUR TOUT SUPPORT ET REACTIFS DE DIAGNOSTIC OU</v>
      </c>
      <c r="C11737" s="4">
        <v>3390</v>
      </c>
      <c r="D11737" s="4">
        <v>45725196</v>
      </c>
    </row>
    <row r="11738" spans="1:4" x14ac:dyDescent="0.25">
      <c r="A11738" t="str">
        <f>T("   390110")</f>
        <v xml:space="preserve">   390110</v>
      </c>
      <c r="B11738" t="str">
        <f>T("   POLYETHYLENE D'UNE DENSITE INFERIEURE A 0,94")</f>
        <v xml:space="preserve">   POLYETHYLENE D'UNE DENSITE INFERIEURE A 0,94</v>
      </c>
      <c r="C11738" s="4">
        <v>17000</v>
      </c>
      <c r="D11738" s="4">
        <v>11353356</v>
      </c>
    </row>
    <row r="11739" spans="1:4" x14ac:dyDescent="0.25">
      <c r="A11739" t="str">
        <f>T("   390120")</f>
        <v xml:space="preserve">   390120</v>
      </c>
      <c r="B11739" t="str">
        <f>T("   POLYETHYLENE D'UNE DENSITE EGALE OU SUPERIEURE A 0,94")</f>
        <v xml:space="preserve">   POLYETHYLENE D'UNE DENSITE EGALE OU SUPERIEURE A 0,94</v>
      </c>
      <c r="C11739" s="4">
        <v>49000</v>
      </c>
      <c r="D11739" s="4">
        <v>33566786</v>
      </c>
    </row>
    <row r="11740" spans="1:4" x14ac:dyDescent="0.25">
      <c r="A11740" t="str">
        <f>T("   390210")</f>
        <v xml:space="preserve">   390210</v>
      </c>
      <c r="B11740" t="str">
        <f>T("   POLYPROPYLENE")</f>
        <v xml:space="preserve">   POLYPROPYLENE</v>
      </c>
      <c r="C11740" s="4">
        <v>170476</v>
      </c>
      <c r="D11740" s="4">
        <v>97873167</v>
      </c>
    </row>
    <row r="11741" spans="1:4" x14ac:dyDescent="0.25">
      <c r="A11741" t="str">
        <f>T("   390690")</f>
        <v xml:space="preserve">   390690</v>
      </c>
      <c r="B11741" t="str">
        <f>T("   AUTRES")</f>
        <v xml:space="preserve">   AUTRES</v>
      </c>
      <c r="C11741" s="4">
        <v>18640</v>
      </c>
      <c r="D11741" s="4">
        <v>15992305</v>
      </c>
    </row>
    <row r="11742" spans="1:4" x14ac:dyDescent="0.25">
      <c r="A11742" t="str">
        <f>T("   392310")</f>
        <v xml:space="preserve">   392310</v>
      </c>
      <c r="B11742" t="str">
        <f>T("   BOITES, CAISSES, CASIERS ET ARTICLES SIMILAIRES")</f>
        <v xml:space="preserve">   BOITES, CAISSES, CASIERS ET ARTICLES SIMILAIRES</v>
      </c>
      <c r="C11742" s="4">
        <v>17</v>
      </c>
      <c r="D11742" s="4">
        <v>621375</v>
      </c>
    </row>
    <row r="11743" spans="1:4" x14ac:dyDescent="0.25">
      <c r="A11743" t="str">
        <f>T("   392321")</f>
        <v xml:space="preserve">   392321</v>
      </c>
      <c r="B11743" t="str">
        <f>T("   EN POLYMERES DE L'ETHYLENE")</f>
        <v xml:space="preserve">   EN POLYMERES DE L'ETHYLENE</v>
      </c>
      <c r="C11743" s="4">
        <v>87</v>
      </c>
      <c r="D11743" s="4">
        <v>139411</v>
      </c>
    </row>
    <row r="11744" spans="1:4" x14ac:dyDescent="0.25">
      <c r="A11744" t="str">
        <f>T("   392329")</f>
        <v xml:space="preserve">   392329</v>
      </c>
      <c r="B11744" t="str">
        <f>T("   EN AUTRES MATIERES PLASTIQUES")</f>
        <v xml:space="preserve">   EN AUTRES MATIERES PLASTIQUES</v>
      </c>
      <c r="C11744" s="4">
        <v>348</v>
      </c>
      <c r="D11744" s="4">
        <v>869787</v>
      </c>
    </row>
    <row r="11745" spans="1:4" x14ac:dyDescent="0.25">
      <c r="A11745" t="str">
        <f>T("   392350")</f>
        <v xml:space="preserve">   392350</v>
      </c>
      <c r="B11745" t="str">
        <f>T("   BOUCHONS, COUVERCLES, CAPSULES ET AUTRES DISPOSITIFS DE FERMETURE")</f>
        <v xml:space="preserve">   BOUCHONS, COUVERCLES, CAPSULES ET AUTRES DISPOSITIFS DE FERMETURE</v>
      </c>
      <c r="C11745" s="4">
        <v>6</v>
      </c>
      <c r="D11745" s="4">
        <v>11379</v>
      </c>
    </row>
    <row r="11746" spans="1:4" x14ac:dyDescent="0.25">
      <c r="A11746" t="str">
        <f>T("   392390")</f>
        <v xml:space="preserve">   392390</v>
      </c>
      <c r="B11746" t="str">
        <f>T("   AUTRES")</f>
        <v xml:space="preserve">   AUTRES</v>
      </c>
      <c r="C11746" s="4">
        <v>312</v>
      </c>
      <c r="D11746" s="4">
        <v>899847</v>
      </c>
    </row>
    <row r="11747" spans="1:4" x14ac:dyDescent="0.25">
      <c r="A11747" t="str">
        <f>T("   392410")</f>
        <v xml:space="preserve">   392410</v>
      </c>
      <c r="B11747" t="str">
        <f>T("   VAISSELLE ET AUTRES ARTICLES POUR LE SERVICE DE LA TABLE OU DE LA CUISINE")</f>
        <v xml:space="preserve">   VAISSELLE ET AUTRES ARTICLES POUR LE SERVICE DE LA TABLE OU DE LA CUISINE</v>
      </c>
      <c r="C11747" s="4">
        <v>865</v>
      </c>
      <c r="D11747" s="4">
        <v>1497734</v>
      </c>
    </row>
    <row r="11748" spans="1:4" x14ac:dyDescent="0.25">
      <c r="A11748" t="str">
        <f>T("   392690")</f>
        <v xml:space="preserve">   392690</v>
      </c>
      <c r="B11748" t="str">
        <f>T("   AUTRES")</f>
        <v xml:space="preserve">   AUTRES</v>
      </c>
      <c r="C11748" s="4">
        <v>58</v>
      </c>
      <c r="D11748" s="4">
        <v>230029</v>
      </c>
    </row>
    <row r="11749" spans="1:4" x14ac:dyDescent="0.25">
      <c r="A11749" t="str">
        <f>T("   400921")</f>
        <v xml:space="preserve">   400921</v>
      </c>
      <c r="B11749" t="str">
        <f>T("   SANS ACCESSOIRES")</f>
        <v xml:space="preserve">   SANS ACCESSOIRES</v>
      </c>
      <c r="C11749" s="4">
        <v>402</v>
      </c>
      <c r="D11749" s="4">
        <v>870217</v>
      </c>
    </row>
    <row r="11750" spans="1:4" x14ac:dyDescent="0.25">
      <c r="A11750" t="str">
        <f>T("   401110")</f>
        <v xml:space="preserve">   401110</v>
      </c>
      <c r="B11750" t="str">
        <f>T("   DES TYPES UTILISES POUR LES VOITURES DE TOURISME (Y COMPRIS LES VOITURES DU TYPE «BRE")</f>
        <v xml:space="preserve">   DES TYPES UTILISES POUR LES VOITURES DE TOURISME (Y COMPRIS LES VOITURES DU TYPE «BRE</v>
      </c>
      <c r="C11750" s="4">
        <v>273.2</v>
      </c>
      <c r="D11750" s="4">
        <v>984727</v>
      </c>
    </row>
    <row r="11751" spans="1:4" x14ac:dyDescent="0.25">
      <c r="A11751" t="str">
        <f>T("   401120")</f>
        <v xml:space="preserve">   401120</v>
      </c>
      <c r="B11751" t="str">
        <f>T("   DES TYPES UTILISES POUR AUTOBUS OU CAMIONS")</f>
        <v xml:space="preserve">   DES TYPES UTILISES POUR AUTOBUS OU CAMIONS</v>
      </c>
      <c r="C11751" s="4">
        <v>274</v>
      </c>
      <c r="D11751" s="4">
        <v>1247737</v>
      </c>
    </row>
    <row r="11752" spans="1:4" x14ac:dyDescent="0.25">
      <c r="A11752" t="str">
        <f>T("   401192")</f>
        <v xml:space="preserve">   401192</v>
      </c>
      <c r="B11752" t="str">
        <f>T("   DES TYPES UTILISES POUR LES VEHICULES ET ENGINS AGRICOLES ET FORESTIERS")</f>
        <v xml:space="preserve">   DES TYPES UTILISES POUR LES VEHICULES ET ENGINS AGRICOLES ET FORESTIERS</v>
      </c>
      <c r="C11752" s="4">
        <v>1510</v>
      </c>
      <c r="D11752" s="4">
        <v>36718489</v>
      </c>
    </row>
    <row r="11753" spans="1:4" x14ac:dyDescent="0.25">
      <c r="A11753" t="str">
        <f>T("   401699")</f>
        <v xml:space="preserve">   401699</v>
      </c>
      <c r="B11753" t="str">
        <f>T("   AUTRES")</f>
        <v xml:space="preserve">   AUTRES</v>
      </c>
      <c r="C11753" s="4">
        <v>299</v>
      </c>
      <c r="D11753" s="4">
        <v>1936174</v>
      </c>
    </row>
    <row r="11754" spans="1:4" x14ac:dyDescent="0.25">
      <c r="A11754" t="str">
        <f>T("   480210")</f>
        <v xml:space="preserve">   480210</v>
      </c>
      <c r="B11754" t="str">
        <f>T("   Papiers et cartons formes feuille a feuille (papiers a la main)")</f>
        <v xml:space="preserve">   Papiers et cartons formes feuille a feuille (papiers a la main)</v>
      </c>
      <c r="C11754" s="4">
        <v>98545</v>
      </c>
      <c r="D11754" s="4">
        <v>48585625</v>
      </c>
    </row>
    <row r="11755" spans="1:4" x14ac:dyDescent="0.25">
      <c r="A11755" t="str">
        <f>T("   480256")</f>
        <v xml:space="preserve">   480256</v>
      </c>
      <c r="B11755" t="str">
        <f>T("   D'UN POIDS AU M² DE 40 G OU PLUS MAIS N'EXCEDANT PAS 150 G, EN FEUILLES DONT UN COTE")</f>
        <v xml:space="preserve">   D'UN POIDS AU M² DE 40 G OU PLUS MAIS N'EXCEDANT PAS 150 G, EN FEUILLES DONT UN COTE</v>
      </c>
      <c r="C11755" s="4">
        <v>99800</v>
      </c>
      <c r="D11755" s="4">
        <v>29942494</v>
      </c>
    </row>
    <row r="11756" spans="1:4" x14ac:dyDescent="0.25">
      <c r="A11756" t="str">
        <f>T("   480810")</f>
        <v xml:space="preserve">   480810</v>
      </c>
      <c r="B11756" t="str">
        <f>T("    PAPIERS ET CARTONS ONDULES, MEME PERFORES")</f>
        <v xml:space="preserve">    PAPIERS ET CARTONS ONDULES, MEME PERFORES</v>
      </c>
      <c r="C11756" s="4">
        <v>22050</v>
      </c>
      <c r="D11756" s="4">
        <v>35813579</v>
      </c>
    </row>
    <row r="11757" spans="1:4" x14ac:dyDescent="0.25">
      <c r="A11757" t="str">
        <f>T("   481890")</f>
        <v xml:space="preserve">   481890</v>
      </c>
      <c r="B11757" t="str">
        <f>T("   AUTRES")</f>
        <v xml:space="preserve">   AUTRES</v>
      </c>
      <c r="C11757" s="4">
        <v>336</v>
      </c>
      <c r="D11757" s="4">
        <v>548075</v>
      </c>
    </row>
    <row r="11758" spans="1:4" x14ac:dyDescent="0.25">
      <c r="A11758" t="str">
        <f>T("   482369")</f>
        <v xml:space="preserve">   482369</v>
      </c>
      <c r="B11758" t="str">
        <f>T("   AUTRES")</f>
        <v xml:space="preserve">   AUTRES</v>
      </c>
      <c r="C11758" s="4">
        <v>10</v>
      </c>
      <c r="D11758" s="4">
        <v>16689</v>
      </c>
    </row>
    <row r="11759" spans="1:4" x14ac:dyDescent="0.25">
      <c r="A11759" t="str">
        <f>T("   482390")</f>
        <v xml:space="preserve">   482390</v>
      </c>
      <c r="B11759" t="str">
        <f>T("   AUTRES")</f>
        <v xml:space="preserve">   AUTRES</v>
      </c>
      <c r="C11759" s="4">
        <v>48</v>
      </c>
      <c r="D11759" s="4">
        <v>188204</v>
      </c>
    </row>
    <row r="11760" spans="1:4" x14ac:dyDescent="0.25">
      <c r="A11760" t="str">
        <f>T("   490199")</f>
        <v xml:space="preserve">   490199</v>
      </c>
      <c r="B11760" t="str">
        <f>T("   AUTRES")</f>
        <v xml:space="preserve">   AUTRES</v>
      </c>
      <c r="C11760" s="4">
        <v>725</v>
      </c>
      <c r="D11760" s="4">
        <v>3483377</v>
      </c>
    </row>
    <row r="11761" spans="1:4" x14ac:dyDescent="0.25">
      <c r="A11761" t="str">
        <f>T("   490900")</f>
        <v xml:space="preserve">   490900</v>
      </c>
      <c r="B11761" t="str">
        <f>T("   CARTES POSTALES IMPRIMEES OU ILLUSTREES; CARTES IMPRIMEES COMPORTANT DES VœUX OU DES ME")</f>
        <v xml:space="preserve">   CARTES POSTALES IMPRIMEES OU ILLUSTREES; CARTES IMPRIMEES COMPORTANT DES VœUX OU DES ME</v>
      </c>
      <c r="C11761" s="4">
        <v>160</v>
      </c>
      <c r="D11761" s="4">
        <v>966076</v>
      </c>
    </row>
    <row r="11762" spans="1:4" x14ac:dyDescent="0.25">
      <c r="A11762" t="str">
        <f>T("   491000")</f>
        <v xml:space="preserve">   491000</v>
      </c>
      <c r="B11762" t="str">
        <f>T("   CALENDRIERS DE TOUS GENRES, IMPRIMES, Y COMPRIS LES BLOCS DE CALENDRIERS A EFFEUILLER.")</f>
        <v xml:space="preserve">   CALENDRIERS DE TOUS GENRES, IMPRIMES, Y COMPRIS LES BLOCS DE CALENDRIERS A EFFEUILLER.</v>
      </c>
      <c r="C11762" s="4">
        <v>1245</v>
      </c>
      <c r="D11762" s="4">
        <v>5277698</v>
      </c>
    </row>
    <row r="11763" spans="1:4" x14ac:dyDescent="0.25">
      <c r="A11763" t="str">
        <f>T("   491110")</f>
        <v xml:space="preserve">   491110</v>
      </c>
      <c r="B11763" t="str">
        <f>T("   IMPRIMES PUBLICITAIRES, CATALOGUES COMMERCIAUX ET SIMILAIRES")</f>
        <v xml:space="preserve">   IMPRIMES PUBLICITAIRES, CATALOGUES COMMERCIAUX ET SIMILAIRES</v>
      </c>
      <c r="C11763" s="4">
        <v>40</v>
      </c>
      <c r="D11763" s="4">
        <v>719754</v>
      </c>
    </row>
    <row r="11764" spans="1:4" x14ac:dyDescent="0.25">
      <c r="A11764" t="str">
        <f>T("   610910")</f>
        <v xml:space="preserve">   610910</v>
      </c>
      <c r="B11764" t="str">
        <f>T("   DE COTON")</f>
        <v xml:space="preserve">   DE COTON</v>
      </c>
      <c r="C11764" s="4">
        <v>107</v>
      </c>
      <c r="D11764" s="4">
        <v>175500</v>
      </c>
    </row>
    <row r="11765" spans="1:4" x14ac:dyDescent="0.25">
      <c r="A11765" t="str">
        <f>T("   620119")</f>
        <v xml:space="preserve">   620119</v>
      </c>
      <c r="B11765" t="str">
        <f>T("   D'AUTRES MATIERES TEXTILES")</f>
        <v xml:space="preserve">   D'AUTRES MATIERES TEXTILES</v>
      </c>
      <c r="C11765" s="4">
        <v>38</v>
      </c>
      <c r="D11765" s="4">
        <v>8990</v>
      </c>
    </row>
    <row r="11766" spans="1:4" x14ac:dyDescent="0.25">
      <c r="A11766" t="str">
        <f>T("   620319")</f>
        <v xml:space="preserve">   620319</v>
      </c>
      <c r="B11766" t="str">
        <f>T("   D'AUTRES MATIERES TEXTILES")</f>
        <v xml:space="preserve">   D'AUTRES MATIERES TEXTILES</v>
      </c>
      <c r="C11766" s="4">
        <v>15</v>
      </c>
      <c r="D11766" s="4">
        <v>400000</v>
      </c>
    </row>
    <row r="11767" spans="1:4" x14ac:dyDescent="0.25">
      <c r="A11767" t="str">
        <f>T("   620349")</f>
        <v xml:space="preserve">   620349</v>
      </c>
      <c r="B11767" t="str">
        <f>T("   D'AUTRES MATIERES TEXTILES")</f>
        <v xml:space="preserve">   D'AUTRES MATIERES TEXTILES</v>
      </c>
      <c r="C11767" s="4">
        <v>180</v>
      </c>
      <c r="D11767" s="4">
        <v>310000</v>
      </c>
    </row>
    <row r="11768" spans="1:4" x14ac:dyDescent="0.25">
      <c r="A11768" t="str">
        <f>T("   620590")</f>
        <v xml:space="preserve">   620590</v>
      </c>
      <c r="B11768" t="str">
        <f>T("   D'AUTRES MATIERES TEXTILES")</f>
        <v xml:space="preserve">   D'AUTRES MATIERES TEXTILES</v>
      </c>
      <c r="C11768" s="4">
        <v>7348</v>
      </c>
      <c r="D11768" s="4">
        <v>6435086</v>
      </c>
    </row>
    <row r="11769" spans="1:4" x14ac:dyDescent="0.25">
      <c r="A11769" t="str">
        <f>T("   621040")</f>
        <v xml:space="preserve">   621040</v>
      </c>
      <c r="B11769" t="str">
        <f>T("   AUTRES VETEMENTS POUR HOMMES OU GARCONNETS")</f>
        <v xml:space="preserve">   AUTRES VETEMENTS POUR HOMMES OU GARCONNETS</v>
      </c>
      <c r="C11769" s="4">
        <v>120</v>
      </c>
      <c r="D11769" s="4">
        <v>42000</v>
      </c>
    </row>
    <row r="11770" spans="1:4" x14ac:dyDescent="0.25">
      <c r="A11770" t="str">
        <f>T("   621139")</f>
        <v xml:space="preserve">   621139</v>
      </c>
      <c r="B11770" t="str">
        <f>T("   D'AUTRES MATIERES TEXTILES")</f>
        <v xml:space="preserve">   D'AUTRES MATIERES TEXTILES</v>
      </c>
      <c r="C11770" s="4">
        <v>26</v>
      </c>
      <c r="D11770" s="4">
        <v>150000</v>
      </c>
    </row>
    <row r="11771" spans="1:4" x14ac:dyDescent="0.25">
      <c r="A11771" t="str">
        <f>T("   621142")</f>
        <v xml:space="preserve">   621142</v>
      </c>
      <c r="B11771" t="str">
        <f>T("   DE COTON")</f>
        <v xml:space="preserve">   DE COTON</v>
      </c>
      <c r="C11771" s="4">
        <v>120</v>
      </c>
      <c r="D11771" s="4">
        <v>30000</v>
      </c>
    </row>
    <row r="11772" spans="1:4" x14ac:dyDescent="0.25">
      <c r="A11772" t="str">
        <f>T("   630253")</f>
        <v xml:space="preserve">   630253</v>
      </c>
      <c r="B11772" t="str">
        <f>T("   DE FIBRES SYNTHETIQUES OU ARTIFICIELLES")</f>
        <v xml:space="preserve">   DE FIBRES SYNTHETIQUES OU ARTIFICIELLES</v>
      </c>
      <c r="C11772" s="4">
        <v>40</v>
      </c>
      <c r="D11772" s="4">
        <v>119249</v>
      </c>
    </row>
    <row r="11773" spans="1:4" x14ac:dyDescent="0.25">
      <c r="A11773" t="str">
        <f>T("   630260")</f>
        <v xml:space="preserve">   630260</v>
      </c>
      <c r="B11773" t="str">
        <f>T("   LINGE DE TOILETTE OU DE CUISINE, BOUCLE DU GENRE EPONGE, DE COTON")</f>
        <v xml:space="preserve">   LINGE DE TOILETTE OU DE CUISINE, BOUCLE DU GENRE EPONGE, DE COTON</v>
      </c>
      <c r="C11773" s="4">
        <v>111</v>
      </c>
      <c r="D11773" s="4">
        <v>257512</v>
      </c>
    </row>
    <row r="11774" spans="1:4" x14ac:dyDescent="0.25">
      <c r="A11774" t="str">
        <f>T("   690410")</f>
        <v xml:space="preserve">   690410</v>
      </c>
      <c r="B11774" t="str">
        <f>T("   BRIQUES DE CONSTRUCTION")</f>
        <v xml:space="preserve">   BRIQUES DE CONSTRUCTION</v>
      </c>
      <c r="C11774" s="4">
        <v>22260</v>
      </c>
      <c r="D11774" s="4">
        <v>3342608</v>
      </c>
    </row>
    <row r="11775" spans="1:4" x14ac:dyDescent="0.25">
      <c r="A11775" t="str">
        <f>T("   700721")</f>
        <v xml:space="preserve">   700721</v>
      </c>
      <c r="B11775" t="str">
        <f>T("   DE DIMENSIONS ET FORMATS PERMETTANT LEUR EMPLOI DANS LES AUTOMOBILES, VEHICULES AERI")</f>
        <v xml:space="preserve">   DE DIMENSIONS ET FORMATS PERMETTANT LEUR EMPLOI DANS LES AUTOMOBILES, VEHICULES AERI</v>
      </c>
      <c r="C11775" s="4">
        <v>332</v>
      </c>
      <c r="D11775" s="4">
        <v>2620427</v>
      </c>
    </row>
    <row r="11776" spans="1:4" x14ac:dyDescent="0.25">
      <c r="A11776" t="str">
        <f>T("   700991")</f>
        <v xml:space="preserve">   700991</v>
      </c>
      <c r="B11776" t="str">
        <f>T("   NON ENCADRES")</f>
        <v xml:space="preserve">   NON ENCADRES</v>
      </c>
      <c r="C11776" s="4">
        <v>3550</v>
      </c>
      <c r="D11776" s="4">
        <v>320000</v>
      </c>
    </row>
    <row r="11777" spans="1:4" x14ac:dyDescent="0.25">
      <c r="A11777" t="str">
        <f>T("   701790")</f>
        <v xml:space="preserve">   701790</v>
      </c>
      <c r="B11777" t="str">
        <f>T("   AUTRE")</f>
        <v xml:space="preserve">   AUTRE</v>
      </c>
      <c r="C11777" s="4">
        <v>19</v>
      </c>
      <c r="D11777" s="4">
        <v>77487</v>
      </c>
    </row>
    <row r="11778" spans="1:4" x14ac:dyDescent="0.25">
      <c r="A11778" t="str">
        <f>T("   720917")</f>
        <v xml:space="preserve">   720917</v>
      </c>
      <c r="B11778" t="str">
        <f>T("   D'UNE EPAISSEUR DE 0,5 MM OU PLUS MAIS N'EXCEDANT PAS 1 MM")</f>
        <v xml:space="preserve">   D'UNE EPAISSEUR DE 0,5 MM OU PLUS MAIS N'EXCEDANT PAS 1 MM</v>
      </c>
      <c r="C11778" s="4">
        <v>79430</v>
      </c>
      <c r="D11778" s="4">
        <v>26730803</v>
      </c>
    </row>
    <row r="11779" spans="1:4" x14ac:dyDescent="0.25">
      <c r="A11779" t="str">
        <f>T("   730611")</f>
        <v xml:space="preserve">   730611</v>
      </c>
      <c r="B11779" t="str">
        <f>T("   SOUDES, EN ACIERS INOXYDABLES")</f>
        <v xml:space="preserve">   SOUDES, EN ACIERS INOXYDABLES</v>
      </c>
      <c r="C11779" s="4">
        <v>726</v>
      </c>
      <c r="D11779" s="4">
        <v>17675612</v>
      </c>
    </row>
    <row r="11780" spans="1:4" x14ac:dyDescent="0.25">
      <c r="A11780" t="str">
        <f>T("   730820")</f>
        <v xml:space="preserve">   730820</v>
      </c>
      <c r="B11780" t="str">
        <f>T("   TOURS ET PYLONES")</f>
        <v xml:space="preserve">   TOURS ET PYLONES</v>
      </c>
      <c r="C11780" s="4">
        <v>2818</v>
      </c>
      <c r="D11780" s="4">
        <v>15098199</v>
      </c>
    </row>
    <row r="11781" spans="1:4" x14ac:dyDescent="0.25">
      <c r="A11781" t="str">
        <f>T("   731815")</f>
        <v xml:space="preserve">   731815</v>
      </c>
      <c r="B11781" t="str">
        <f>T("   AUTRES VIS ET BOULONS, MEME AVEC LEURS ECROUS OU RONDELLES")</f>
        <v xml:space="preserve">   AUTRES VIS ET BOULONS, MEME AVEC LEURS ECROUS OU RONDELLES</v>
      </c>
      <c r="C11781" s="4">
        <v>520</v>
      </c>
      <c r="D11781" s="4">
        <v>5195197</v>
      </c>
    </row>
    <row r="11782" spans="1:4" x14ac:dyDescent="0.25">
      <c r="A11782" t="str">
        <f>T("   732181")</f>
        <v xml:space="preserve">   732181</v>
      </c>
      <c r="B11782" t="str">
        <f>T("   A COMBUSTIBLES GAZEUX OU A GAZ ET AUTRES COMBUSTIBLES")</f>
        <v xml:space="preserve">   A COMBUSTIBLES GAZEUX OU A GAZ ET AUTRES COMBUSTIBLES</v>
      </c>
      <c r="C11782" s="4">
        <v>11300</v>
      </c>
      <c r="D11782" s="4">
        <v>400000</v>
      </c>
    </row>
    <row r="11783" spans="1:4" x14ac:dyDescent="0.25">
      <c r="A11783" t="str">
        <f>T("   732394")</f>
        <v xml:space="preserve">   732394</v>
      </c>
      <c r="B11783" t="str">
        <f>T("   EN FER OU EN ACIER, EMAILLES")</f>
        <v xml:space="preserve">   EN FER OU EN ACIER, EMAILLES</v>
      </c>
      <c r="C11783" s="4">
        <v>4322</v>
      </c>
      <c r="D11783" s="4">
        <v>3763856</v>
      </c>
    </row>
    <row r="11784" spans="1:4" x14ac:dyDescent="0.25">
      <c r="A11784" t="str">
        <f>T("   732399")</f>
        <v xml:space="preserve">   732399</v>
      </c>
      <c r="B11784" t="str">
        <f>T("   AUTRES")</f>
        <v xml:space="preserve">   AUTRES</v>
      </c>
      <c r="C11784" s="4">
        <v>2200</v>
      </c>
      <c r="D11784" s="4">
        <v>1700000</v>
      </c>
    </row>
    <row r="11785" spans="1:4" x14ac:dyDescent="0.25">
      <c r="A11785" t="str">
        <f>T("   741220")</f>
        <v xml:space="preserve">   741220</v>
      </c>
      <c r="B11785" t="str">
        <f>T("   EN ALLIAGES DE CUIVRE")</f>
        <v xml:space="preserve">   EN ALLIAGES DE CUIVRE</v>
      </c>
      <c r="C11785" s="4">
        <v>302</v>
      </c>
      <c r="D11785" s="4">
        <v>362951</v>
      </c>
    </row>
    <row r="11786" spans="1:4" x14ac:dyDescent="0.25">
      <c r="A11786" t="str">
        <f>T("   760529")</f>
        <v xml:space="preserve">   760529</v>
      </c>
      <c r="B11786" t="str">
        <f>T("   AUTRES")</f>
        <v xml:space="preserve">   AUTRES</v>
      </c>
      <c r="C11786" s="4">
        <v>143</v>
      </c>
      <c r="D11786" s="4">
        <v>131192</v>
      </c>
    </row>
    <row r="11787" spans="1:4" x14ac:dyDescent="0.25">
      <c r="A11787" t="str">
        <f>T("   761511")</f>
        <v xml:space="preserve">   761511</v>
      </c>
      <c r="B11787" t="str">
        <f>T("   EPONGES,TORCHONS,GANTS,SIMILAIRES POUR RECURAGE POLISSAGE ETC.EN ALUMINIUM")</f>
        <v xml:space="preserve">   EPONGES,TORCHONS,GANTS,SIMILAIRES POUR RECURAGE POLISSAGE ETC.EN ALUMINIUM</v>
      </c>
      <c r="C11787" s="4">
        <v>328</v>
      </c>
      <c r="D11787" s="4">
        <v>485488</v>
      </c>
    </row>
    <row r="11788" spans="1:4" x14ac:dyDescent="0.25">
      <c r="A11788" t="str">
        <f>T("   821599")</f>
        <v xml:space="preserve">   821599</v>
      </c>
      <c r="B11788" t="str">
        <f>T("   AUTRES")</f>
        <v xml:space="preserve">   AUTRES</v>
      </c>
      <c r="C11788" s="4">
        <v>23</v>
      </c>
      <c r="D11788" s="4">
        <v>55528</v>
      </c>
    </row>
    <row r="11789" spans="1:4" x14ac:dyDescent="0.25">
      <c r="A11789" t="str">
        <f>T("   830300")</f>
        <v xml:space="preserve">   830300</v>
      </c>
      <c r="B11789" t="str">
        <f>T("   COFFRESFORTS, PORTES BLINDEES ET COMPARTIMENTS POUR CHAMBRES FORTES, COFFRES ET CASSET")</f>
        <v xml:space="preserve">   COFFRESFORTS, PORTES BLINDEES ET COMPARTIMENTS POUR CHAMBRES FORTES, COFFRES ET CASSET</v>
      </c>
      <c r="C11789" s="4">
        <v>1012</v>
      </c>
      <c r="D11789" s="4">
        <v>5159515</v>
      </c>
    </row>
    <row r="11790" spans="1:4" x14ac:dyDescent="0.25">
      <c r="A11790" t="str">
        <f>T("   840410")</f>
        <v xml:space="preserve">   840410</v>
      </c>
      <c r="B11790" t="str">
        <f>T("   APPAREILS AUXILIAIRES POUR CHAUDIERES DES N°S 84.02 OU 84.03")</f>
        <v xml:space="preserve">   APPAREILS AUXILIAIRES POUR CHAUDIERES DES N°S 84.02 OU 84.03</v>
      </c>
      <c r="C11790" s="4">
        <v>6</v>
      </c>
      <c r="D11790" s="4">
        <v>572063</v>
      </c>
    </row>
    <row r="11791" spans="1:4" x14ac:dyDescent="0.25">
      <c r="A11791" t="str">
        <f>T("   840999")</f>
        <v xml:space="preserve">   840999</v>
      </c>
      <c r="B11791" t="str">
        <f>T("   AUTRES")</f>
        <v xml:space="preserve">   AUTRES</v>
      </c>
      <c r="C11791" s="4">
        <v>412</v>
      </c>
      <c r="D11791" s="4">
        <v>10836208</v>
      </c>
    </row>
    <row r="11792" spans="1:4" x14ac:dyDescent="0.25">
      <c r="A11792" t="str">
        <f>T("   841311")</f>
        <v xml:space="preserve">   841311</v>
      </c>
      <c r="B11792" t="str">
        <f>T("   POMPES POUR LA DISTRIBUTION DE CARBURANTS OU DE LUBRIFIANTS, DES TYPES UTILISES DANS")</f>
        <v xml:space="preserve">   POMPES POUR LA DISTRIBUTION DE CARBURANTS OU DE LUBRIFIANTS, DES TYPES UTILISES DANS</v>
      </c>
      <c r="C11792" s="4">
        <v>398</v>
      </c>
      <c r="D11792" s="4">
        <v>1229346</v>
      </c>
    </row>
    <row r="11793" spans="1:4" x14ac:dyDescent="0.25">
      <c r="A11793" t="str">
        <f>T("   841360")</f>
        <v xml:space="preserve">   841360</v>
      </c>
      <c r="B11793" t="str">
        <f>T("   Autres pompes volumetriques rotatives")</f>
        <v xml:space="preserve">   Autres pompes volumetriques rotatives</v>
      </c>
      <c r="C11793" s="4">
        <v>452</v>
      </c>
      <c r="D11793" s="4">
        <v>6036454</v>
      </c>
    </row>
    <row r="11794" spans="1:4" x14ac:dyDescent="0.25">
      <c r="A11794" t="str">
        <f>T("   841370")</f>
        <v xml:space="preserve">   841370</v>
      </c>
      <c r="B11794" t="str">
        <f>T("   Autres pompes centrifuges")</f>
        <v xml:space="preserve">   Autres pompes centrifuges</v>
      </c>
      <c r="C11794" s="4">
        <v>298</v>
      </c>
      <c r="D11794" s="4">
        <v>7036974</v>
      </c>
    </row>
    <row r="11795" spans="1:4" x14ac:dyDescent="0.25">
      <c r="A11795" t="str">
        <f>T("   841381")</f>
        <v xml:space="preserve">   841381</v>
      </c>
      <c r="B11795" t="str">
        <f>T("   POMPES")</f>
        <v xml:space="preserve">   POMPES</v>
      </c>
      <c r="C11795" s="4">
        <v>4976</v>
      </c>
      <c r="D11795" s="4">
        <v>68949720</v>
      </c>
    </row>
    <row r="11796" spans="1:4" x14ac:dyDescent="0.25">
      <c r="A11796" t="str">
        <f>T("   841590")</f>
        <v xml:space="preserve">   841590</v>
      </c>
      <c r="B11796" t="str">
        <f>T("   PARTIES")</f>
        <v xml:space="preserve">   PARTIES</v>
      </c>
      <c r="C11796" s="4">
        <v>5</v>
      </c>
      <c r="D11796" s="4">
        <v>168765</v>
      </c>
    </row>
    <row r="11797" spans="1:4" x14ac:dyDescent="0.25">
      <c r="A11797" t="str">
        <f>T("   841829")</f>
        <v xml:space="preserve">   841829</v>
      </c>
      <c r="B11797" t="str">
        <f>T("   AUTRES")</f>
        <v xml:space="preserve">   AUTRES</v>
      </c>
      <c r="C11797" s="4">
        <v>7650</v>
      </c>
      <c r="D11797" s="4">
        <v>1340000</v>
      </c>
    </row>
    <row r="11798" spans="1:4" x14ac:dyDescent="0.25">
      <c r="A11798" t="str">
        <f>T("   841899")</f>
        <v xml:space="preserve">   841899</v>
      </c>
      <c r="B11798" t="str">
        <f>T("   AUTRES")</f>
        <v xml:space="preserve">   AUTRES</v>
      </c>
      <c r="C11798" s="4">
        <v>15000</v>
      </c>
      <c r="D11798" s="4">
        <v>20110422</v>
      </c>
    </row>
    <row r="11799" spans="1:4" x14ac:dyDescent="0.25">
      <c r="A11799" t="str">
        <f>T("   842123")</f>
        <v xml:space="preserve">   842123</v>
      </c>
      <c r="B11799" t="str">
        <f>T("   POUR LA FILTRATION DES HUILES MINERALES DANS LES MOTEURS A ALLUMAGE PAR ETINCELLES O")</f>
        <v xml:space="preserve">   POUR LA FILTRATION DES HUILES MINERALES DANS LES MOTEURS A ALLUMAGE PAR ETINCELLES O</v>
      </c>
      <c r="C11799" s="4">
        <v>18</v>
      </c>
      <c r="D11799" s="4">
        <v>132504</v>
      </c>
    </row>
    <row r="11800" spans="1:4" x14ac:dyDescent="0.25">
      <c r="A11800" t="str">
        <f>T("   842129")</f>
        <v xml:space="preserve">   842129</v>
      </c>
      <c r="B11800" t="str">
        <f>T("   AUTRES")</f>
        <v xml:space="preserve">   AUTRES</v>
      </c>
      <c r="C11800" s="4">
        <v>1056</v>
      </c>
      <c r="D11800" s="4">
        <v>29492577</v>
      </c>
    </row>
    <row r="11801" spans="1:4" x14ac:dyDescent="0.25">
      <c r="A11801" t="str">
        <f>T("   842139")</f>
        <v xml:space="preserve">   842139</v>
      </c>
      <c r="B11801" t="str">
        <f>T("   AUTRES")</f>
        <v xml:space="preserve">   AUTRES</v>
      </c>
      <c r="C11801" s="4">
        <v>59</v>
      </c>
      <c r="D11801" s="4">
        <v>404091</v>
      </c>
    </row>
    <row r="11802" spans="1:4" x14ac:dyDescent="0.25">
      <c r="A11802" t="str">
        <f>T("   842410")</f>
        <v xml:space="preserve">   842410</v>
      </c>
      <c r="B11802" t="str">
        <f>T("   EXTINCTEURS, MEME CHARGES")</f>
        <v xml:space="preserve">   EXTINCTEURS, MEME CHARGES</v>
      </c>
      <c r="C11802" s="4">
        <v>5529</v>
      </c>
      <c r="D11802" s="4">
        <v>8932254</v>
      </c>
    </row>
    <row r="11803" spans="1:4" x14ac:dyDescent="0.25">
      <c r="A11803" t="str">
        <f>T("   842420")</f>
        <v xml:space="preserve">   842420</v>
      </c>
      <c r="B11803" t="str">
        <f>T("   Pistolets aerographes et appareils similaires")</f>
        <v xml:space="preserve">   Pistolets aerographes et appareils similaires</v>
      </c>
      <c r="C11803" s="4">
        <v>14</v>
      </c>
      <c r="D11803" s="4">
        <v>288426</v>
      </c>
    </row>
    <row r="11804" spans="1:4" x14ac:dyDescent="0.25">
      <c r="A11804" t="str">
        <f>T("   842790")</f>
        <v xml:space="preserve">   842790</v>
      </c>
      <c r="B11804" t="str">
        <f>T("   AUTRES CHARIOTS")</f>
        <v xml:space="preserve">   AUTRES CHARIOTS</v>
      </c>
      <c r="C11804" s="4">
        <v>33300</v>
      </c>
      <c r="D11804" s="4">
        <v>121897586</v>
      </c>
    </row>
    <row r="11805" spans="1:4" x14ac:dyDescent="0.25">
      <c r="A11805" t="str">
        <f>T("   843120")</f>
        <v xml:space="preserve">   843120</v>
      </c>
      <c r="B11805" t="str">
        <f>T("   DE MACHINES OU APPAREILS DU N° 84.27")</f>
        <v xml:space="preserve">   DE MACHINES OU APPAREILS DU N° 84.27</v>
      </c>
      <c r="C11805" s="4">
        <v>38</v>
      </c>
      <c r="D11805" s="4">
        <v>515007</v>
      </c>
    </row>
    <row r="11806" spans="1:4" x14ac:dyDescent="0.25">
      <c r="A11806" t="str">
        <f>T("   843139")</f>
        <v xml:space="preserve">   843139</v>
      </c>
      <c r="B11806" t="str">
        <f>T("   AUTRES")</f>
        <v xml:space="preserve">   AUTRES</v>
      </c>
      <c r="C11806" s="4">
        <v>1780</v>
      </c>
      <c r="D11806" s="4">
        <v>44626290</v>
      </c>
    </row>
    <row r="11807" spans="1:4" x14ac:dyDescent="0.25">
      <c r="A11807" t="str">
        <f>T("   843359")</f>
        <v xml:space="preserve">   843359</v>
      </c>
      <c r="B11807" t="str">
        <f>T("   AUTRES")</f>
        <v xml:space="preserve">   AUTRES</v>
      </c>
      <c r="C11807" s="4">
        <v>99</v>
      </c>
      <c r="D11807" s="4">
        <v>231252</v>
      </c>
    </row>
    <row r="11808" spans="1:4" x14ac:dyDescent="0.25">
      <c r="A11808" t="str">
        <f>T("   843621")</f>
        <v xml:space="preserve">   843621</v>
      </c>
      <c r="B11808" t="str">
        <f>T("   Couveuses et eleveuses")</f>
        <v xml:space="preserve">   Couveuses et eleveuses</v>
      </c>
      <c r="C11808" s="4">
        <v>218</v>
      </c>
      <c r="D11808" s="4">
        <v>200013</v>
      </c>
    </row>
    <row r="11809" spans="1:4" x14ac:dyDescent="0.25">
      <c r="A11809" t="str">
        <f>T("   843880")</f>
        <v xml:space="preserve">   843880</v>
      </c>
      <c r="B11809" t="str">
        <f>T("   AUTRES MACHINES ET APPAREILS")</f>
        <v xml:space="preserve">   AUTRES MACHINES ET APPAREILS</v>
      </c>
      <c r="C11809" s="4">
        <v>4500</v>
      </c>
      <c r="D11809" s="4">
        <v>2985882</v>
      </c>
    </row>
    <row r="11810" spans="1:4" x14ac:dyDescent="0.25">
      <c r="A11810" t="str">
        <f>T("   844900")</f>
        <v xml:space="preserve">   844900</v>
      </c>
      <c r="B11810" t="str">
        <f>T("   MACHINES ET APPAREILS POUR LA FABRICATION OU LE FINISSAGE DU FEUTRE OU DES NONTISSES, E")</f>
        <v xml:space="preserve">   MACHINES ET APPAREILS POUR LA FABRICATION OU LE FINISSAGE DU FEUTRE OU DES NONTISSES, E</v>
      </c>
      <c r="C11810" s="4">
        <v>80</v>
      </c>
      <c r="D11810" s="4">
        <v>129568</v>
      </c>
    </row>
    <row r="11811" spans="1:4" x14ac:dyDescent="0.25">
      <c r="A11811" t="str">
        <f>T("   846599")</f>
        <v xml:space="preserve">   846599</v>
      </c>
      <c r="B11811" t="str">
        <f>T("   AUTRES")</f>
        <v xml:space="preserve">   AUTRES</v>
      </c>
      <c r="C11811" s="4">
        <v>12000</v>
      </c>
      <c r="D11811" s="4">
        <v>2506712</v>
      </c>
    </row>
    <row r="11812" spans="1:4" x14ac:dyDescent="0.25">
      <c r="A11812" t="str">
        <f>T("   847130")</f>
        <v xml:space="preserve">   847130</v>
      </c>
      <c r="B11812" t="str">
        <f>T("   MACHINES AUTOMATIQUES DE TRAITEMENT DE L'INFORMATION PORTATIVES, D'UN POIDS N'EXCEDAN")</f>
        <v xml:space="preserve">   MACHINES AUTOMATIQUES DE TRAITEMENT DE L'INFORMATION PORTATIVES, D'UN POIDS N'EXCEDAN</v>
      </c>
      <c r="C11812" s="4">
        <v>61</v>
      </c>
      <c r="D11812" s="4">
        <v>10163053</v>
      </c>
    </row>
    <row r="11813" spans="1:4" x14ac:dyDescent="0.25">
      <c r="A11813" t="str">
        <f>T("   847141")</f>
        <v xml:space="preserve">   847141</v>
      </c>
      <c r="B11813" t="str">
        <f>T("   COMPORTANT, SOUS UNE MEME ENVELOPPE, AU MOINS UNE UNITE CENTRALE DE TRAITEMENT ET, Q")</f>
        <v xml:space="preserve">   COMPORTANT, SOUS UNE MEME ENVELOPPE, AU MOINS UNE UNITE CENTRALE DE TRAITEMENT ET, Q</v>
      </c>
      <c r="C11813" s="4">
        <v>713</v>
      </c>
      <c r="D11813" s="4">
        <v>13141875</v>
      </c>
    </row>
    <row r="11814" spans="1:4" x14ac:dyDescent="0.25">
      <c r="A11814" t="str">
        <f>T("   847190")</f>
        <v xml:space="preserve">   847190</v>
      </c>
      <c r="B11814" t="str">
        <f>T("   AUTRES")</f>
        <v xml:space="preserve">   AUTRES</v>
      </c>
      <c r="C11814" s="4">
        <v>18</v>
      </c>
      <c r="D11814" s="4">
        <v>2043538</v>
      </c>
    </row>
    <row r="11815" spans="1:4" x14ac:dyDescent="0.25">
      <c r="A11815" t="str">
        <f>T("   847330")</f>
        <v xml:space="preserve">   847330</v>
      </c>
      <c r="B11815" t="str">
        <f>T("   PARTIES ET ACCESSOIRES DES MACHINES DU N° 84.71")</f>
        <v xml:space="preserve">   PARTIES ET ACCESSOIRES DES MACHINES DU N° 84.71</v>
      </c>
      <c r="C11815" s="4">
        <v>5.55</v>
      </c>
      <c r="D11815" s="4">
        <v>124474</v>
      </c>
    </row>
    <row r="11816" spans="1:4" x14ac:dyDescent="0.25">
      <c r="A11816" t="str">
        <f>T("   847420")</f>
        <v xml:space="preserve">   847420</v>
      </c>
      <c r="B11816" t="str">
        <f>T("   MACHINES ET APPAREILS A CONCASSER, BROYER OU PULVERISER")</f>
        <v xml:space="preserve">   MACHINES ET APPAREILS A CONCASSER, BROYER OU PULVERISER</v>
      </c>
      <c r="C11816" s="4">
        <v>243</v>
      </c>
      <c r="D11816" s="4">
        <v>1890930</v>
      </c>
    </row>
    <row r="11817" spans="1:4" x14ac:dyDescent="0.25">
      <c r="A11817" t="str">
        <f>T("   847490")</f>
        <v xml:space="preserve">   847490</v>
      </c>
      <c r="B11817" t="str">
        <f>T("   PARTIES")</f>
        <v xml:space="preserve">   PARTIES</v>
      </c>
      <c r="C11817" s="4">
        <v>100</v>
      </c>
      <c r="D11817" s="4">
        <v>160044</v>
      </c>
    </row>
    <row r="11818" spans="1:4" x14ac:dyDescent="0.25">
      <c r="A11818" t="str">
        <f>T("   850134")</f>
        <v xml:space="preserve">   850134</v>
      </c>
      <c r="B11818" t="str">
        <f>T("   D'UNE PUISSANCE EXCEDANT 375 KW")</f>
        <v xml:space="preserve">   D'UNE PUISSANCE EXCEDANT 375 KW</v>
      </c>
      <c r="C11818" s="4">
        <v>2000</v>
      </c>
      <c r="D11818" s="4">
        <v>80028716</v>
      </c>
    </row>
    <row r="11819" spans="1:4" x14ac:dyDescent="0.25">
      <c r="A11819" t="str">
        <f>T("   850440")</f>
        <v xml:space="preserve">   850440</v>
      </c>
      <c r="B11819" t="str">
        <f>T("   CONVERTISSEURS STATIQUES")</f>
        <v xml:space="preserve">   CONVERTISSEURS STATIQUES</v>
      </c>
      <c r="C11819" s="4">
        <v>693</v>
      </c>
      <c r="D11819" s="4">
        <v>1963203</v>
      </c>
    </row>
    <row r="11820" spans="1:4" x14ac:dyDescent="0.25">
      <c r="A11820" t="str">
        <f>T("   850490")</f>
        <v xml:space="preserve">   850490</v>
      </c>
      <c r="B11820" t="str">
        <f>T("   PARTIES")</f>
        <v xml:space="preserve">   PARTIES</v>
      </c>
      <c r="C11820" s="4">
        <v>1358</v>
      </c>
      <c r="D11820" s="4">
        <v>3843260</v>
      </c>
    </row>
    <row r="11821" spans="1:4" x14ac:dyDescent="0.25">
      <c r="A11821" t="str">
        <f>T("   850720")</f>
        <v xml:space="preserve">   850720</v>
      </c>
      <c r="B11821" t="str">
        <f>T("   AUTRES ACCUMULATEURS AU PLOMB")</f>
        <v xml:space="preserve">   AUTRES ACCUMULATEURS AU PLOMB</v>
      </c>
      <c r="C11821" s="4">
        <v>5710</v>
      </c>
      <c r="D11821" s="4">
        <v>16162202</v>
      </c>
    </row>
    <row r="11822" spans="1:4" x14ac:dyDescent="0.25">
      <c r="A11822" t="str">
        <f>T("   850780")</f>
        <v xml:space="preserve">   850780</v>
      </c>
      <c r="B11822" t="str">
        <f>T("   AUTRES ACCUMULATEURS")</f>
        <v xml:space="preserve">   AUTRES ACCUMULATEURS</v>
      </c>
      <c r="C11822" s="4">
        <v>2</v>
      </c>
      <c r="D11822" s="4">
        <v>100000</v>
      </c>
    </row>
    <row r="11823" spans="1:4" x14ac:dyDescent="0.25">
      <c r="A11823" t="str">
        <f>T("   851762")</f>
        <v xml:space="preserve">   851762</v>
      </c>
      <c r="B11823" t="str">
        <f>T("   APPAREILS POUR LA RECEPTION, LA CONVERSION ET L'EMISSION, LA TRANSMISSION OU LA REGE")</f>
        <v xml:space="preserve">   APPAREILS POUR LA RECEPTION, LA CONVERSION ET L'EMISSION, LA TRANSMISSION OU LA REGE</v>
      </c>
      <c r="C11823" s="4">
        <v>9</v>
      </c>
      <c r="D11823" s="4">
        <v>1059762</v>
      </c>
    </row>
    <row r="11824" spans="1:4" x14ac:dyDescent="0.25">
      <c r="A11824" t="str">
        <f>T("   851769")</f>
        <v xml:space="preserve">   851769</v>
      </c>
      <c r="B11824" t="str">
        <f>T("   AUTRES")</f>
        <v xml:space="preserve">   AUTRES</v>
      </c>
      <c r="C11824" s="4">
        <v>1016</v>
      </c>
      <c r="D11824" s="4">
        <v>8964126</v>
      </c>
    </row>
    <row r="11825" spans="1:4" x14ac:dyDescent="0.25">
      <c r="A11825" t="str">
        <f>T("   851770")</f>
        <v xml:space="preserve">   851770</v>
      </c>
      <c r="B11825" t="str">
        <f>T("   PARTIES")</f>
        <v xml:space="preserve">   PARTIES</v>
      </c>
      <c r="C11825" s="4">
        <v>558</v>
      </c>
      <c r="D11825" s="4">
        <v>7007458</v>
      </c>
    </row>
    <row r="11826" spans="1:4" x14ac:dyDescent="0.25">
      <c r="A11826" t="str">
        <f>T("   852380")</f>
        <v xml:space="preserve">   852380</v>
      </c>
      <c r="B11826" t="str">
        <f>T("   AUTRES")</f>
        <v xml:space="preserve">   AUTRES</v>
      </c>
      <c r="C11826" s="4">
        <v>20</v>
      </c>
      <c r="D11826" s="4">
        <v>214314</v>
      </c>
    </row>
    <row r="11827" spans="1:4" x14ac:dyDescent="0.25">
      <c r="A11827" t="str">
        <f>T("   852849")</f>
        <v xml:space="preserve">   852849</v>
      </c>
      <c r="B11827" t="str">
        <f>T("   AUTRES")</f>
        <v xml:space="preserve">   AUTRES</v>
      </c>
      <c r="C11827" s="4">
        <v>2630</v>
      </c>
      <c r="D11827" s="4">
        <v>330000</v>
      </c>
    </row>
    <row r="11828" spans="1:4" x14ac:dyDescent="0.25">
      <c r="A11828" t="str">
        <f>T("   852871")</f>
        <v xml:space="preserve">   852871</v>
      </c>
      <c r="B11828" t="str">
        <f>T("   NON CONCUS POUR INCORPORER UN DISPOSITIF D'AFFICHAGE OU UN ECRAN VIDEO")</f>
        <v xml:space="preserve">   NON CONCUS POUR INCORPORER UN DISPOSITIF D'AFFICHAGE OU UN ECRAN VIDEO</v>
      </c>
      <c r="C11828" s="4">
        <v>232.65</v>
      </c>
      <c r="D11828" s="4">
        <v>7582008</v>
      </c>
    </row>
    <row r="11829" spans="1:4" x14ac:dyDescent="0.25">
      <c r="A11829" t="str">
        <f>T("   852873")</f>
        <v xml:space="preserve">   852873</v>
      </c>
      <c r="B11829" t="str">
        <f>T("   AUTRES, EN MONOCHROMES")</f>
        <v xml:space="preserve">   AUTRES, EN MONOCHROMES</v>
      </c>
      <c r="C11829" s="4">
        <v>24</v>
      </c>
      <c r="D11829" s="4">
        <v>2250988</v>
      </c>
    </row>
    <row r="11830" spans="1:4" x14ac:dyDescent="0.25">
      <c r="A11830" t="str">
        <f>T("   852910")</f>
        <v xml:space="preserve">   852910</v>
      </c>
      <c r="B11830" t="str">
        <f>T("   ANTENNES ET REFLECTEURS D’ANTENNES DE TOUS TYPES; PARTIES RECONNAISSABLES COMME ETANT")</f>
        <v xml:space="preserve">   ANTENNES ET REFLECTEURS D’ANTENNES DE TOUS TYPES; PARTIES RECONNAISSABLES COMME ETANT</v>
      </c>
      <c r="C11830" s="4">
        <v>9551</v>
      </c>
      <c r="D11830" s="4">
        <v>63135871</v>
      </c>
    </row>
    <row r="11831" spans="1:4" x14ac:dyDescent="0.25">
      <c r="A11831" t="str">
        <f>T("   852990")</f>
        <v xml:space="preserve">   852990</v>
      </c>
      <c r="B11831" t="str">
        <f>T("   AUTRES")</f>
        <v xml:space="preserve">   AUTRES</v>
      </c>
      <c r="C11831" s="4">
        <v>293</v>
      </c>
      <c r="D11831" s="4">
        <v>4292526</v>
      </c>
    </row>
    <row r="11832" spans="1:4" x14ac:dyDescent="0.25">
      <c r="A11832" t="str">
        <f>T("   853929")</f>
        <v xml:space="preserve">   853929</v>
      </c>
      <c r="B11832" t="str">
        <f>T("   AUTRES")</f>
        <v xml:space="preserve">   AUTRES</v>
      </c>
      <c r="C11832" s="4">
        <v>1752</v>
      </c>
      <c r="D11832" s="4">
        <v>6562269</v>
      </c>
    </row>
    <row r="11833" spans="1:4" x14ac:dyDescent="0.25">
      <c r="A11833" t="str">
        <f>T("   853939")</f>
        <v xml:space="preserve">   853939</v>
      </c>
      <c r="B11833" t="str">
        <f>T("   AUTRES")</f>
        <v xml:space="preserve">   AUTRES</v>
      </c>
      <c r="C11833" s="4">
        <v>120</v>
      </c>
      <c r="D11833" s="4">
        <v>30803</v>
      </c>
    </row>
    <row r="11834" spans="1:4" x14ac:dyDescent="0.25">
      <c r="A11834" t="str">
        <f>T("   854420")</f>
        <v xml:space="preserve">   854420</v>
      </c>
      <c r="B11834" t="str">
        <f>T("   Cables coaxiaux et autres conducteurs electriques coaxiaux")</f>
        <v xml:space="preserve">   Cables coaxiaux et autres conducteurs electriques coaxiaux</v>
      </c>
      <c r="C11834" s="4">
        <v>2110</v>
      </c>
      <c r="D11834" s="4">
        <v>10992832</v>
      </c>
    </row>
    <row r="11835" spans="1:4" x14ac:dyDescent="0.25">
      <c r="A11835" t="str">
        <f>T("   854442")</f>
        <v xml:space="preserve">   854442</v>
      </c>
      <c r="B11835" t="str">
        <f>T("   MUNIS DE PIECES DE CONNEXION")</f>
        <v xml:space="preserve">   MUNIS DE PIECES DE CONNEXION</v>
      </c>
      <c r="C11835" s="4">
        <v>182</v>
      </c>
      <c r="D11835" s="4">
        <v>1961212</v>
      </c>
    </row>
    <row r="11836" spans="1:4" x14ac:dyDescent="0.25">
      <c r="A11836" t="str">
        <f>T("   860900")</f>
        <v xml:space="preserve">   860900</v>
      </c>
      <c r="B11836" t="str">
        <f>T("   CADRES ET CONTENEURS (Y COMPRIS LES CONTENEURSCITERNES ET LES CONTENEURSRESERVOIRS) S")</f>
        <v xml:space="preserve">   CADRES ET CONTENEURS (Y COMPRIS LES CONTENEURSCITERNES ET LES CONTENEURSRESERVOIRS) S</v>
      </c>
      <c r="C11836" s="4">
        <v>2000</v>
      </c>
      <c r="D11836" s="4">
        <v>4445111</v>
      </c>
    </row>
    <row r="11837" spans="1:4" x14ac:dyDescent="0.25">
      <c r="A11837" t="str">
        <f>T("   870322")</f>
        <v xml:space="preserve">   870322</v>
      </c>
      <c r="B11837" t="str">
        <f>T("   D’UNE CYLINDREE EXCEDANT 1.000 CM³ MAIS N’EXCEDANT PAS 1.500 CM³")</f>
        <v xml:space="preserve">   D’UNE CYLINDREE EXCEDANT 1.000 CM³ MAIS N’EXCEDANT PAS 1.500 CM³</v>
      </c>
      <c r="C11837" s="4">
        <v>1468</v>
      </c>
      <c r="D11837" s="4">
        <v>5657655</v>
      </c>
    </row>
    <row r="11838" spans="1:4" x14ac:dyDescent="0.25">
      <c r="A11838" t="str">
        <f>T("   870333")</f>
        <v xml:space="preserve">   870333</v>
      </c>
      <c r="B11838" t="str">
        <f>T("   D'UNE CYLINDREE EXCEDANT 2.500 CM³")</f>
        <v xml:space="preserve">   D'UNE CYLINDREE EXCEDANT 2.500 CM³</v>
      </c>
      <c r="C11838" s="4">
        <v>1790</v>
      </c>
      <c r="D11838" s="4">
        <v>17579071</v>
      </c>
    </row>
    <row r="11839" spans="1:4" x14ac:dyDescent="0.25">
      <c r="A11839" t="str">
        <f>T("   870421")</f>
        <v xml:space="preserve">   870421</v>
      </c>
      <c r="B11839" t="str">
        <f>T("   D'UN POIDS EN CHARGE MAXIMAL N'EXCEDANT PAS 5 TONNES")</f>
        <v xml:space="preserve">   D'UN POIDS EN CHARGE MAXIMAL N'EXCEDANT PAS 5 TONNES</v>
      </c>
      <c r="C11839" s="4">
        <v>77266</v>
      </c>
      <c r="D11839" s="4">
        <v>386946918</v>
      </c>
    </row>
    <row r="11840" spans="1:4" x14ac:dyDescent="0.25">
      <c r="A11840" t="str">
        <f>T("   870422")</f>
        <v xml:space="preserve">   870422</v>
      </c>
      <c r="B11840" t="str">
        <f>T("   D'UN POIDS EN CHARGE MAXIMAL EXCEDANT 5 TONNES MAIS N'EXCEDANT PAS 20 TONNES")</f>
        <v xml:space="preserve">   D'UN POIDS EN CHARGE MAXIMAL EXCEDANT 5 TONNES MAIS N'EXCEDANT PAS 20 TONNES</v>
      </c>
      <c r="C11840" s="4">
        <v>12334</v>
      </c>
      <c r="D11840" s="4">
        <v>62407200</v>
      </c>
    </row>
    <row r="11841" spans="1:4" x14ac:dyDescent="0.25">
      <c r="A11841" t="str">
        <f>T("   870899")</f>
        <v xml:space="preserve">   870899</v>
      </c>
      <c r="B11841" t="str">
        <f>T("   AUTRES")</f>
        <v xml:space="preserve">   AUTRES</v>
      </c>
      <c r="C11841" s="4">
        <v>288.2</v>
      </c>
      <c r="D11841" s="4">
        <v>11390207</v>
      </c>
    </row>
    <row r="11842" spans="1:4" x14ac:dyDescent="0.25">
      <c r="A11842" t="str">
        <f>T("   871110")</f>
        <v xml:space="preserve">   871110</v>
      </c>
      <c r="B11842" t="str">
        <f>T("   A MOTEUR A PISTON ALTERNATIF, D'UNE CYLINDREE N'EXCEDANT PAS 50 CM³")</f>
        <v xml:space="preserve">   A MOTEUR A PISTON ALTERNATIF, D'UNE CYLINDREE N'EXCEDANT PAS 50 CM³</v>
      </c>
      <c r="C11842" s="4">
        <v>300</v>
      </c>
      <c r="D11842" s="4">
        <v>22824</v>
      </c>
    </row>
    <row r="11843" spans="1:4" x14ac:dyDescent="0.25">
      <c r="A11843" t="str">
        <f>T("   871130")</f>
        <v xml:space="preserve">   871130</v>
      </c>
      <c r="B11843" t="str">
        <f>T("   A MOTEUR A PISTON ALTERNATIF, D'UNE CYLINDREE EXCEDANT 250 CM³ MAIS N'EXCEDANT PAS 50")</f>
        <v xml:space="preserve">   A MOTEUR A PISTON ALTERNATIF, D'UNE CYLINDREE EXCEDANT 250 CM³ MAIS N'EXCEDANT PAS 50</v>
      </c>
      <c r="C11843" s="4">
        <v>711</v>
      </c>
      <c r="D11843" s="4">
        <v>1761600</v>
      </c>
    </row>
    <row r="11844" spans="1:4" x14ac:dyDescent="0.25">
      <c r="A11844" t="str">
        <f>T("   871140")</f>
        <v xml:space="preserve">   871140</v>
      </c>
      <c r="B11844" t="str">
        <f>T("   A MOTEUR A PISTON ALTERNATIF, D'UNE CYLINDREE EXCEDANT 500 CM³ MAIS N'EXCEDANT PAS 80")</f>
        <v xml:space="preserve">   A MOTEUR A PISTON ALTERNATIF, D'UNE CYLINDREE EXCEDANT 500 CM³ MAIS N'EXCEDANT PAS 80</v>
      </c>
      <c r="C11844" s="4">
        <v>600</v>
      </c>
      <c r="D11844" s="4">
        <v>2282400</v>
      </c>
    </row>
    <row r="11845" spans="1:4" x14ac:dyDescent="0.25">
      <c r="A11845" t="str">
        <f>T("   871200")</f>
        <v xml:space="preserve">   871200</v>
      </c>
      <c r="B11845" t="str">
        <f>T("   BICYCLETTES ET AUTRES CYCLES (Y COMPRIS LES TRIPORTEURS), SANS MOTEUR.")</f>
        <v xml:space="preserve">   BICYCLETTES ET AUTRES CYCLES (Y COMPRIS LES TRIPORTEURS), SANS MOTEUR.</v>
      </c>
      <c r="C11845" s="4">
        <v>6500</v>
      </c>
      <c r="D11845" s="4">
        <v>600000</v>
      </c>
    </row>
    <row r="11846" spans="1:4" x14ac:dyDescent="0.25">
      <c r="A11846" t="str">
        <f>T("   880390")</f>
        <v xml:space="preserve">   880390</v>
      </c>
      <c r="B11846" t="str">
        <f>T("   AUTRES")</f>
        <v xml:space="preserve">   AUTRES</v>
      </c>
      <c r="C11846" s="4">
        <v>30</v>
      </c>
      <c r="D11846" s="4">
        <v>568100</v>
      </c>
    </row>
    <row r="11847" spans="1:4" x14ac:dyDescent="0.25">
      <c r="A11847" t="str">
        <f>T("   890590")</f>
        <v xml:space="preserve">   890590</v>
      </c>
      <c r="B11847" t="str">
        <f>T("   AUTRES")</f>
        <v xml:space="preserve">   AUTRES</v>
      </c>
      <c r="C11847" s="4">
        <v>50</v>
      </c>
      <c r="D11847" s="4">
        <v>2440104</v>
      </c>
    </row>
    <row r="11848" spans="1:4" x14ac:dyDescent="0.25">
      <c r="A11848" t="str">
        <f>T("   900791")</f>
        <v xml:space="preserve">   900791</v>
      </c>
      <c r="B11848" t="str">
        <f>T("   DE CAMERAS")</f>
        <v xml:space="preserve">   DE CAMERAS</v>
      </c>
      <c r="C11848" s="4">
        <v>5.6</v>
      </c>
      <c r="D11848" s="4">
        <v>10304456</v>
      </c>
    </row>
    <row r="11849" spans="1:4" x14ac:dyDescent="0.25">
      <c r="A11849" t="str">
        <f>T("   901890")</f>
        <v xml:space="preserve">   901890</v>
      </c>
      <c r="B11849" t="str">
        <f>T("   AUTRES INSTRUMENTS ET APPAREILS")</f>
        <v xml:space="preserve">   AUTRES INSTRUMENTS ET APPAREILS</v>
      </c>
      <c r="C11849" s="4">
        <v>24.03</v>
      </c>
      <c r="D11849" s="4">
        <v>229586</v>
      </c>
    </row>
    <row r="11850" spans="1:4" x14ac:dyDescent="0.25">
      <c r="A11850" t="str">
        <f>T("   902610")</f>
        <v xml:space="preserve">   902610</v>
      </c>
      <c r="B11850" t="str">
        <f>T("   POUR LA MESURE OU LE CONTROLE DU DEBIT OU DU NIVEAU DES LIQUIDES")</f>
        <v xml:space="preserve">   POUR LA MESURE OU LE CONTROLE DU DEBIT OU DU NIVEAU DES LIQUIDES</v>
      </c>
      <c r="C11850" s="4">
        <v>75</v>
      </c>
      <c r="D11850" s="4">
        <v>1938433</v>
      </c>
    </row>
    <row r="11851" spans="1:4" x14ac:dyDescent="0.25">
      <c r="A11851" t="str">
        <f>T("   902780")</f>
        <v xml:space="preserve">   902780</v>
      </c>
      <c r="B11851" t="str">
        <f>T("   AUTRES INSTRUMENTS ET APPAREILS")</f>
        <v xml:space="preserve">   AUTRES INSTRUMENTS ET APPAREILS</v>
      </c>
      <c r="C11851" s="4">
        <v>8</v>
      </c>
      <c r="D11851" s="4">
        <v>1447126</v>
      </c>
    </row>
    <row r="11852" spans="1:4" x14ac:dyDescent="0.25">
      <c r="A11852" t="str">
        <f>T("   903180")</f>
        <v xml:space="preserve">   903180</v>
      </c>
      <c r="B11852" t="str">
        <f>T("   AUTRES INSTRUMENTS, APPAREILS ET MACHINES")</f>
        <v xml:space="preserve">   AUTRES INSTRUMENTS, APPAREILS ET MACHINES</v>
      </c>
      <c r="C11852" s="4">
        <v>32</v>
      </c>
      <c r="D11852" s="4">
        <v>5336936</v>
      </c>
    </row>
    <row r="11853" spans="1:4" x14ac:dyDescent="0.25">
      <c r="A11853" t="str">
        <f>T("   903300")</f>
        <v xml:space="preserve">   903300</v>
      </c>
      <c r="B11853" t="str">
        <f>T("   PARTIES ET ACCESSOIRES NON DENOMMES NI COMPRIS AILLEURS DANS LE PRESENT CHAPITRE, POUR")</f>
        <v xml:space="preserve">   PARTIES ET ACCESSOIRES NON DENOMMES NI COMPRIS AILLEURS DANS LE PRESENT CHAPITRE, POUR</v>
      </c>
      <c r="C11853" s="4">
        <v>50</v>
      </c>
      <c r="D11853" s="4">
        <v>735616</v>
      </c>
    </row>
    <row r="11854" spans="1:4" x14ac:dyDescent="0.25">
      <c r="A11854" t="str">
        <f>T("   911390")</f>
        <v xml:space="preserve">   911390</v>
      </c>
      <c r="B11854" t="str">
        <f>T("   AUTRES")</f>
        <v xml:space="preserve">   AUTRES</v>
      </c>
      <c r="C11854" s="4">
        <v>37</v>
      </c>
      <c r="D11854" s="4">
        <v>248268</v>
      </c>
    </row>
    <row r="11855" spans="1:4" x14ac:dyDescent="0.25">
      <c r="A11855" t="str">
        <f>T("   940350")</f>
        <v xml:space="preserve">   940350</v>
      </c>
      <c r="B11855" t="str">
        <f>T("   MEUBLES EN BOIS DES TYPES UTILISES DANS LES CHAMBRES A COUCHER")</f>
        <v xml:space="preserve">   MEUBLES EN BOIS DES TYPES UTILISES DANS LES CHAMBRES A COUCHER</v>
      </c>
      <c r="C11855" s="4">
        <v>9250</v>
      </c>
      <c r="D11855" s="4">
        <v>6300000</v>
      </c>
    </row>
    <row r="11856" spans="1:4" x14ac:dyDescent="0.25">
      <c r="A11856" t="str">
        <f>T("   940360")</f>
        <v xml:space="preserve">   940360</v>
      </c>
      <c r="B11856" t="str">
        <f>T("   Autres meubles en bois")</f>
        <v xml:space="preserve">   Autres meubles en bois</v>
      </c>
      <c r="C11856" s="4">
        <v>7295</v>
      </c>
      <c r="D11856" s="4">
        <v>6270221</v>
      </c>
    </row>
    <row r="11857" spans="1:4" x14ac:dyDescent="0.25">
      <c r="A11857" t="str">
        <f>T("   940389")</f>
        <v xml:space="preserve">   940389</v>
      </c>
      <c r="B11857" t="str">
        <f>T("   AUTRES")</f>
        <v xml:space="preserve">   AUTRES</v>
      </c>
      <c r="C11857" s="4">
        <v>9900</v>
      </c>
      <c r="D11857" s="4">
        <v>520000</v>
      </c>
    </row>
    <row r="11858" spans="1:4" x14ac:dyDescent="0.25">
      <c r="A11858" t="str">
        <f>T("   940410")</f>
        <v xml:space="preserve">   940410</v>
      </c>
      <c r="B11858" t="str">
        <f>T("   Sommiers")</f>
        <v xml:space="preserve">   Sommiers</v>
      </c>
      <c r="C11858" s="4">
        <v>9030</v>
      </c>
      <c r="D11858" s="4">
        <v>400000</v>
      </c>
    </row>
    <row r="11859" spans="1:4" x14ac:dyDescent="0.25">
      <c r="A11859" t="str">
        <f>T("   940560")</f>
        <v xml:space="preserve">   940560</v>
      </c>
      <c r="B11859" t="str">
        <f>T("   LAMPESRECLAMES, ENSEIGNES LUMINEUSES, PLAQUES INDICATRICES LUMINEUSES ET ARTICLES SI")</f>
        <v xml:space="preserve">   LAMPESRECLAMES, ENSEIGNES LUMINEUSES, PLAQUES INDICATRICES LUMINEUSES ET ARTICLES SI</v>
      </c>
      <c r="C11859" s="4">
        <v>69.5</v>
      </c>
      <c r="D11859" s="4">
        <v>472005</v>
      </c>
    </row>
    <row r="11860" spans="1:4" x14ac:dyDescent="0.25">
      <c r="A11860" t="str">
        <f>T("   940600")</f>
        <v xml:space="preserve">   940600</v>
      </c>
      <c r="B11860" t="str">
        <f>T("   CONSTRUCTIONS PREFABRIQUEES.")</f>
        <v xml:space="preserve">   CONSTRUCTIONS PREFABRIQUEES.</v>
      </c>
      <c r="C11860" s="4">
        <v>15800</v>
      </c>
      <c r="D11860" s="4">
        <v>49014275</v>
      </c>
    </row>
    <row r="11861" spans="1:4" x14ac:dyDescent="0.25">
      <c r="A11861" t="str">
        <f>T("   960839")</f>
        <v xml:space="preserve">   960839</v>
      </c>
      <c r="B11861" t="str">
        <f>T("   AUTRES STYLOS A PLUME ET AUTRES STYLOS")</f>
        <v xml:space="preserve">   AUTRES STYLOS A PLUME ET AUTRES STYLOS</v>
      </c>
      <c r="C11861" s="4">
        <v>583</v>
      </c>
      <c r="D11861" s="4">
        <v>460576</v>
      </c>
    </row>
    <row r="11862" spans="1:4" x14ac:dyDescent="0.25">
      <c r="A11862" t="str">
        <f>T("   970300")</f>
        <v xml:space="preserve">   970300</v>
      </c>
      <c r="B11862" t="str">
        <f>T("   PRODUCTIONS ORIGINALES DE L'ART STATUAIRE OU DE LA SCULPTURE, EN TOUTES MATIERES.")</f>
        <v xml:space="preserve">   PRODUCTIONS ORIGINALES DE L'ART STATUAIRE OU DE LA SCULPTURE, EN TOUTES MATIERES.</v>
      </c>
      <c r="C11862" s="4">
        <v>4</v>
      </c>
      <c r="D11862" s="4">
        <v>265500</v>
      </c>
    </row>
    <row r="11863" spans="1:4" s="5" customFormat="1" x14ac:dyDescent="0.25">
      <c r="A11863" s="5" t="str">
        <f>T("   ZZ_Total_Produit_SH6")</f>
        <v xml:space="preserve">   ZZ_Total_Produit_SH6</v>
      </c>
      <c r="B11863" s="5" t="str">
        <f>T("   ZZ_Total_Produit_SH6")</f>
        <v xml:space="preserve">   ZZ_Total_Produit_SH6</v>
      </c>
      <c r="C11863" s="1">
        <v>8571592.7300000004</v>
      </c>
      <c r="D11863" s="1">
        <v>3511151220.2290001</v>
      </c>
    </row>
    <row r="11864" spans="1:4" s="5" customFormat="1" x14ac:dyDescent="0.25">
      <c r="B11864" s="5" t="str">
        <f>T("Zimbabwe")</f>
        <v>Zimbabwe</v>
      </c>
      <c r="C11864" s="1"/>
      <c r="D11864" s="1"/>
    </row>
    <row r="11865" spans="1:4" x14ac:dyDescent="0.25">
      <c r="A11865" t="str">
        <f>T("   620590")</f>
        <v xml:space="preserve">   620590</v>
      </c>
      <c r="B11865" t="str">
        <f>T("   D'AUTRES MATIERES TEXTILES")</f>
        <v xml:space="preserve">   D'AUTRES MATIERES TEXTILES</v>
      </c>
      <c r="C11865" s="4">
        <v>300</v>
      </c>
      <c r="D11865" s="4">
        <v>500000</v>
      </c>
    </row>
    <row r="11866" spans="1:4" x14ac:dyDescent="0.25">
      <c r="A11866" t="str">
        <f>T("   732399")</f>
        <v xml:space="preserve">   732399</v>
      </c>
      <c r="B11866" t="str">
        <f>T("   AUTRES")</f>
        <v xml:space="preserve">   AUTRES</v>
      </c>
      <c r="C11866" s="4">
        <v>700</v>
      </c>
      <c r="D11866" s="4">
        <v>1000000</v>
      </c>
    </row>
    <row r="11867" spans="1:4" x14ac:dyDescent="0.25">
      <c r="A11867" t="str">
        <f>T("   940360")</f>
        <v xml:space="preserve">   940360</v>
      </c>
      <c r="B11867" t="str">
        <f>T("   Autres meubles en bois")</f>
        <v xml:space="preserve">   Autres meubles en bois</v>
      </c>
      <c r="C11867" s="4">
        <v>1500</v>
      </c>
      <c r="D11867" s="4">
        <v>2000000</v>
      </c>
    </row>
    <row r="11868" spans="1:4" s="5" customFormat="1" x14ac:dyDescent="0.25">
      <c r="A11868" s="5" t="str">
        <f>T("   ZZ_Total_Produit_SH6")</f>
        <v xml:space="preserve">   ZZ_Total_Produit_SH6</v>
      </c>
      <c r="B11868" s="5" t="str">
        <f>T("   ZZ_Total_Produit_SH6")</f>
        <v xml:space="preserve">   ZZ_Total_Produit_SH6</v>
      </c>
      <c r="C11868" s="1">
        <v>2500</v>
      </c>
      <c r="D11868" s="1">
        <v>3500000</v>
      </c>
    </row>
    <row r="11869" spans="1:4" s="5" customFormat="1" x14ac:dyDescent="0.25">
      <c r="B11869" s="5" t="str">
        <f>T("Total Monde")</f>
        <v>Total Monde</v>
      </c>
      <c r="C11869" s="1"/>
      <c r="D11869" s="1"/>
    </row>
    <row r="11870" spans="1:4" x14ac:dyDescent="0.25">
      <c r="A11870" t="str">
        <f>T("   010210")</f>
        <v xml:space="preserve">   010210</v>
      </c>
      <c r="B11870" t="str">
        <f>T("   BOVINS VIVANTS, REPRODUCTEURS DE RACE PURE")</f>
        <v xml:space="preserve">   BOVINS VIVANTS, REPRODUCTEURS DE RACE PURE</v>
      </c>
      <c r="C11870" s="4">
        <v>38600</v>
      </c>
      <c r="D11870" s="4">
        <v>406034188</v>
      </c>
    </row>
    <row r="11871" spans="1:4" x14ac:dyDescent="0.25">
      <c r="A11871" t="str">
        <f>T("   010511")</f>
        <v xml:space="preserve">   010511</v>
      </c>
      <c r="B11871" t="str">
        <f>T("   COQS ET POULES")</f>
        <v xml:space="preserve">   COQS ET POULES</v>
      </c>
      <c r="C11871" s="4">
        <v>25202.400000000001</v>
      </c>
      <c r="D11871" s="4">
        <v>98109163</v>
      </c>
    </row>
    <row r="11872" spans="1:4" x14ac:dyDescent="0.25">
      <c r="A11872" t="str">
        <f>T("   010519")</f>
        <v xml:space="preserve">   010519</v>
      </c>
      <c r="B11872" t="str">
        <f>T("   AUTRES VOLAILLES VIVANTES, D'UN POIDS N'EXCEDANT PAS 185 G")</f>
        <v xml:space="preserve">   AUTRES VOLAILLES VIVANTES, D'UN POIDS N'EXCEDANT PAS 185 G</v>
      </c>
      <c r="C11872" s="4">
        <v>1019</v>
      </c>
      <c r="D11872" s="4">
        <v>400000</v>
      </c>
    </row>
    <row r="11873" spans="1:4" x14ac:dyDescent="0.25">
      <c r="A11873" t="str">
        <f>T("   010599")</f>
        <v xml:space="preserve">   010599</v>
      </c>
      <c r="B11873" t="str">
        <f>T("   AUTRES")</f>
        <v xml:space="preserve">   AUTRES</v>
      </c>
      <c r="C11873" s="4">
        <v>20</v>
      </c>
      <c r="D11873" s="4">
        <v>2000</v>
      </c>
    </row>
    <row r="11874" spans="1:4" x14ac:dyDescent="0.25">
      <c r="A11874" t="str">
        <f>T("   020110")</f>
        <v xml:space="preserve">   020110</v>
      </c>
      <c r="B11874" t="str">
        <f>T("   EN CARCASSES OU DEMICARCASSES")</f>
        <v xml:space="preserve">   EN CARCASSES OU DEMICARCASSES</v>
      </c>
      <c r="C11874" s="4">
        <v>898</v>
      </c>
      <c r="D11874" s="4">
        <v>2071522</v>
      </c>
    </row>
    <row r="11875" spans="1:4" x14ac:dyDescent="0.25">
      <c r="A11875" t="str">
        <f>T("   020210")</f>
        <v xml:space="preserve">   020210</v>
      </c>
      <c r="B11875" t="str">
        <f>T("   EN CARCASSES OU DEMICARCASSES")</f>
        <v xml:space="preserve">   EN CARCASSES OU DEMICARCASSES</v>
      </c>
      <c r="C11875" s="4">
        <v>2200</v>
      </c>
      <c r="D11875" s="4">
        <v>109229</v>
      </c>
    </row>
    <row r="11876" spans="1:4" x14ac:dyDescent="0.25">
      <c r="A11876" t="str">
        <f>T("   020220")</f>
        <v xml:space="preserve">   020220</v>
      </c>
      <c r="B11876" t="str">
        <f>T("   AUTRES MORCEAUX NON DESOSSES")</f>
        <v xml:space="preserve">   AUTRES MORCEAUX NON DESOSSES</v>
      </c>
      <c r="C11876" s="4">
        <v>51387</v>
      </c>
      <c r="D11876" s="4">
        <v>33856271</v>
      </c>
    </row>
    <row r="11877" spans="1:4" x14ac:dyDescent="0.25">
      <c r="A11877" t="str">
        <f>T("   020230")</f>
        <v xml:space="preserve">   020230</v>
      </c>
      <c r="B11877" t="str">
        <f>T("   DESOSSEES")</f>
        <v xml:space="preserve">   DESOSSEES</v>
      </c>
      <c r="C11877" s="4">
        <v>4410</v>
      </c>
      <c r="D11877" s="4">
        <v>7937115</v>
      </c>
    </row>
    <row r="11878" spans="1:4" x14ac:dyDescent="0.25">
      <c r="A11878" t="str">
        <f>T("   020312")</f>
        <v xml:space="preserve">   020312</v>
      </c>
      <c r="B11878" t="str">
        <f>T("   JAMBONS, EPAULES ET LEURS MORCEAUX, NON DESOSSES")</f>
        <v xml:space="preserve">   JAMBONS, EPAULES ET LEURS MORCEAUX, NON DESOSSES</v>
      </c>
      <c r="C11878" s="4">
        <v>12619</v>
      </c>
      <c r="D11878" s="4">
        <v>10109656</v>
      </c>
    </row>
    <row r="11879" spans="1:4" x14ac:dyDescent="0.25">
      <c r="A11879" t="str">
        <f>T("   020319")</f>
        <v xml:space="preserve">   020319</v>
      </c>
      <c r="B11879" t="str">
        <f>T("   AUTRES")</f>
        <v xml:space="preserve">   AUTRES</v>
      </c>
      <c r="C11879" s="4">
        <v>6477</v>
      </c>
      <c r="D11879" s="4">
        <v>4036121</v>
      </c>
    </row>
    <row r="11880" spans="1:4" x14ac:dyDescent="0.25">
      <c r="A11880" t="str">
        <f>T("   020430")</f>
        <v xml:space="preserve">   020430</v>
      </c>
      <c r="B11880" t="str">
        <f>T("   CARCASSES ET DEMICARCASSES D’AGNEAU, CONGELEES")</f>
        <v xml:space="preserve">   CARCASSES ET DEMICARCASSES D’AGNEAU, CONGELEES</v>
      </c>
      <c r="C11880" s="4">
        <v>16589</v>
      </c>
      <c r="D11880" s="4">
        <v>15914247</v>
      </c>
    </row>
    <row r="11881" spans="1:4" x14ac:dyDescent="0.25">
      <c r="A11881" t="str">
        <f>T("   020450")</f>
        <v xml:space="preserve">   020450</v>
      </c>
      <c r="B11881" t="str">
        <f>T("   VIANDES DES ANIMAUX DE L'ESPECE CAPRINE")</f>
        <v xml:space="preserve">   VIANDES DES ANIMAUX DE L'ESPECE CAPRINE</v>
      </c>
      <c r="C11881" s="4">
        <v>70000</v>
      </c>
      <c r="D11881" s="4">
        <v>43540000</v>
      </c>
    </row>
    <row r="11882" spans="1:4" x14ac:dyDescent="0.25">
      <c r="A11882" t="str">
        <f>T("   020629")</f>
        <v xml:space="preserve">   020629</v>
      </c>
      <c r="B11882" t="str">
        <f>T("   AUTRES")</f>
        <v xml:space="preserve">   AUTRES</v>
      </c>
      <c r="C11882" s="4">
        <v>251007</v>
      </c>
      <c r="D11882" s="4">
        <v>149405791</v>
      </c>
    </row>
    <row r="11883" spans="1:4" x14ac:dyDescent="0.25">
      <c r="A11883" t="str">
        <f>T("   020649")</f>
        <v xml:space="preserve">   020649</v>
      </c>
      <c r="B11883" t="str">
        <f>T("   AUTRES")</f>
        <v xml:space="preserve">   AUTRES</v>
      </c>
      <c r="C11883" s="4">
        <v>28659</v>
      </c>
      <c r="D11883" s="4">
        <v>27212508</v>
      </c>
    </row>
    <row r="11884" spans="1:4" x14ac:dyDescent="0.25">
      <c r="A11884" t="str">
        <f>T("   020711")</f>
        <v xml:space="preserve">   020711</v>
      </c>
      <c r="B11884" t="str">
        <f>T("   NON DECOUPES EN MORCEAUX, FRAIS OU REFRIGERES")</f>
        <v xml:space="preserve">   NON DECOUPES EN MORCEAUX, FRAIS OU REFRIGERES</v>
      </c>
      <c r="C11884" s="4">
        <v>51750</v>
      </c>
      <c r="D11884" s="4">
        <v>31100376</v>
      </c>
    </row>
    <row r="11885" spans="1:4" x14ac:dyDescent="0.25">
      <c r="A11885" t="str">
        <f>T("   020712")</f>
        <v xml:space="preserve">   020712</v>
      </c>
      <c r="B11885" t="str">
        <f>T("   NON DECOUPES EN MORCEAUX, CONGELES")</f>
        <v xml:space="preserve">   NON DECOUPES EN MORCEAUX, CONGELES</v>
      </c>
      <c r="C11885" s="4">
        <v>34170566.539999999</v>
      </c>
      <c r="D11885" s="4">
        <v>21005761905</v>
      </c>
    </row>
    <row r="11886" spans="1:4" x14ac:dyDescent="0.25">
      <c r="A11886" t="str">
        <f>T("   020713")</f>
        <v xml:space="preserve">   020713</v>
      </c>
      <c r="B11886" t="str">
        <f>T("   MORCEAUX ET ABATS, FRAIS OU REFRIGERES")</f>
        <v xml:space="preserve">   MORCEAUX ET ABATS, FRAIS OU REFRIGERES</v>
      </c>
      <c r="C11886" s="4">
        <v>375000</v>
      </c>
      <c r="D11886" s="4">
        <v>233251592</v>
      </c>
    </row>
    <row r="11887" spans="1:4" x14ac:dyDescent="0.25">
      <c r="A11887" t="str">
        <f>T("   020714")</f>
        <v xml:space="preserve">   020714</v>
      </c>
      <c r="B11887" t="str">
        <f>T("   MORCEAUX ET ABATS, CONGELES")</f>
        <v xml:space="preserve">   MORCEAUX ET ABATS, CONGELES</v>
      </c>
      <c r="C11887" s="4">
        <v>100147519.44</v>
      </c>
      <c r="D11887" s="4">
        <v>61443721643</v>
      </c>
    </row>
    <row r="11888" spans="1:4" x14ac:dyDescent="0.25">
      <c r="A11888" t="str">
        <f>T("   020725")</f>
        <v xml:space="preserve">   020725</v>
      </c>
      <c r="B11888" t="str">
        <f>T("   NON DECOUPES EN MORCEAUX, CONGELES")</f>
        <v xml:space="preserve">   NON DECOUPES EN MORCEAUX, CONGELES</v>
      </c>
      <c r="C11888" s="4">
        <v>127835</v>
      </c>
      <c r="D11888" s="4">
        <v>79024626</v>
      </c>
    </row>
    <row r="11889" spans="1:4" x14ac:dyDescent="0.25">
      <c r="A11889" t="str">
        <f>T("   020726")</f>
        <v xml:space="preserve">   020726</v>
      </c>
      <c r="B11889" t="str">
        <f>T("   MORCEAUX ET ABATS, FRAIS OU REFRIGERES")</f>
        <v xml:space="preserve">   MORCEAUX ET ABATS, FRAIS OU REFRIGERES</v>
      </c>
      <c r="C11889" s="4">
        <v>77670</v>
      </c>
      <c r="D11889" s="4">
        <v>46650188</v>
      </c>
    </row>
    <row r="11890" spans="1:4" x14ac:dyDescent="0.25">
      <c r="A11890" t="str">
        <f>T("   020727")</f>
        <v xml:space="preserve">   020727</v>
      </c>
      <c r="B11890" t="str">
        <f>T("   MORCEAUX ET ABATS, CONGELES")</f>
        <v xml:space="preserve">   MORCEAUX ET ABATS, CONGELES</v>
      </c>
      <c r="C11890" s="4">
        <v>61392599.82</v>
      </c>
      <c r="D11890" s="4">
        <v>37716408741</v>
      </c>
    </row>
    <row r="11891" spans="1:4" x14ac:dyDescent="0.25">
      <c r="A11891" t="str">
        <f>T("   020733")</f>
        <v xml:space="preserve">   020733</v>
      </c>
      <c r="B11891" t="str">
        <f>T("   CANARDS, OIES OU PINTADES NON DECOUPES EN MORCEAUX, CONGELES")</f>
        <v xml:space="preserve">   CANARDS, OIES OU PINTADES NON DECOUPES EN MORCEAUX, CONGELES</v>
      </c>
      <c r="C11891" s="4">
        <v>5048</v>
      </c>
      <c r="D11891" s="4">
        <v>2511885</v>
      </c>
    </row>
    <row r="11892" spans="1:4" x14ac:dyDescent="0.25">
      <c r="A11892" t="str">
        <f>T("   020734")</f>
        <v xml:space="preserve">   020734</v>
      </c>
      <c r="B11892" t="str">
        <f>T("   FOIES GRAS, FRAIS OU REFRIGERES")</f>
        <v xml:space="preserve">   FOIES GRAS, FRAIS OU REFRIGERES</v>
      </c>
      <c r="C11892" s="4">
        <v>804.61</v>
      </c>
      <c r="D11892" s="4">
        <v>5541173</v>
      </c>
    </row>
    <row r="11893" spans="1:4" x14ac:dyDescent="0.25">
      <c r="A11893" t="str">
        <f>T("   020735")</f>
        <v xml:space="preserve">   020735</v>
      </c>
      <c r="B11893" t="str">
        <f>T("   AUTRES VIANDES ET ABATS DE CANARDS, OIES OU PINTADES, FRAIS OU REFRIGERES")</f>
        <v xml:space="preserve">   AUTRES VIANDES ET ABATS DE CANARDS, OIES OU PINTADES, FRAIS OU REFRIGERES</v>
      </c>
      <c r="C11893" s="4">
        <v>449</v>
      </c>
      <c r="D11893" s="4">
        <v>3069572</v>
      </c>
    </row>
    <row r="11894" spans="1:4" x14ac:dyDescent="0.25">
      <c r="A11894" t="str">
        <f>T("   020736")</f>
        <v xml:space="preserve">   020736</v>
      </c>
      <c r="B11894" t="str">
        <f>T("   AUTRES VIANDES ET ABATS DE CANARDS, OIES OU DE PINTADES, CONGELES")</f>
        <v xml:space="preserve">   AUTRES VIANDES ET ABATS DE CANARDS, OIES OU DE PINTADES, CONGELES</v>
      </c>
      <c r="C11894" s="4">
        <v>60953</v>
      </c>
      <c r="D11894" s="4">
        <v>38043949</v>
      </c>
    </row>
    <row r="11895" spans="1:4" x14ac:dyDescent="0.25">
      <c r="A11895" t="str">
        <f>T("   020810")</f>
        <v xml:space="preserve">   020810</v>
      </c>
      <c r="B11895" t="str">
        <f>T("   DE LAPINS OU DE LIEVRES")</f>
        <v xml:space="preserve">   DE LAPINS OU DE LIEVRES</v>
      </c>
      <c r="C11895" s="4">
        <v>67698</v>
      </c>
      <c r="D11895" s="4">
        <v>49615521</v>
      </c>
    </row>
    <row r="11896" spans="1:4" x14ac:dyDescent="0.25">
      <c r="A11896" t="str">
        <f>T("   020890")</f>
        <v xml:space="preserve">   020890</v>
      </c>
      <c r="B11896" t="str">
        <f>T("   AUTRES")</f>
        <v xml:space="preserve">   AUTRES</v>
      </c>
      <c r="C11896" s="4">
        <v>75150</v>
      </c>
      <c r="D11896" s="4">
        <v>46693780</v>
      </c>
    </row>
    <row r="11897" spans="1:4" x14ac:dyDescent="0.25">
      <c r="A11897" t="str">
        <f>T("   021011")</f>
        <v xml:space="preserve">   021011</v>
      </c>
      <c r="B11897" t="str">
        <f>T("   JAMBONS, EPAULES ET LEURS MORCEAUX, NON DESOSSES")</f>
        <v xml:space="preserve">   JAMBONS, EPAULES ET LEURS MORCEAUX, NON DESOSSES</v>
      </c>
      <c r="C11897" s="4">
        <v>15295</v>
      </c>
      <c r="D11897" s="4">
        <v>10384675</v>
      </c>
    </row>
    <row r="11898" spans="1:4" x14ac:dyDescent="0.25">
      <c r="A11898" t="str">
        <f>T("   021012")</f>
        <v xml:space="preserve">   021012</v>
      </c>
      <c r="B11898" t="str">
        <f>T("   POITRINES (ENTRELARDEES) ET LEURS MORCEAUX")</f>
        <v xml:space="preserve">   POITRINES (ENTRELARDEES) ET LEURS MORCEAUX</v>
      </c>
      <c r="C11898" s="4">
        <v>396</v>
      </c>
      <c r="D11898" s="4">
        <v>888170</v>
      </c>
    </row>
    <row r="11899" spans="1:4" x14ac:dyDescent="0.25">
      <c r="A11899" t="str">
        <f>T("   021019")</f>
        <v xml:space="preserve">   021019</v>
      </c>
      <c r="B11899" t="str">
        <f>T("   AUTRES")</f>
        <v xml:space="preserve">   AUTRES</v>
      </c>
      <c r="C11899" s="4">
        <v>12147</v>
      </c>
      <c r="D11899" s="4">
        <v>9053729</v>
      </c>
    </row>
    <row r="11900" spans="1:4" x14ac:dyDescent="0.25">
      <c r="A11900" t="str">
        <f>T("   021020")</f>
        <v xml:space="preserve">   021020</v>
      </c>
      <c r="B11900" t="str">
        <f>T("   VIANDES DE L'ESPECE BOVINE")</f>
        <v xml:space="preserve">   VIANDES DE L'ESPECE BOVINE</v>
      </c>
      <c r="C11900" s="4">
        <v>149992</v>
      </c>
      <c r="D11900" s="4">
        <v>93300774</v>
      </c>
    </row>
    <row r="11901" spans="1:4" x14ac:dyDescent="0.25">
      <c r="A11901" t="str">
        <f>T("   021099")</f>
        <v xml:space="preserve">   021099</v>
      </c>
      <c r="B11901" t="str">
        <f>T("   AUTRES")</f>
        <v xml:space="preserve">   AUTRES</v>
      </c>
      <c r="C11901" s="4">
        <v>18227</v>
      </c>
      <c r="D11901" s="4">
        <v>12520240</v>
      </c>
    </row>
    <row r="11902" spans="1:4" x14ac:dyDescent="0.25">
      <c r="A11902" t="str">
        <f>T("   030199")</f>
        <v xml:space="preserve">   030199</v>
      </c>
      <c r="B11902" t="str">
        <f>T("   AUTRES")</f>
        <v xml:space="preserve">   AUTRES</v>
      </c>
      <c r="C11902" s="4">
        <v>97740</v>
      </c>
      <c r="D11902" s="4">
        <v>39096000</v>
      </c>
    </row>
    <row r="11903" spans="1:4" x14ac:dyDescent="0.25">
      <c r="A11903" t="str">
        <f>T("   030219")</f>
        <v xml:space="preserve">   030219</v>
      </c>
      <c r="B11903" t="str">
        <f>T("   AUTRES")</f>
        <v xml:space="preserve">   AUTRES</v>
      </c>
      <c r="C11903" s="4">
        <v>71800288</v>
      </c>
      <c r="D11903" s="4">
        <v>28715984355</v>
      </c>
    </row>
    <row r="11904" spans="1:4" x14ac:dyDescent="0.25">
      <c r="A11904" t="str">
        <f>T("   030229")</f>
        <v xml:space="preserve">   030229</v>
      </c>
      <c r="B11904" t="str">
        <f>T("   AUTRES")</f>
        <v xml:space="preserve">   AUTRES</v>
      </c>
      <c r="C11904" s="4">
        <v>3108450.1</v>
      </c>
      <c r="D11904" s="4">
        <v>1214391640</v>
      </c>
    </row>
    <row r="11905" spans="1:4" x14ac:dyDescent="0.25">
      <c r="A11905" t="str">
        <f>T("   030231")</f>
        <v xml:space="preserve">   030231</v>
      </c>
      <c r="B11905" t="str">
        <f>T("   THONS BLANCS OU GERMONS (THUNNUS ALALUNGA)")</f>
        <v xml:space="preserve">   THONS BLANCS OU GERMONS (THUNNUS ALALUNGA)</v>
      </c>
      <c r="C11905" s="4">
        <v>26750</v>
      </c>
      <c r="D11905" s="4">
        <v>10700000</v>
      </c>
    </row>
    <row r="11906" spans="1:4" x14ac:dyDescent="0.25">
      <c r="A11906" t="str">
        <f>T("   030261")</f>
        <v xml:space="preserve">   030261</v>
      </c>
      <c r="B11906" t="str">
        <f>T("   SARDINES,SARDINELLES,SPRATS ENTIERS,FRAIS,...;FOIES,OEUFS,LAITANCES EXCLUS")</f>
        <v xml:space="preserve">   SARDINES,SARDINELLES,SPRATS ENTIERS,FRAIS,...;FOIES,OEUFS,LAITANCES EXCLUS</v>
      </c>
      <c r="C11906" s="4">
        <v>53710</v>
      </c>
      <c r="D11906" s="4">
        <v>14743173</v>
      </c>
    </row>
    <row r="11907" spans="1:4" x14ac:dyDescent="0.25">
      <c r="A11907" t="str">
        <f>T("   030264")</f>
        <v xml:space="preserve">   030264</v>
      </c>
      <c r="B11907" t="str">
        <f>T("   MAQUEREAUX ENTIERS,FRAIS OU REFRIGERES.(FOIES,OEUFS,LAITANCES EXCLUS)")</f>
        <v xml:space="preserve">   MAQUEREAUX ENTIERS,FRAIS OU REFRIGERES.(FOIES,OEUFS,LAITANCES EXCLUS)</v>
      </c>
      <c r="C11907" s="4">
        <v>132000</v>
      </c>
      <c r="D11907" s="4">
        <v>52800000</v>
      </c>
    </row>
    <row r="11908" spans="1:4" x14ac:dyDescent="0.25">
      <c r="A11908" t="str">
        <f>T("   030268")</f>
        <v xml:space="preserve">   030268</v>
      </c>
      <c r="B11908" t="str">
        <f>T("   --LEGINES(DISSOSTICHUS SPP)")</f>
        <v xml:space="preserve">   --LEGINES(DISSOSTICHUS SPP)</v>
      </c>
      <c r="C11908" s="4">
        <v>228726</v>
      </c>
      <c r="D11908" s="4">
        <v>91490400</v>
      </c>
    </row>
    <row r="11909" spans="1:4" x14ac:dyDescent="0.25">
      <c r="A11909" t="str">
        <f>T("   030269")</f>
        <v xml:space="preserve">   030269</v>
      </c>
      <c r="B11909" t="str">
        <f>T("   Autres poissons entiers,frais ou refrigeres.(foies,oeufs laitances exclus)")</f>
        <v xml:space="preserve">   Autres poissons entiers,frais ou refrigeres.(foies,oeufs laitances exclus)</v>
      </c>
      <c r="C11909" s="4">
        <v>31835769</v>
      </c>
      <c r="D11909" s="4">
        <v>12719382600</v>
      </c>
    </row>
    <row r="11910" spans="1:4" x14ac:dyDescent="0.25">
      <c r="A11910" t="str">
        <f>T("   030310")</f>
        <v xml:space="preserve">   030310</v>
      </c>
      <c r="B11910" t="str">
        <f>T("   SAUMONS DU PACIFIQUE ENTIERS CONGELES.(FOIES,OEUFS,LAITANCES EXCLUS)")</f>
        <v xml:space="preserve">   SAUMONS DU PACIFIQUE ENTIERS CONGELES.(FOIES,OEUFS,LAITANCES EXCLUS)</v>
      </c>
      <c r="C11910" s="4">
        <v>138432</v>
      </c>
      <c r="D11910" s="4">
        <v>4830000</v>
      </c>
    </row>
    <row r="11911" spans="1:4" x14ac:dyDescent="0.25">
      <c r="A11911" t="str">
        <f>T("   030311")</f>
        <v xml:space="preserve">   030311</v>
      </c>
      <c r="B11911" t="str">
        <f>T("   SAUMONS ROUGES (ONCORHYNCHUS NERKA)")</f>
        <v xml:space="preserve">   SAUMONS ROUGES (ONCORHYNCHUS NERKA)</v>
      </c>
      <c r="C11911" s="4">
        <v>331</v>
      </c>
      <c r="D11911" s="4">
        <v>1525435</v>
      </c>
    </row>
    <row r="11912" spans="1:4" x14ac:dyDescent="0.25">
      <c r="A11912" t="str">
        <f>T("   030319")</f>
        <v xml:space="preserve">   030319</v>
      </c>
      <c r="B11912" t="str">
        <f>T("   AUTRES")</f>
        <v xml:space="preserve">   AUTRES</v>
      </c>
      <c r="C11912" s="4">
        <v>25000</v>
      </c>
      <c r="D11912" s="4">
        <v>10000110</v>
      </c>
    </row>
    <row r="11913" spans="1:4" x14ac:dyDescent="0.25">
      <c r="A11913" t="str">
        <f>T("   030322")</f>
        <v xml:space="preserve">   030322</v>
      </c>
      <c r="B11913" t="str">
        <f>T("   SAUMONS DU DANUBE OU ATLANTIQUE,ENTIERS,CONGELES.(FOIES,OEUFS,... EXCLUS)")</f>
        <v xml:space="preserve">   SAUMONS DU DANUBE OU ATLANTIQUE,ENTIERS,CONGELES.(FOIES,OEUFS,... EXCLUS)</v>
      </c>
      <c r="C11913" s="4">
        <v>1528</v>
      </c>
      <c r="D11913" s="4">
        <v>1104637</v>
      </c>
    </row>
    <row r="11914" spans="1:4" x14ac:dyDescent="0.25">
      <c r="A11914" t="str">
        <f>T("   030329")</f>
        <v xml:space="preserve">   030329</v>
      </c>
      <c r="B11914" t="str">
        <f>T("   AUTRES")</f>
        <v xml:space="preserve">   AUTRES</v>
      </c>
      <c r="C11914" s="4">
        <v>363746</v>
      </c>
      <c r="D11914" s="4">
        <v>85056187</v>
      </c>
    </row>
    <row r="11915" spans="1:4" x14ac:dyDescent="0.25">
      <c r="A11915" t="str">
        <f>T("   030339")</f>
        <v xml:space="preserve">   030339</v>
      </c>
      <c r="B11915" t="str">
        <f>T("   AUTRES")</f>
        <v xml:space="preserve">   AUTRES</v>
      </c>
      <c r="C11915" s="4">
        <v>317340</v>
      </c>
      <c r="D11915" s="4">
        <v>71401500</v>
      </c>
    </row>
    <row r="11916" spans="1:4" x14ac:dyDescent="0.25">
      <c r="A11916" t="str">
        <f>T("   030371")</f>
        <v xml:space="preserve">   030371</v>
      </c>
      <c r="B11916" t="str">
        <f>T("   SARDINES,SARDINELLES,SPRATS ENTIERS,CONGELES(FOIES,OEUFS,LAITANCES EXCLUS)")</f>
        <v xml:space="preserve">   SARDINES,SARDINELLES,SPRATS ENTIERS,CONGELES(FOIES,OEUFS,LAITANCES EXCLUS)</v>
      </c>
      <c r="C11916" s="4">
        <v>109500</v>
      </c>
      <c r="D11916" s="4">
        <v>33433769</v>
      </c>
    </row>
    <row r="11917" spans="1:4" x14ac:dyDescent="0.25">
      <c r="A11917" t="str">
        <f>T("   030374")</f>
        <v xml:space="preserve">   030374</v>
      </c>
      <c r="B11917" t="str">
        <f>T("   MAQUEREAUX ENTIERS CONGELES.(FOIES,OEUFS,LAITANCES EXCLUS)")</f>
        <v xml:space="preserve">   MAQUEREAUX ENTIERS CONGELES.(FOIES,OEUFS,LAITANCES EXCLUS)</v>
      </c>
      <c r="C11917" s="4">
        <v>53250</v>
      </c>
      <c r="D11917" s="4">
        <v>16575502</v>
      </c>
    </row>
    <row r="11918" spans="1:4" x14ac:dyDescent="0.25">
      <c r="A11918" t="str">
        <f>T("   030379")</f>
        <v xml:space="preserve">   030379</v>
      </c>
      <c r="B11918" t="str">
        <f>T("   AUTRES POISSONS ENTIERS CONGELES.(FOIES,OEUFS,LAITANCES EXCLUS)")</f>
        <v xml:space="preserve">   AUTRES POISSONS ENTIERS CONGELES.(FOIES,OEUFS,LAITANCES EXCLUS)</v>
      </c>
      <c r="C11918" s="4">
        <v>73956838</v>
      </c>
      <c r="D11918" s="4">
        <v>25729356626</v>
      </c>
    </row>
    <row r="11919" spans="1:4" x14ac:dyDescent="0.25">
      <c r="A11919" t="str">
        <f>T("   030429")</f>
        <v xml:space="preserve">   030429</v>
      </c>
      <c r="B11919" t="str">
        <f>T("   AUTRES")</f>
        <v xml:space="preserve">   AUTRES</v>
      </c>
      <c r="C11919" s="4">
        <v>5588</v>
      </c>
      <c r="D11919" s="4">
        <v>2235200</v>
      </c>
    </row>
    <row r="11920" spans="1:4" x14ac:dyDescent="0.25">
      <c r="A11920" t="str">
        <f>T("   030492")</f>
        <v xml:space="preserve">   030492</v>
      </c>
      <c r="B11920" t="str">
        <f>T("   LEGINES (DISSOSTICHUS SPP.)")</f>
        <v xml:space="preserve">   LEGINES (DISSOSTICHUS SPP.)</v>
      </c>
      <c r="C11920" s="4">
        <v>387</v>
      </c>
      <c r="D11920" s="4">
        <v>954422</v>
      </c>
    </row>
    <row r="11921" spans="1:4" x14ac:dyDescent="0.25">
      <c r="A11921" t="str">
        <f>T("   030520")</f>
        <v xml:space="preserve">   030520</v>
      </c>
      <c r="B11921" t="str">
        <f>T("   FOIES, œUFS ET LAITANCES DE POISSONS, SECHES, FUMES, SALES OU EN SAUMURE")</f>
        <v xml:space="preserve">   FOIES, œUFS ET LAITANCES DE POISSONS, SECHES, FUMES, SALES OU EN SAUMURE</v>
      </c>
      <c r="C11921" s="4">
        <v>40</v>
      </c>
      <c r="D11921" s="4">
        <v>151265</v>
      </c>
    </row>
    <row r="11922" spans="1:4" x14ac:dyDescent="0.25">
      <c r="A11922" t="str">
        <f>T("   030530")</f>
        <v xml:space="preserve">   030530</v>
      </c>
      <c r="B11922" t="str">
        <f>T("   FILETS DE POISSONS SALES,SECHES OU EN SAUMURE, MAIS NON FUMES")</f>
        <v xml:space="preserve">   FILETS DE POISSONS SALES,SECHES OU EN SAUMURE, MAIS NON FUMES</v>
      </c>
      <c r="C11922" s="4">
        <v>4008.8</v>
      </c>
      <c r="D11922" s="4">
        <v>3605238</v>
      </c>
    </row>
    <row r="11923" spans="1:4" x14ac:dyDescent="0.25">
      <c r="A11923" t="str">
        <f>T("   030541")</f>
        <v xml:space="preserve">   030541</v>
      </c>
      <c r="B11923" t="str">
        <f>T("   SAUMONS DU PACIFIQUE (ONCORHYNCHUS NERKA, ONCORHYNCHUS GORBUSCHA, ONCORHYNCHUS KETA,")</f>
        <v xml:space="preserve">   SAUMONS DU PACIFIQUE (ONCORHYNCHUS NERKA, ONCORHYNCHUS GORBUSCHA, ONCORHYNCHUS KETA,</v>
      </c>
      <c r="C11923" s="4">
        <v>1222</v>
      </c>
      <c r="D11923" s="4">
        <v>2201402</v>
      </c>
    </row>
    <row r="11924" spans="1:4" x14ac:dyDescent="0.25">
      <c r="A11924" t="str">
        <f>T("   030542")</f>
        <v xml:space="preserve">   030542</v>
      </c>
      <c r="B11924" t="str">
        <f>T("   HARENGS (CLUPEA HARENGUS, CLUPEA PALLASII)")</f>
        <v xml:space="preserve">   HARENGS (CLUPEA HARENGUS, CLUPEA PALLASII)</v>
      </c>
      <c r="C11924" s="4">
        <v>76</v>
      </c>
      <c r="D11924" s="4">
        <v>30400</v>
      </c>
    </row>
    <row r="11925" spans="1:4" x14ac:dyDescent="0.25">
      <c r="A11925" t="str">
        <f>T("   030549")</f>
        <v xml:space="preserve">   030549</v>
      </c>
      <c r="B11925" t="str">
        <f>T("   AUTRES")</f>
        <v xml:space="preserve">   AUTRES</v>
      </c>
      <c r="C11925" s="4">
        <v>7712</v>
      </c>
      <c r="D11925" s="4">
        <v>3145336</v>
      </c>
    </row>
    <row r="11926" spans="1:4" x14ac:dyDescent="0.25">
      <c r="A11926" t="str">
        <f>T("   030559")</f>
        <v xml:space="preserve">   030559</v>
      </c>
      <c r="B11926" t="str">
        <f>T("   AUTRES")</f>
        <v xml:space="preserve">   AUTRES</v>
      </c>
      <c r="C11926" s="4">
        <v>6834</v>
      </c>
      <c r="D11926" s="4">
        <v>418810</v>
      </c>
    </row>
    <row r="11927" spans="1:4" x14ac:dyDescent="0.25">
      <c r="A11927" t="str">
        <f>T("   030563")</f>
        <v xml:space="preserve">   030563</v>
      </c>
      <c r="B11927" t="str">
        <f>T("   ANCHOIS (ENGRAULIS SPP.)")</f>
        <v xml:space="preserve">   ANCHOIS (ENGRAULIS SPP.)</v>
      </c>
      <c r="C11927" s="4">
        <v>90</v>
      </c>
      <c r="D11927" s="4">
        <v>36000</v>
      </c>
    </row>
    <row r="11928" spans="1:4" x14ac:dyDescent="0.25">
      <c r="A11928" t="str">
        <f>T("   030569")</f>
        <v xml:space="preserve">   030569</v>
      </c>
      <c r="B11928" t="str">
        <f>T("   AUTRES")</f>
        <v xml:space="preserve">   AUTRES</v>
      </c>
      <c r="C11928" s="4">
        <v>5000</v>
      </c>
      <c r="D11928" s="4">
        <v>2000000</v>
      </c>
    </row>
    <row r="11929" spans="1:4" x14ac:dyDescent="0.25">
      <c r="A11929" t="str">
        <f>T("   030613")</f>
        <v xml:space="preserve">   030613</v>
      </c>
      <c r="B11929" t="str">
        <f>T("   CREVETTES CONGELEES")</f>
        <v xml:space="preserve">   CREVETTES CONGELEES</v>
      </c>
      <c r="C11929" s="4">
        <v>842</v>
      </c>
      <c r="D11929" s="4">
        <v>819909</v>
      </c>
    </row>
    <row r="11930" spans="1:4" x14ac:dyDescent="0.25">
      <c r="A11930" t="str">
        <f>T("   030619")</f>
        <v xml:space="preserve">   030619</v>
      </c>
      <c r="B11930" t="str">
        <f>T("   AUTRES, Y COMPRIS LES FARINES, POUDRES ET AGGLOMERES SOUS FORME DE PELLETS DE CRUSTA")</f>
        <v xml:space="preserve">   AUTRES, Y COMPRIS LES FARINES, POUDRES ET AGGLOMERES SOUS FORME DE PELLETS DE CRUSTA</v>
      </c>
      <c r="C11930" s="4">
        <v>2924</v>
      </c>
      <c r="D11930" s="4">
        <v>5607145</v>
      </c>
    </row>
    <row r="11931" spans="1:4" x14ac:dyDescent="0.25">
      <c r="A11931" t="str">
        <f>T("   030621")</f>
        <v xml:space="preserve">   030621</v>
      </c>
      <c r="B11931" t="str">
        <f>T("   LANGOUSTES (PALINURUS SPP., PANULIRUS SPP., JASUS SPP.)")</f>
        <v xml:space="preserve">   LANGOUSTES (PALINURUS SPP., PANULIRUS SPP., JASUS SPP.)</v>
      </c>
      <c r="C11931" s="4">
        <v>1750</v>
      </c>
      <c r="D11931" s="4">
        <v>725000</v>
      </c>
    </row>
    <row r="11932" spans="1:4" x14ac:dyDescent="0.25">
      <c r="A11932" t="str">
        <f>T("   030710")</f>
        <v xml:space="preserve">   030710</v>
      </c>
      <c r="B11932" t="str">
        <f>T("   HUITRES")</f>
        <v xml:space="preserve">   HUITRES</v>
      </c>
      <c r="C11932" s="4">
        <v>285</v>
      </c>
      <c r="D11932" s="4">
        <v>601240</v>
      </c>
    </row>
    <row r="11933" spans="1:4" x14ac:dyDescent="0.25">
      <c r="A11933" t="str">
        <f>T("   030739")</f>
        <v xml:space="preserve">   030739</v>
      </c>
      <c r="B11933" t="str">
        <f>T("   AUTRES")</f>
        <v xml:space="preserve">   AUTRES</v>
      </c>
      <c r="C11933" s="4">
        <v>1074</v>
      </c>
      <c r="D11933" s="4">
        <v>526080</v>
      </c>
    </row>
    <row r="11934" spans="1:4" x14ac:dyDescent="0.25">
      <c r="A11934" t="str">
        <f>T("   030749")</f>
        <v xml:space="preserve">   030749</v>
      </c>
      <c r="B11934" t="str">
        <f>T("   AUTRES")</f>
        <v xml:space="preserve">   AUTRES</v>
      </c>
      <c r="C11934" s="4">
        <v>290</v>
      </c>
      <c r="D11934" s="4">
        <v>619227</v>
      </c>
    </row>
    <row r="11935" spans="1:4" x14ac:dyDescent="0.25">
      <c r="A11935" t="str">
        <f>T("   030799")</f>
        <v xml:space="preserve">   030799</v>
      </c>
      <c r="B11935" t="str">
        <f>T("   AUTRES")</f>
        <v xml:space="preserve">   AUTRES</v>
      </c>
      <c r="C11935" s="4">
        <v>706</v>
      </c>
      <c r="D11935" s="4">
        <v>636282</v>
      </c>
    </row>
    <row r="11936" spans="1:4" x14ac:dyDescent="0.25">
      <c r="A11936" t="str">
        <f>T("   040110")</f>
        <v xml:space="preserve">   040110</v>
      </c>
      <c r="B11936" t="str">
        <f>T("   D’UNE TENEUR EN POIDS DE MATIERES GRASSES N’EXCEDANT PAS 1 %")</f>
        <v xml:space="preserve">   D’UNE TENEUR EN POIDS DE MATIERES GRASSES N’EXCEDANT PAS 1 %</v>
      </c>
      <c r="C11936" s="4">
        <v>15590</v>
      </c>
      <c r="D11936" s="4">
        <v>12850259</v>
      </c>
    </row>
    <row r="11937" spans="1:4" x14ac:dyDescent="0.25">
      <c r="A11937" t="str">
        <f>T("   040120")</f>
        <v xml:space="preserve">   040120</v>
      </c>
      <c r="B11937" t="str">
        <f>T("   D’UNE TENEUR EN POIDS DE MATIERES GRASSES EXCEDANT 1 % MAIS N’EXCEDANT PAS 6 %")</f>
        <v xml:space="preserve">   D’UNE TENEUR EN POIDS DE MATIERES GRASSES EXCEDANT 1 % MAIS N’EXCEDANT PAS 6 %</v>
      </c>
      <c r="C11937" s="4">
        <v>765264</v>
      </c>
      <c r="D11937" s="4">
        <v>366104670</v>
      </c>
    </row>
    <row r="11938" spans="1:4" x14ac:dyDescent="0.25">
      <c r="A11938" t="str">
        <f>T("   040130")</f>
        <v xml:space="preserve">   040130</v>
      </c>
      <c r="B11938" t="str">
        <f>T("   LAIT ET CREME DE LAIT NON CONCENTRES NI SUCRES, + 6 % DE MAT. GRASSES")</f>
        <v xml:space="preserve">   LAIT ET CREME DE LAIT NON CONCENTRES NI SUCRES, + 6 % DE MAT. GRASSES</v>
      </c>
      <c r="C11938" s="4">
        <v>229831</v>
      </c>
      <c r="D11938" s="4">
        <v>90460125</v>
      </c>
    </row>
    <row r="11939" spans="1:4" x14ac:dyDescent="0.25">
      <c r="A11939" t="str">
        <f>T("   040210")</f>
        <v xml:space="preserve">   040210</v>
      </c>
      <c r="B11939" t="str">
        <f>T("   EN POUDRE, EN GRANULES OU SOUS D’AUTRES FORMES SOLIDES, D’UNE TENEUR EN POIDS DE MATI")</f>
        <v xml:space="preserve">   EN POUDRE, EN GRANULES OU SOUS D’AUTRES FORMES SOLIDES, D’UNE TENEUR EN POIDS DE MATI</v>
      </c>
      <c r="C11939" s="4">
        <v>2755393</v>
      </c>
      <c r="D11939" s="4">
        <v>3619299427</v>
      </c>
    </row>
    <row r="11940" spans="1:4" x14ac:dyDescent="0.25">
      <c r="A11940" t="str">
        <f>T("   040221")</f>
        <v xml:space="preserve">   040221</v>
      </c>
      <c r="B11940" t="str">
        <f>T("   SANS ADDITION DE SUCRE OU D'AUTRES EDULCORANTS")</f>
        <v xml:space="preserve">   SANS ADDITION DE SUCRE OU D'AUTRES EDULCORANTS</v>
      </c>
      <c r="C11940" s="4">
        <v>2278534.7999999998</v>
      </c>
      <c r="D11940" s="4">
        <v>3777674446</v>
      </c>
    </row>
    <row r="11941" spans="1:4" x14ac:dyDescent="0.25">
      <c r="A11941" t="str">
        <f>T("   040229")</f>
        <v xml:space="preserve">   040229</v>
      </c>
      <c r="B11941" t="str">
        <f>T("   AUTRES")</f>
        <v xml:space="preserve">   AUTRES</v>
      </c>
      <c r="C11941" s="4">
        <v>597925.4</v>
      </c>
      <c r="D11941" s="4">
        <v>1131178528</v>
      </c>
    </row>
    <row r="11942" spans="1:4" x14ac:dyDescent="0.25">
      <c r="A11942" t="str">
        <f>T("   040291")</f>
        <v xml:space="preserve">   040291</v>
      </c>
      <c r="B11942" t="str">
        <f>T("   SANS ADDITION DE SUCRE OU D'AUTRES EDULCORANTS")</f>
        <v xml:space="preserve">   SANS ADDITION DE SUCRE OU D'AUTRES EDULCORANTS</v>
      </c>
      <c r="C11942" s="4">
        <v>5028077.04</v>
      </c>
      <c r="D11942" s="4">
        <v>4740698108</v>
      </c>
    </row>
    <row r="11943" spans="1:4" x14ac:dyDescent="0.25">
      <c r="A11943" t="str">
        <f>T("   040299")</f>
        <v xml:space="preserve">   040299</v>
      </c>
      <c r="B11943" t="str">
        <f>T("   AUTRES")</f>
        <v xml:space="preserve">   AUTRES</v>
      </c>
      <c r="C11943" s="4">
        <v>1944235</v>
      </c>
      <c r="D11943" s="4">
        <v>988305891</v>
      </c>
    </row>
    <row r="11944" spans="1:4" x14ac:dyDescent="0.25">
      <c r="A11944" t="str">
        <f>T("   040310")</f>
        <v xml:space="preserve">   040310</v>
      </c>
      <c r="B11944" t="str">
        <f>T("   YOGHOURT")</f>
        <v xml:space="preserve">   YOGHOURT</v>
      </c>
      <c r="C11944" s="4">
        <v>1171439</v>
      </c>
      <c r="D11944" s="4">
        <v>604489157</v>
      </c>
    </row>
    <row r="11945" spans="1:4" x14ac:dyDescent="0.25">
      <c r="A11945" t="str">
        <f>T("   040390")</f>
        <v xml:space="preserve">   040390</v>
      </c>
      <c r="B11945" t="str">
        <f>T("   AUTRES")</f>
        <v xml:space="preserve">   AUTRES</v>
      </c>
      <c r="C11945" s="4">
        <v>285513</v>
      </c>
      <c r="D11945" s="4">
        <v>83366600</v>
      </c>
    </row>
    <row r="11946" spans="1:4" x14ac:dyDescent="0.25">
      <c r="A11946" t="str">
        <f>T("   040490")</f>
        <v xml:space="preserve">   040490</v>
      </c>
      <c r="B11946" t="str">
        <f>T("   AUTRES")</f>
        <v xml:space="preserve">   AUTRES</v>
      </c>
      <c r="C11946" s="4">
        <v>345334</v>
      </c>
      <c r="D11946" s="4">
        <v>151352892</v>
      </c>
    </row>
    <row r="11947" spans="1:4" x14ac:dyDescent="0.25">
      <c r="A11947" t="str">
        <f>T("   040510")</f>
        <v xml:space="preserve">   040510</v>
      </c>
      <c r="B11947" t="str">
        <f>T("   BEURRE")</f>
        <v xml:space="preserve">   BEURRE</v>
      </c>
      <c r="C11947" s="4">
        <v>333136.09999999998</v>
      </c>
      <c r="D11947" s="4">
        <v>219886640</v>
      </c>
    </row>
    <row r="11948" spans="1:4" x14ac:dyDescent="0.25">
      <c r="A11948" t="str">
        <f>T("   040590")</f>
        <v xml:space="preserve">   040590</v>
      </c>
      <c r="B11948" t="str">
        <f>T("   AUTRES")</f>
        <v xml:space="preserve">   AUTRES</v>
      </c>
      <c r="C11948" s="4">
        <v>3</v>
      </c>
      <c r="D11948" s="4">
        <v>8908</v>
      </c>
    </row>
    <row r="11949" spans="1:4" x14ac:dyDescent="0.25">
      <c r="A11949" t="str">
        <f>T("   040610")</f>
        <v xml:space="preserve">   040610</v>
      </c>
      <c r="B11949" t="str">
        <f>T("   FROMAGES FRAIS (NON AFFINES), Y COMPRIS LE FROMAGE DE LACTOSERUM, ET CAILLEBOTTE")</f>
        <v xml:space="preserve">   FROMAGES FRAIS (NON AFFINES), Y COMPRIS LE FROMAGE DE LACTOSERUM, ET CAILLEBOTTE</v>
      </c>
      <c r="C11949" s="4">
        <v>73</v>
      </c>
      <c r="D11949" s="4">
        <v>20335</v>
      </c>
    </row>
    <row r="11950" spans="1:4" x14ac:dyDescent="0.25">
      <c r="A11950" t="str">
        <f>T("   040620")</f>
        <v xml:space="preserve">   040620</v>
      </c>
      <c r="B11950" t="str">
        <f>T("   FROMAGES RAPES OU EN POUDRE, DE TOUS TYPES")</f>
        <v xml:space="preserve">   FROMAGES RAPES OU EN POUDRE, DE TOUS TYPES</v>
      </c>
      <c r="C11950" s="4">
        <v>3540</v>
      </c>
      <c r="D11950" s="4">
        <v>1757316</v>
      </c>
    </row>
    <row r="11951" spans="1:4" x14ac:dyDescent="0.25">
      <c r="A11951" t="str">
        <f>T("   040630")</f>
        <v xml:space="preserve">   040630</v>
      </c>
      <c r="B11951" t="str">
        <f>T("   FROMAGES FONDUS, AUTRES QUE RAPES OU EN POUDRE")</f>
        <v xml:space="preserve">   FROMAGES FONDUS, AUTRES QUE RAPES OU EN POUDRE</v>
      </c>
      <c r="C11951" s="4">
        <v>9377</v>
      </c>
      <c r="D11951" s="4">
        <v>7025196</v>
      </c>
    </row>
    <row r="11952" spans="1:4" x14ac:dyDescent="0.25">
      <c r="A11952" t="str">
        <f>T("   040640")</f>
        <v xml:space="preserve">   040640</v>
      </c>
      <c r="B11952" t="str">
        <f>T("   FROMAGES A PATE PERSILLEE ET AUTRES FROMAGES PRESENTANT DES MARBRURES OBTENUES EN UTI")</f>
        <v xml:space="preserve">   FROMAGES A PATE PERSILLEE ET AUTRES FROMAGES PRESENTANT DES MARBRURES OBTENUES EN UTI</v>
      </c>
      <c r="C11952" s="4">
        <v>1666</v>
      </c>
      <c r="D11952" s="4">
        <v>765506</v>
      </c>
    </row>
    <row r="11953" spans="1:4" x14ac:dyDescent="0.25">
      <c r="A11953" t="str">
        <f>T("   040690")</f>
        <v xml:space="preserve">   040690</v>
      </c>
      <c r="B11953" t="str">
        <f>T("   AUTRES FROMAGES")</f>
        <v xml:space="preserve">   AUTRES FROMAGES</v>
      </c>
      <c r="C11953" s="4">
        <v>511657.63</v>
      </c>
      <c r="D11953" s="4">
        <v>394300063</v>
      </c>
    </row>
    <row r="11954" spans="1:4" x14ac:dyDescent="0.25">
      <c r="A11954" t="str">
        <f>T("   040700")</f>
        <v xml:space="preserve">   040700</v>
      </c>
      <c r="B11954" t="str">
        <f>T("   Oeufs d'oiseaux en coquilles,frais,conserves ou cuits")</f>
        <v xml:space="preserve">   Oeufs d'oiseaux en coquilles,frais,conserves ou cuits</v>
      </c>
      <c r="C11954" s="4">
        <v>202676</v>
      </c>
      <c r="D11954" s="4">
        <v>76062969</v>
      </c>
    </row>
    <row r="11955" spans="1:4" x14ac:dyDescent="0.25">
      <c r="A11955" t="str">
        <f>T("   040900")</f>
        <v xml:space="preserve">   040900</v>
      </c>
      <c r="B11955" t="str">
        <f>T("   MIEL NATUREL.")</f>
        <v xml:space="preserve">   MIEL NATUREL.</v>
      </c>
      <c r="C11955" s="4">
        <v>6876</v>
      </c>
      <c r="D11955" s="4">
        <v>4857476</v>
      </c>
    </row>
    <row r="11956" spans="1:4" x14ac:dyDescent="0.25">
      <c r="A11956" t="str">
        <f>T("   041000")</f>
        <v xml:space="preserve">   041000</v>
      </c>
      <c r="B11956" t="str">
        <f>T("   PRODUITS COMESTIBLES D'ORIGINE ANIMALE, NON DENOMMES NI COMPRIS AILLEURS.")</f>
        <v xml:space="preserve">   PRODUITS COMESTIBLES D'ORIGINE ANIMALE, NON DENOMMES NI COMPRIS AILLEURS.</v>
      </c>
      <c r="C11956" s="4">
        <v>37</v>
      </c>
      <c r="D11956" s="4">
        <v>381769</v>
      </c>
    </row>
    <row r="11957" spans="1:4" x14ac:dyDescent="0.25">
      <c r="A11957" t="str">
        <f>T("   050400")</f>
        <v xml:space="preserve">   050400</v>
      </c>
      <c r="B11957" t="str">
        <f>T("   BOYAUX, VESSIES ET ESTOMACS D'ANIMAUX, ENTIERS OU EN MORCEAUX, AUTRES QUE CEUX DE POISS")</f>
        <v xml:space="preserve">   BOYAUX, VESSIES ET ESTOMACS D'ANIMAUX, ENTIERS OU EN MORCEAUX, AUTRES QUE CEUX DE POISS</v>
      </c>
      <c r="C11957" s="4">
        <v>5548704.04</v>
      </c>
      <c r="D11957" s="4">
        <v>6558897014</v>
      </c>
    </row>
    <row r="11958" spans="1:4" x14ac:dyDescent="0.25">
      <c r="A11958" t="str">
        <f>T("   051191")</f>
        <v xml:space="preserve">   051191</v>
      </c>
      <c r="B11958" t="str">
        <f>T("   PRODUITS DE POISSONS OU DE CRUSTACES, MOLLUSQUES OU AUTRES INVERTEBRES AQUATIQUES; A")</f>
        <v xml:space="preserve">   PRODUITS DE POISSONS OU DE CRUSTACES, MOLLUSQUES OU AUTRES INVERTEBRES AQUATIQUES; A</v>
      </c>
      <c r="C11958" s="4">
        <v>4000</v>
      </c>
      <c r="D11958" s="4">
        <v>2915452</v>
      </c>
    </row>
    <row r="11959" spans="1:4" x14ac:dyDescent="0.25">
      <c r="A11959" t="str">
        <f>T("   060120")</f>
        <v xml:space="preserve">   060120</v>
      </c>
      <c r="B11959" t="str">
        <f>T("   BULBES, OIGNONS, TUBERCULES, RACINES TUBEREUSES, GRIFFES ET RHIZOMES, EN VEGETATION O")</f>
        <v xml:space="preserve">   BULBES, OIGNONS, TUBERCULES, RACINES TUBEREUSES, GRIFFES ET RHIZOMES, EN VEGETATION O</v>
      </c>
      <c r="C11959" s="4">
        <v>200</v>
      </c>
      <c r="D11959" s="4">
        <v>10923</v>
      </c>
    </row>
    <row r="11960" spans="1:4" x14ac:dyDescent="0.25">
      <c r="A11960" t="str">
        <f>T("   060311")</f>
        <v xml:space="preserve">   060311</v>
      </c>
      <c r="B11960" t="str">
        <f>T("   ROSES")</f>
        <v xml:space="preserve">   ROSES</v>
      </c>
      <c r="C11960" s="4">
        <v>99</v>
      </c>
      <c r="D11960" s="4">
        <v>140000</v>
      </c>
    </row>
    <row r="11961" spans="1:4" x14ac:dyDescent="0.25">
      <c r="A11961" t="str">
        <f>T("   060390")</f>
        <v xml:space="preserve">   060390</v>
      </c>
      <c r="B11961" t="str">
        <f>T("   AUTRES")</f>
        <v xml:space="preserve">   AUTRES</v>
      </c>
      <c r="C11961" s="4">
        <v>5000</v>
      </c>
      <c r="D11961" s="4">
        <v>65538</v>
      </c>
    </row>
    <row r="11962" spans="1:4" x14ac:dyDescent="0.25">
      <c r="A11962" t="str">
        <f>T("   060410")</f>
        <v xml:space="preserve">   060410</v>
      </c>
      <c r="B11962" t="str">
        <f>T("   MOUSSES ET LICHENS POUR BOUQUETS OU POUR ORNEMENTS")</f>
        <v xml:space="preserve">   MOUSSES ET LICHENS POUR BOUQUETS OU POUR ORNEMENTS</v>
      </c>
      <c r="C11962" s="4">
        <v>10</v>
      </c>
      <c r="D11962" s="4">
        <v>30000</v>
      </c>
    </row>
    <row r="11963" spans="1:4" x14ac:dyDescent="0.25">
      <c r="A11963" t="str">
        <f>T("   060491")</f>
        <v xml:space="preserve">   060491</v>
      </c>
      <c r="B11963" t="str">
        <f>T("   AUTRES FEUILLAGES,FEUILLES,RAMEAUX,FRAIS,POUR BOUQUETS OU ORNEMENTS")</f>
        <v xml:space="preserve">   AUTRES FEUILLAGES,FEUILLES,RAMEAUX,FRAIS,POUR BOUQUETS OU ORNEMENTS</v>
      </c>
      <c r="C11963" s="4">
        <v>220</v>
      </c>
      <c r="D11963" s="4">
        <v>46733</v>
      </c>
    </row>
    <row r="11964" spans="1:4" x14ac:dyDescent="0.25">
      <c r="A11964" t="str">
        <f>T("   060499")</f>
        <v xml:space="preserve">   060499</v>
      </c>
      <c r="B11964" t="str">
        <f>T("   AUTRES FEUILLAGES,FEUILLES,RAMEAUX,NON FRAIS,POUR BOUQUETS OU ORNEMENTS")</f>
        <v xml:space="preserve">   AUTRES FEUILLAGES,FEUILLES,RAMEAUX,NON FRAIS,POUR BOUQUETS OU ORNEMENTS</v>
      </c>
      <c r="C11964" s="4">
        <v>2135</v>
      </c>
      <c r="D11964" s="4">
        <v>174769</v>
      </c>
    </row>
    <row r="11965" spans="1:4" x14ac:dyDescent="0.25">
      <c r="A11965" t="str">
        <f>T("   070110")</f>
        <v xml:space="preserve">   070110</v>
      </c>
      <c r="B11965" t="str">
        <f>T("   DE SEMENCE")</f>
        <v xml:space="preserve">   DE SEMENCE</v>
      </c>
      <c r="C11965" s="4">
        <v>75</v>
      </c>
      <c r="D11965" s="4">
        <v>186711</v>
      </c>
    </row>
    <row r="11966" spans="1:4" x14ac:dyDescent="0.25">
      <c r="A11966" t="str">
        <f>T("   070190")</f>
        <v xml:space="preserve">   070190</v>
      </c>
      <c r="B11966" t="str">
        <f>T("   AUTRES")</f>
        <v xml:space="preserve">   AUTRES</v>
      </c>
      <c r="C11966" s="4">
        <v>618522</v>
      </c>
      <c r="D11966" s="4">
        <v>124067995</v>
      </c>
    </row>
    <row r="11967" spans="1:4" x14ac:dyDescent="0.25">
      <c r="A11967" t="str">
        <f>T("   070200")</f>
        <v xml:space="preserve">   070200</v>
      </c>
      <c r="B11967" t="str">
        <f>T("   TOMATES, A L'ETAT FRAIS OU REFRIGERE.")</f>
        <v xml:space="preserve">   TOMATES, A L'ETAT FRAIS OU REFRIGERE.</v>
      </c>
      <c r="C11967" s="4">
        <v>291</v>
      </c>
      <c r="D11967" s="4">
        <v>446558</v>
      </c>
    </row>
    <row r="11968" spans="1:4" x14ac:dyDescent="0.25">
      <c r="A11968" t="str">
        <f>T("   070310")</f>
        <v xml:space="preserve">   070310</v>
      </c>
      <c r="B11968" t="str">
        <f>T("   OIGNONS ET ECHALOTES")</f>
        <v xml:space="preserve">   OIGNONS ET ECHALOTES</v>
      </c>
      <c r="C11968" s="4">
        <v>95763</v>
      </c>
      <c r="D11968" s="4">
        <v>16639920</v>
      </c>
    </row>
    <row r="11969" spans="1:4" x14ac:dyDescent="0.25">
      <c r="A11969" t="str">
        <f>T("   070320")</f>
        <v xml:space="preserve">   070320</v>
      </c>
      <c r="B11969" t="str">
        <f>T("   AULX")</f>
        <v xml:space="preserve">   AULX</v>
      </c>
      <c r="C11969" s="4">
        <v>966555</v>
      </c>
      <c r="D11969" s="4">
        <v>144776960</v>
      </c>
    </row>
    <row r="11970" spans="1:4" x14ac:dyDescent="0.25">
      <c r="A11970" t="str">
        <f>T("   070390")</f>
        <v xml:space="preserve">   070390</v>
      </c>
      <c r="B11970" t="str">
        <f>T("   POIREAUX ET AUTRES LEGUMES ALLIACES")</f>
        <v xml:space="preserve">   POIREAUX ET AUTRES LEGUMES ALLIACES</v>
      </c>
      <c r="C11970" s="4">
        <v>2398</v>
      </c>
      <c r="D11970" s="4">
        <v>4879688</v>
      </c>
    </row>
    <row r="11971" spans="1:4" x14ac:dyDescent="0.25">
      <c r="A11971" t="str">
        <f>T("   070490")</f>
        <v xml:space="preserve">   070490</v>
      </c>
      <c r="B11971" t="str">
        <f>T("   AUTRES")</f>
        <v xml:space="preserve">   AUTRES</v>
      </c>
      <c r="C11971" s="4">
        <v>3016</v>
      </c>
      <c r="D11971" s="4">
        <v>2509127</v>
      </c>
    </row>
    <row r="11972" spans="1:4" x14ac:dyDescent="0.25">
      <c r="A11972" t="str">
        <f>T("   070519")</f>
        <v xml:space="preserve">   070519</v>
      </c>
      <c r="B11972" t="str">
        <f>T("   AUTRES")</f>
        <v xml:space="preserve">   AUTRES</v>
      </c>
      <c r="C11972" s="4">
        <v>4302</v>
      </c>
      <c r="D11972" s="4">
        <v>6319396</v>
      </c>
    </row>
    <row r="11973" spans="1:4" x14ac:dyDescent="0.25">
      <c r="A11973" t="str">
        <f>T("   070610")</f>
        <v xml:space="preserve">   070610</v>
      </c>
      <c r="B11973" t="str">
        <f>T("   CAROTTES ET NAVETS")</f>
        <v xml:space="preserve">   CAROTTES ET NAVETS</v>
      </c>
      <c r="C11973" s="4">
        <v>1671</v>
      </c>
      <c r="D11973" s="4">
        <v>3422799</v>
      </c>
    </row>
    <row r="11974" spans="1:4" x14ac:dyDescent="0.25">
      <c r="A11974" t="str">
        <f>T("   070700")</f>
        <v xml:space="preserve">   070700</v>
      </c>
      <c r="B11974" t="str">
        <f>T("   CONCOMBRES ET CORNICHONS, A L'ETAT FRAIS OU REFRIGERE.")</f>
        <v xml:space="preserve">   CONCOMBRES ET CORNICHONS, A L'ETAT FRAIS OU REFRIGERE.</v>
      </c>
      <c r="C11974" s="4">
        <v>5352</v>
      </c>
      <c r="D11974" s="4">
        <v>2923226</v>
      </c>
    </row>
    <row r="11975" spans="1:4" x14ac:dyDescent="0.25">
      <c r="A11975" t="str">
        <f>T("   070810")</f>
        <v xml:space="preserve">   070810</v>
      </c>
      <c r="B11975" t="str">
        <f>T("   POIS (PISUM SATIVUM)")</f>
        <v xml:space="preserve">   POIS (PISUM SATIVUM)</v>
      </c>
      <c r="C11975" s="4">
        <v>16</v>
      </c>
      <c r="D11975" s="4">
        <v>117496</v>
      </c>
    </row>
    <row r="11976" spans="1:4" x14ac:dyDescent="0.25">
      <c r="A11976" t="str">
        <f>T("   070959")</f>
        <v xml:space="preserve">   070959</v>
      </c>
      <c r="B11976" t="str">
        <f>T("   AUTRES")</f>
        <v xml:space="preserve">   AUTRES</v>
      </c>
      <c r="C11976" s="4">
        <v>5860</v>
      </c>
      <c r="D11976" s="4">
        <v>1265686</v>
      </c>
    </row>
    <row r="11977" spans="1:4" x14ac:dyDescent="0.25">
      <c r="A11977" t="str">
        <f>T("   070960")</f>
        <v xml:space="preserve">   070960</v>
      </c>
      <c r="B11977" t="str">
        <f>T("   PIMENTS DU GENRE CAPSICUM OU DU GENRE PIMENTA")</f>
        <v xml:space="preserve">   PIMENTS DU GENRE CAPSICUM OU DU GENRE PIMENTA</v>
      </c>
      <c r="C11977" s="4">
        <v>580</v>
      </c>
      <c r="D11977" s="4">
        <v>21155</v>
      </c>
    </row>
    <row r="11978" spans="1:4" x14ac:dyDescent="0.25">
      <c r="A11978" t="str">
        <f>T("   070990")</f>
        <v xml:space="preserve">   070990</v>
      </c>
      <c r="B11978" t="str">
        <f>T("   AUTRES LEGUMES FRAIS OU REFRIGERES")</f>
        <v xml:space="preserve">   AUTRES LEGUMES FRAIS OU REFRIGERES</v>
      </c>
      <c r="C11978" s="4">
        <v>3035</v>
      </c>
      <c r="D11978" s="4">
        <v>6808208</v>
      </c>
    </row>
    <row r="11979" spans="1:4" x14ac:dyDescent="0.25">
      <c r="A11979" t="str">
        <f>T("   071010")</f>
        <v xml:space="preserve">   071010</v>
      </c>
      <c r="B11979" t="str">
        <f>T("   POMMES DE TERRE")</f>
        <v xml:space="preserve">   POMMES DE TERRE</v>
      </c>
      <c r="C11979" s="4">
        <v>1455979</v>
      </c>
      <c r="D11979" s="4">
        <v>266487966</v>
      </c>
    </row>
    <row r="11980" spans="1:4" x14ac:dyDescent="0.25">
      <c r="A11980" t="str">
        <f>T("   071021")</f>
        <v xml:space="preserve">   071021</v>
      </c>
      <c r="B11980" t="str">
        <f>T("   POIS (PISUM SATIVUM)")</f>
        <v xml:space="preserve">   POIS (PISUM SATIVUM)</v>
      </c>
      <c r="C11980" s="4">
        <v>3140</v>
      </c>
      <c r="D11980" s="4">
        <v>1130389</v>
      </c>
    </row>
    <row r="11981" spans="1:4" x14ac:dyDescent="0.25">
      <c r="A11981" t="str">
        <f>T("   071080")</f>
        <v xml:space="preserve">   071080</v>
      </c>
      <c r="B11981" t="str">
        <f>T("   AUTRES LEGUMES")</f>
        <v xml:space="preserve">   AUTRES LEGUMES</v>
      </c>
      <c r="C11981" s="4">
        <v>5875</v>
      </c>
      <c r="D11981" s="4">
        <v>6797715</v>
      </c>
    </row>
    <row r="11982" spans="1:4" x14ac:dyDescent="0.25">
      <c r="A11982" t="str">
        <f>T("   071090")</f>
        <v xml:space="preserve">   071090</v>
      </c>
      <c r="B11982" t="str">
        <f>T("   MELANGES DE LEGUMES")</f>
        <v xml:space="preserve">   MELANGES DE LEGUMES</v>
      </c>
      <c r="C11982" s="4">
        <v>29706</v>
      </c>
      <c r="D11982" s="4">
        <v>36682595</v>
      </c>
    </row>
    <row r="11983" spans="1:4" x14ac:dyDescent="0.25">
      <c r="A11983" t="str">
        <f>T("   071220")</f>
        <v xml:space="preserve">   071220</v>
      </c>
      <c r="B11983" t="str">
        <f>T("   OIGNONS")</f>
        <v xml:space="preserve">   OIGNONS</v>
      </c>
      <c r="C11983" s="4">
        <v>58150</v>
      </c>
      <c r="D11983" s="4">
        <v>9821078</v>
      </c>
    </row>
    <row r="11984" spans="1:4" x14ac:dyDescent="0.25">
      <c r="A11984" t="str">
        <f>T("   071290")</f>
        <v xml:space="preserve">   071290</v>
      </c>
      <c r="B11984" t="str">
        <f>T("   AUTRES LEGUMES; MELANGES DE LEGUMES")</f>
        <v xml:space="preserve">   AUTRES LEGUMES; MELANGES DE LEGUMES</v>
      </c>
      <c r="C11984" s="4">
        <v>1000</v>
      </c>
      <c r="D11984" s="4">
        <v>470000</v>
      </c>
    </row>
    <row r="11985" spans="1:4" x14ac:dyDescent="0.25">
      <c r="A11985" t="str">
        <f>T("   071320")</f>
        <v xml:space="preserve">   071320</v>
      </c>
      <c r="B11985" t="str">
        <f>T("   POIS CHICHES")</f>
        <v xml:space="preserve">   POIS CHICHES</v>
      </c>
      <c r="C11985" s="4">
        <v>11984</v>
      </c>
      <c r="D11985" s="4">
        <v>2976157</v>
      </c>
    </row>
    <row r="11986" spans="1:4" x14ac:dyDescent="0.25">
      <c r="A11986" t="str">
        <f>T("   071331")</f>
        <v xml:space="preserve">   071331</v>
      </c>
      <c r="B11986" t="str">
        <f>T("   HARICOTS DES ESPECES VIGNA MUNGO (L.) HEPPER OU VIGNA RADIATA (L.) WILCZEK")</f>
        <v xml:space="preserve">   HARICOTS DES ESPECES VIGNA MUNGO (L.) HEPPER OU VIGNA RADIATA (L.) WILCZEK</v>
      </c>
      <c r="C11986" s="4">
        <v>3689</v>
      </c>
      <c r="D11986" s="4">
        <v>1306239</v>
      </c>
    </row>
    <row r="11987" spans="1:4" x14ac:dyDescent="0.25">
      <c r="A11987" t="str">
        <f>T("   071339")</f>
        <v xml:space="preserve">   071339</v>
      </c>
      <c r="B11987" t="str">
        <f>T("   AUTRES")</f>
        <v xml:space="preserve">   AUTRES</v>
      </c>
      <c r="C11987" s="4">
        <v>48900</v>
      </c>
      <c r="D11987" s="4">
        <v>3667500</v>
      </c>
    </row>
    <row r="11988" spans="1:4" x14ac:dyDescent="0.25">
      <c r="A11988" t="str">
        <f>T("   071340")</f>
        <v xml:space="preserve">   071340</v>
      </c>
      <c r="B11988" t="str">
        <f>T("   LENTILLES")</f>
        <v xml:space="preserve">   LENTILLES</v>
      </c>
      <c r="C11988" s="4">
        <v>9300</v>
      </c>
      <c r="D11988" s="4">
        <v>6639189</v>
      </c>
    </row>
    <row r="11989" spans="1:4" x14ac:dyDescent="0.25">
      <c r="A11989" t="str">
        <f>T("   071390")</f>
        <v xml:space="preserve">   071390</v>
      </c>
      <c r="B11989" t="str">
        <f>T("   AUTRES")</f>
        <v xml:space="preserve">   AUTRES</v>
      </c>
      <c r="C11989" s="4">
        <v>5862</v>
      </c>
      <c r="D11989" s="4">
        <v>2323522</v>
      </c>
    </row>
    <row r="11990" spans="1:4" x14ac:dyDescent="0.25">
      <c r="A11990" t="str">
        <f>T("   071490")</f>
        <v xml:space="preserve">   071490</v>
      </c>
      <c r="B11990" t="str">
        <f>T("   AUTRES")</f>
        <v xml:space="preserve">   AUTRES</v>
      </c>
      <c r="C11990" s="4">
        <v>146641</v>
      </c>
      <c r="D11990" s="4">
        <v>21794596</v>
      </c>
    </row>
    <row r="11991" spans="1:4" x14ac:dyDescent="0.25">
      <c r="A11991" t="str">
        <f>T("   080111")</f>
        <v xml:space="preserve">   080111</v>
      </c>
      <c r="B11991" t="str">
        <f>T("   DESSECHEES")</f>
        <v xml:space="preserve">   DESSECHEES</v>
      </c>
      <c r="C11991" s="4">
        <v>32150694</v>
      </c>
      <c r="D11991" s="4">
        <v>156437195</v>
      </c>
    </row>
    <row r="11992" spans="1:4" x14ac:dyDescent="0.25">
      <c r="A11992" t="str">
        <f>T("   080119")</f>
        <v xml:space="preserve">   080119</v>
      </c>
      <c r="B11992" t="str">
        <f>T("   AUTRES")</f>
        <v xml:space="preserve">   AUTRES</v>
      </c>
      <c r="C11992" s="4">
        <v>14960</v>
      </c>
      <c r="D11992" s="4">
        <v>998225</v>
      </c>
    </row>
    <row r="11993" spans="1:4" x14ac:dyDescent="0.25">
      <c r="A11993" t="str">
        <f>T("   080212")</f>
        <v xml:space="preserve">   080212</v>
      </c>
      <c r="B11993" t="str">
        <f>T("   SANS COQUES")</f>
        <v xml:space="preserve">   SANS COQUES</v>
      </c>
      <c r="C11993" s="4">
        <v>1128</v>
      </c>
      <c r="D11993" s="4">
        <v>2033409</v>
      </c>
    </row>
    <row r="11994" spans="1:4" x14ac:dyDescent="0.25">
      <c r="A11994" t="str">
        <f>T("   080290")</f>
        <v xml:space="preserve">   080290</v>
      </c>
      <c r="B11994" t="str">
        <f>T("   AUTRES")</f>
        <v xml:space="preserve">   AUTRES</v>
      </c>
      <c r="C11994" s="4">
        <v>10713</v>
      </c>
      <c r="D11994" s="4">
        <v>2545179</v>
      </c>
    </row>
    <row r="11995" spans="1:4" x14ac:dyDescent="0.25">
      <c r="A11995" t="str">
        <f>T("   080300")</f>
        <v xml:space="preserve">   080300</v>
      </c>
      <c r="B11995" t="str">
        <f>T("   Bananes,y compris les plantains,fraiches ou seches")</f>
        <v xml:space="preserve">   Bananes,y compris les plantains,fraiches ou seches</v>
      </c>
      <c r="C11995" s="4">
        <v>841956</v>
      </c>
      <c r="D11995" s="4">
        <v>115444956</v>
      </c>
    </row>
    <row r="11996" spans="1:4" x14ac:dyDescent="0.25">
      <c r="A11996" t="str">
        <f>T("   080410")</f>
        <v xml:space="preserve">   080410</v>
      </c>
      <c r="B11996" t="str">
        <f>T("   DATTES")</f>
        <v xml:space="preserve">   DATTES</v>
      </c>
      <c r="C11996" s="4">
        <v>18938</v>
      </c>
      <c r="D11996" s="4">
        <v>6167163</v>
      </c>
    </row>
    <row r="11997" spans="1:4" x14ac:dyDescent="0.25">
      <c r="A11997" t="str">
        <f>T("   080450")</f>
        <v xml:space="preserve">   080450</v>
      </c>
      <c r="B11997" t="str">
        <f>T("   GOYAVES, MANGUES ET MANGOUSTANS")</f>
        <v xml:space="preserve">   GOYAVES, MANGUES ET MANGOUSTANS</v>
      </c>
      <c r="C11997" s="4">
        <v>2200</v>
      </c>
      <c r="D11997" s="4">
        <v>350049</v>
      </c>
    </row>
    <row r="11998" spans="1:4" x14ac:dyDescent="0.25">
      <c r="A11998" t="str">
        <f>T("   080510")</f>
        <v xml:space="preserve">   080510</v>
      </c>
      <c r="B11998" t="str">
        <f>T("   ORANGES")</f>
        <v xml:space="preserve">   ORANGES</v>
      </c>
      <c r="C11998" s="4">
        <v>8880</v>
      </c>
      <c r="D11998" s="4">
        <v>3940098</v>
      </c>
    </row>
    <row r="11999" spans="1:4" x14ac:dyDescent="0.25">
      <c r="A11999" t="str">
        <f>T("   080540")</f>
        <v xml:space="preserve">   080540</v>
      </c>
      <c r="B11999" t="str">
        <f>T("   PAMPLEMOUSSES ET POMELOS")</f>
        <v xml:space="preserve">   PAMPLEMOUSSES ET POMELOS</v>
      </c>
      <c r="C11999" s="4">
        <v>831</v>
      </c>
      <c r="D11999" s="4">
        <v>539199</v>
      </c>
    </row>
    <row r="12000" spans="1:4" x14ac:dyDescent="0.25">
      <c r="A12000" t="str">
        <f>T("   080550")</f>
        <v xml:space="preserve">   080550</v>
      </c>
      <c r="B12000" t="str">
        <f>T("   CITRONS (CITRUS LIMON, CITRUS LIMONUM) ET LIMES (CITRUS AURANTIFOLIA, CITRUS LATIFOLI")</f>
        <v xml:space="preserve">   CITRONS (CITRUS LIMON, CITRUS LIMONUM) ET LIMES (CITRUS AURANTIFOLIA, CITRUS LATIFOLI</v>
      </c>
      <c r="C12000" s="4">
        <v>17368</v>
      </c>
      <c r="D12000" s="4">
        <v>5115609</v>
      </c>
    </row>
    <row r="12001" spans="1:4" x14ac:dyDescent="0.25">
      <c r="A12001" t="str">
        <f>T("   080590")</f>
        <v xml:space="preserve">   080590</v>
      </c>
      <c r="B12001" t="str">
        <f>T("   AUTRES")</f>
        <v xml:space="preserve">   AUTRES</v>
      </c>
      <c r="C12001" s="4">
        <v>349</v>
      </c>
      <c r="D12001" s="4">
        <v>718276</v>
      </c>
    </row>
    <row r="12002" spans="1:4" x14ac:dyDescent="0.25">
      <c r="A12002" t="str">
        <f>T("   080610")</f>
        <v xml:space="preserve">   080610</v>
      </c>
      <c r="B12002" t="str">
        <f>T("   FRAIS")</f>
        <v xml:space="preserve">   FRAIS</v>
      </c>
      <c r="C12002" s="4">
        <v>383373</v>
      </c>
      <c r="D12002" s="4">
        <v>76099681</v>
      </c>
    </row>
    <row r="12003" spans="1:4" x14ac:dyDescent="0.25">
      <c r="A12003" t="str">
        <f>T("   080620")</f>
        <v xml:space="preserve">   080620</v>
      </c>
      <c r="B12003" t="str">
        <f>T("   SECS")</f>
        <v xml:space="preserve">   SECS</v>
      </c>
      <c r="C12003" s="4">
        <v>507</v>
      </c>
      <c r="D12003" s="4">
        <v>339568</v>
      </c>
    </row>
    <row r="12004" spans="1:4" x14ac:dyDescent="0.25">
      <c r="A12004" t="str">
        <f>T("   080810")</f>
        <v xml:space="preserve">   080810</v>
      </c>
      <c r="B12004" t="str">
        <f>T("   POMMES")</f>
        <v xml:space="preserve">   POMMES</v>
      </c>
      <c r="C12004" s="4">
        <v>5678766.9000000004</v>
      </c>
      <c r="D12004" s="4">
        <v>910441454</v>
      </c>
    </row>
    <row r="12005" spans="1:4" x14ac:dyDescent="0.25">
      <c r="A12005" t="str">
        <f>T("   080820")</f>
        <v xml:space="preserve">   080820</v>
      </c>
      <c r="B12005" t="str">
        <f>T("   Poires et coings,frais")</f>
        <v xml:space="preserve">   Poires et coings,frais</v>
      </c>
      <c r="C12005" s="4">
        <v>287218.17</v>
      </c>
      <c r="D12005" s="4">
        <v>48559517</v>
      </c>
    </row>
    <row r="12006" spans="1:4" x14ac:dyDescent="0.25">
      <c r="A12006" t="str">
        <f>T("   080930")</f>
        <v xml:space="preserve">   080930</v>
      </c>
      <c r="B12006" t="str">
        <f>T("   PECHES, Y COMPRIS LES BRUGNONS ET NECTARINES")</f>
        <v xml:space="preserve">   PECHES, Y COMPRIS LES BRUGNONS ET NECTARINES</v>
      </c>
      <c r="C12006" s="4">
        <v>11544</v>
      </c>
      <c r="D12006" s="4">
        <v>2768338</v>
      </c>
    </row>
    <row r="12007" spans="1:4" x14ac:dyDescent="0.25">
      <c r="A12007" t="str">
        <f>T("   080940")</f>
        <v xml:space="preserve">   080940</v>
      </c>
      <c r="B12007" t="str">
        <f>T("   PRUNES ET PRUNELLES")</f>
        <v xml:space="preserve">   PRUNES ET PRUNELLES</v>
      </c>
      <c r="C12007" s="4">
        <v>33311</v>
      </c>
      <c r="D12007" s="4">
        <v>9205385</v>
      </c>
    </row>
    <row r="12008" spans="1:4" x14ac:dyDescent="0.25">
      <c r="A12008" t="str">
        <f>T("   081010")</f>
        <v xml:space="preserve">   081010</v>
      </c>
      <c r="B12008" t="str">
        <f>T("   FRAISES")</f>
        <v xml:space="preserve">   FRAISES</v>
      </c>
      <c r="C12008" s="4">
        <v>1311</v>
      </c>
      <c r="D12008" s="4">
        <v>1066396</v>
      </c>
    </row>
    <row r="12009" spans="1:4" x14ac:dyDescent="0.25">
      <c r="A12009" t="str">
        <f>T("   081090")</f>
        <v xml:space="preserve">   081090</v>
      </c>
      <c r="B12009" t="str">
        <f>T("   AUTRES")</f>
        <v xml:space="preserve">   AUTRES</v>
      </c>
      <c r="C12009" s="4">
        <v>15789</v>
      </c>
      <c r="D12009" s="4">
        <v>13719808</v>
      </c>
    </row>
    <row r="12010" spans="1:4" x14ac:dyDescent="0.25">
      <c r="A12010" t="str">
        <f>T("   081330")</f>
        <v xml:space="preserve">   081330</v>
      </c>
      <c r="B12010" t="str">
        <f>T("   POMMES")</f>
        <v xml:space="preserve">   POMMES</v>
      </c>
      <c r="C12010" s="4">
        <v>1500</v>
      </c>
      <c r="D12010" s="4">
        <v>51864</v>
      </c>
    </row>
    <row r="12011" spans="1:4" x14ac:dyDescent="0.25">
      <c r="A12011" t="str">
        <f>T("   090111")</f>
        <v xml:space="preserve">   090111</v>
      </c>
      <c r="B12011" t="str">
        <f>T("   NON DECAFEINE")</f>
        <v xml:space="preserve">   NON DECAFEINE</v>
      </c>
      <c r="C12011" s="4">
        <v>119058</v>
      </c>
      <c r="D12011" s="4">
        <v>46960030</v>
      </c>
    </row>
    <row r="12012" spans="1:4" x14ac:dyDescent="0.25">
      <c r="A12012" t="str">
        <f>T("   090112")</f>
        <v xml:space="preserve">   090112</v>
      </c>
      <c r="B12012" t="str">
        <f>T("   DECAFEINE")</f>
        <v xml:space="preserve">   DECAFEINE</v>
      </c>
      <c r="C12012" s="4">
        <v>24276</v>
      </c>
      <c r="D12012" s="4">
        <v>11161616</v>
      </c>
    </row>
    <row r="12013" spans="1:4" x14ac:dyDescent="0.25">
      <c r="A12013" t="str">
        <f>T("   090121")</f>
        <v xml:space="preserve">   090121</v>
      </c>
      <c r="B12013" t="str">
        <f>T("   NON DECAFEINE")</f>
        <v xml:space="preserve">   NON DECAFEINE</v>
      </c>
      <c r="C12013" s="4">
        <v>54452</v>
      </c>
      <c r="D12013" s="4">
        <v>146959607</v>
      </c>
    </row>
    <row r="12014" spans="1:4" x14ac:dyDescent="0.25">
      <c r="A12014" t="str">
        <f>T("   090190")</f>
        <v xml:space="preserve">   090190</v>
      </c>
      <c r="B12014" t="str">
        <f>T("   AUTRES")</f>
        <v xml:space="preserve">   AUTRES</v>
      </c>
      <c r="C12014" s="4">
        <v>166554</v>
      </c>
      <c r="D12014" s="4">
        <v>78657079</v>
      </c>
    </row>
    <row r="12015" spans="1:4" x14ac:dyDescent="0.25">
      <c r="A12015" t="str">
        <f>T("   090210")</f>
        <v xml:space="preserve">   090210</v>
      </c>
      <c r="B12015" t="str">
        <f>T("   THE VERT (NON FERMENTE) PRESENTE EN EMBALLAGES IMMEDIATS D'UN CONTENU N'EXCEDANT PAS")</f>
        <v xml:space="preserve">   THE VERT (NON FERMENTE) PRESENTE EN EMBALLAGES IMMEDIATS D'UN CONTENU N'EXCEDANT PAS</v>
      </c>
      <c r="C12015" s="4">
        <v>50363</v>
      </c>
      <c r="D12015" s="4">
        <v>30544649</v>
      </c>
    </row>
    <row r="12016" spans="1:4" x14ac:dyDescent="0.25">
      <c r="A12016" t="str">
        <f>T("   090220")</f>
        <v xml:space="preserve">   090220</v>
      </c>
      <c r="B12016" t="str">
        <f>T("   THE VERT (NON FERMENTE) PRESENTE AUTREMENT")</f>
        <v xml:space="preserve">   THE VERT (NON FERMENTE) PRESENTE AUTREMENT</v>
      </c>
      <c r="C12016" s="4">
        <v>112340.5</v>
      </c>
      <c r="D12016" s="4">
        <v>48906080</v>
      </c>
    </row>
    <row r="12017" spans="1:4" x14ac:dyDescent="0.25">
      <c r="A12017" t="str">
        <f>T("   090230")</f>
        <v xml:space="preserve">   090230</v>
      </c>
      <c r="B12017" t="str">
        <f>T("   THE NOIR (FERMENTE) ET THE PARTIELLEMENT FERMENTE, PRESENTES EN EMBALLAGES IMMEDIATS")</f>
        <v xml:space="preserve">   THE NOIR (FERMENTE) ET THE PARTIELLEMENT FERMENTE, PRESENTES EN EMBALLAGES IMMEDIATS</v>
      </c>
      <c r="C12017" s="4">
        <v>61672</v>
      </c>
      <c r="D12017" s="4">
        <v>53802197</v>
      </c>
    </row>
    <row r="12018" spans="1:4" x14ac:dyDescent="0.25">
      <c r="A12018" t="str">
        <f>T("   090240")</f>
        <v xml:space="preserve">   090240</v>
      </c>
      <c r="B12018" t="str">
        <f>T("   THE NOIR (FERMENTE) ET THE PARTIELLEMENT FERMENTE, PRESENTES AUTREMENT")</f>
        <v xml:space="preserve">   THE NOIR (FERMENTE) ET THE PARTIELLEMENT FERMENTE, PRESENTES AUTREMENT</v>
      </c>
      <c r="C12018" s="4">
        <v>67488.5</v>
      </c>
      <c r="D12018" s="4">
        <v>39110684</v>
      </c>
    </row>
    <row r="12019" spans="1:4" x14ac:dyDescent="0.25">
      <c r="A12019" t="str">
        <f>T("   090411")</f>
        <v xml:space="preserve">   090411</v>
      </c>
      <c r="B12019" t="str">
        <f>T("   NON BROYE NI PULVERISE")</f>
        <v xml:space="preserve">   NON BROYE NI PULVERISE</v>
      </c>
      <c r="C12019" s="4">
        <v>2450</v>
      </c>
      <c r="D12019" s="4">
        <v>247722</v>
      </c>
    </row>
    <row r="12020" spans="1:4" x14ac:dyDescent="0.25">
      <c r="A12020" t="str">
        <f>T("   090412")</f>
        <v xml:space="preserve">   090412</v>
      </c>
      <c r="B12020" t="str">
        <f>T("   BROYE OU PULVERISE")</f>
        <v xml:space="preserve">   BROYE OU PULVERISE</v>
      </c>
      <c r="C12020" s="4">
        <v>180</v>
      </c>
      <c r="D12020" s="4">
        <v>367448</v>
      </c>
    </row>
    <row r="12021" spans="1:4" x14ac:dyDescent="0.25">
      <c r="A12021" t="str">
        <f>T("   090420")</f>
        <v xml:space="preserve">   090420</v>
      </c>
      <c r="B12021" t="str">
        <f>T("   PIMENTS SECHES OU BROYES OU PULVERISES")</f>
        <v xml:space="preserve">   PIMENTS SECHES OU BROYES OU PULVERISES</v>
      </c>
      <c r="C12021" s="4">
        <v>4921</v>
      </c>
      <c r="D12021" s="4">
        <v>1969215</v>
      </c>
    </row>
    <row r="12022" spans="1:4" x14ac:dyDescent="0.25">
      <c r="A12022" t="str">
        <f>T("   090500")</f>
        <v xml:space="preserve">   090500</v>
      </c>
      <c r="B12022" t="str">
        <f>T("   Vanille")</f>
        <v xml:space="preserve">   Vanille</v>
      </c>
      <c r="C12022" s="4">
        <v>3085</v>
      </c>
      <c r="D12022" s="4">
        <v>1831441</v>
      </c>
    </row>
    <row r="12023" spans="1:4" x14ac:dyDescent="0.25">
      <c r="A12023" t="str">
        <f>T("   090910")</f>
        <v xml:space="preserve">   090910</v>
      </c>
      <c r="B12023" t="str">
        <f>T("   Graines d'anis ou de badiane")</f>
        <v xml:space="preserve">   Graines d'anis ou de badiane</v>
      </c>
      <c r="C12023" s="4">
        <v>25</v>
      </c>
      <c r="D12023" s="4">
        <v>184325</v>
      </c>
    </row>
    <row r="12024" spans="1:4" x14ac:dyDescent="0.25">
      <c r="A12024" t="str">
        <f>T("   091010")</f>
        <v xml:space="preserve">   091010</v>
      </c>
      <c r="B12024" t="str">
        <f>T("   Gingembre")</f>
        <v xml:space="preserve">   Gingembre</v>
      </c>
      <c r="C12024" s="4">
        <v>180260</v>
      </c>
      <c r="D12024" s="4">
        <v>16232000</v>
      </c>
    </row>
    <row r="12025" spans="1:4" x14ac:dyDescent="0.25">
      <c r="A12025" t="str">
        <f>T("   091091")</f>
        <v xml:space="preserve">   091091</v>
      </c>
      <c r="B12025" t="str">
        <f>T("   MELANGES VISES A LA NOTE 1 B) DU PRESENT CHAPITRE")</f>
        <v xml:space="preserve">   MELANGES VISES A LA NOTE 1 B) DU PRESENT CHAPITRE</v>
      </c>
      <c r="C12025" s="4">
        <v>7338</v>
      </c>
      <c r="D12025" s="4">
        <v>5928887</v>
      </c>
    </row>
    <row r="12026" spans="1:4" x14ac:dyDescent="0.25">
      <c r="A12026" t="str">
        <f>T("   091099")</f>
        <v xml:space="preserve">   091099</v>
      </c>
      <c r="B12026" t="str">
        <f>T("   AUTRES")</f>
        <v xml:space="preserve">   AUTRES</v>
      </c>
      <c r="C12026" s="4">
        <v>76713</v>
      </c>
      <c r="D12026" s="4">
        <v>27010746</v>
      </c>
    </row>
    <row r="12027" spans="1:4" x14ac:dyDescent="0.25">
      <c r="A12027" t="str">
        <f>T("   100190")</f>
        <v xml:space="preserve">   100190</v>
      </c>
      <c r="B12027" t="str">
        <f>T("   AUTRES FROMENT (BLE) ET METEIL")</f>
        <v xml:space="preserve">   AUTRES FROMENT (BLE) ET METEIL</v>
      </c>
      <c r="C12027" s="4">
        <v>1310616</v>
      </c>
      <c r="D12027" s="4">
        <v>158559972</v>
      </c>
    </row>
    <row r="12028" spans="1:4" x14ac:dyDescent="0.25">
      <c r="A12028" t="str">
        <f>T("   100510")</f>
        <v xml:space="preserve">   100510</v>
      </c>
      <c r="B12028" t="str">
        <f>T("   DE SEMENCE")</f>
        <v xml:space="preserve">   DE SEMENCE</v>
      </c>
      <c r="C12028" s="4">
        <v>22</v>
      </c>
      <c r="D12028" s="4">
        <v>14700</v>
      </c>
    </row>
    <row r="12029" spans="1:4" x14ac:dyDescent="0.25">
      <c r="A12029" t="str">
        <f>T("   100590")</f>
        <v xml:space="preserve">   100590</v>
      </c>
      <c r="B12029" t="str">
        <f>T("   AUTRE")</f>
        <v xml:space="preserve">   AUTRE</v>
      </c>
      <c r="C12029" s="4">
        <v>1272531</v>
      </c>
      <c r="D12029" s="4">
        <v>438177789</v>
      </c>
    </row>
    <row r="12030" spans="1:4" x14ac:dyDescent="0.25">
      <c r="A12030" t="str">
        <f>T("   100610")</f>
        <v xml:space="preserve">   100610</v>
      </c>
      <c r="B12030" t="str">
        <f>T("   RIZ EN PAILLE (RIZ PADDY)")</f>
        <v xml:space="preserve">   RIZ EN PAILLE (RIZ PADDY)</v>
      </c>
      <c r="C12030" s="4">
        <v>3277913</v>
      </c>
      <c r="D12030" s="4">
        <v>448251794</v>
      </c>
    </row>
    <row r="12031" spans="1:4" x14ac:dyDescent="0.25">
      <c r="A12031" t="str">
        <f>T("   100620")</f>
        <v xml:space="preserve">   100620</v>
      </c>
      <c r="B12031" t="str">
        <f>T("   RIZ DECORTIQUE (RIZ CARGO OU RIZ BRUN)")</f>
        <v xml:space="preserve">   RIZ DECORTIQUE (RIZ CARGO OU RIZ BRUN)</v>
      </c>
      <c r="C12031" s="4">
        <v>69889385</v>
      </c>
      <c r="D12031" s="4">
        <v>23146449915.897999</v>
      </c>
    </row>
    <row r="12032" spans="1:4" x14ac:dyDescent="0.25">
      <c r="A12032" t="str">
        <f>T("   100630")</f>
        <v xml:space="preserve">   100630</v>
      </c>
      <c r="B12032" t="str">
        <f>T("   RIZ SEMIBLANCHI OU BLANCHI, MEME POLI OU GLACE")</f>
        <v xml:space="preserve">   RIZ SEMIBLANCHI OU BLANCHI, MEME POLI OU GLACE</v>
      </c>
      <c r="C12032" s="4">
        <v>98217008</v>
      </c>
      <c r="D12032" s="4">
        <v>19972782705</v>
      </c>
    </row>
    <row r="12033" spans="1:4" x14ac:dyDescent="0.25">
      <c r="A12033" t="str">
        <f>T("   100640")</f>
        <v xml:space="preserve">   100640</v>
      </c>
      <c r="B12033" t="str">
        <f>T("   RIZ EN BRISURES")</f>
        <v xml:space="preserve">   RIZ EN BRISURES</v>
      </c>
      <c r="C12033" s="4">
        <v>1226717568.5</v>
      </c>
      <c r="D12033" s="4">
        <v>460431605895.95898</v>
      </c>
    </row>
    <row r="12034" spans="1:4" x14ac:dyDescent="0.25">
      <c r="A12034" t="str">
        <f>T("   100890")</f>
        <v xml:space="preserve">   100890</v>
      </c>
      <c r="B12034" t="str">
        <f>T("   Autres cereales")</f>
        <v xml:space="preserve">   Autres cereales</v>
      </c>
      <c r="C12034" s="4">
        <v>107987</v>
      </c>
      <c r="D12034" s="4">
        <v>20380475</v>
      </c>
    </row>
    <row r="12035" spans="1:4" x14ac:dyDescent="0.25">
      <c r="A12035" t="str">
        <f>T("   110100")</f>
        <v xml:space="preserve">   110100</v>
      </c>
      <c r="B12035" t="str">
        <f>T("   FARINES DE FROMENT (BLE) OU DE METEIL.")</f>
        <v xml:space="preserve">   FARINES DE FROMENT (BLE) OU DE METEIL.</v>
      </c>
      <c r="C12035" s="4">
        <v>76286918.5</v>
      </c>
      <c r="D12035" s="4">
        <v>20488381574.028</v>
      </c>
    </row>
    <row r="12036" spans="1:4" x14ac:dyDescent="0.25">
      <c r="A12036" t="str">
        <f>T("   110220")</f>
        <v xml:space="preserve">   110220</v>
      </c>
      <c r="B12036" t="str">
        <f>T("   Farine de mais")</f>
        <v xml:space="preserve">   Farine de mais</v>
      </c>
      <c r="C12036" s="4">
        <v>44120</v>
      </c>
      <c r="D12036" s="4">
        <v>2171485</v>
      </c>
    </row>
    <row r="12037" spans="1:4" x14ac:dyDescent="0.25">
      <c r="A12037" t="str">
        <f>T("   110290")</f>
        <v xml:space="preserve">   110290</v>
      </c>
      <c r="B12037" t="str">
        <f>T("   AUTRES")</f>
        <v xml:space="preserve">   AUTRES</v>
      </c>
      <c r="C12037" s="4">
        <v>989284</v>
      </c>
      <c r="D12037" s="4">
        <v>50854317</v>
      </c>
    </row>
    <row r="12038" spans="1:4" x14ac:dyDescent="0.25">
      <c r="A12038" t="str">
        <f>T("   110311")</f>
        <v xml:space="preserve">   110311</v>
      </c>
      <c r="B12038" t="str">
        <f>T("   DE FROMENT (BLE)")</f>
        <v xml:space="preserve">   DE FROMENT (BLE)</v>
      </c>
      <c r="C12038" s="4">
        <v>16880102</v>
      </c>
      <c r="D12038" s="4">
        <v>3856545321</v>
      </c>
    </row>
    <row r="12039" spans="1:4" x14ac:dyDescent="0.25">
      <c r="A12039" t="str">
        <f>T("   110313")</f>
        <v xml:space="preserve">   110313</v>
      </c>
      <c r="B12039" t="str">
        <f>T("   DE MAIS")</f>
        <v xml:space="preserve">   DE MAIS</v>
      </c>
      <c r="C12039" s="4">
        <v>22884</v>
      </c>
      <c r="D12039" s="4">
        <v>6508300</v>
      </c>
    </row>
    <row r="12040" spans="1:4" x14ac:dyDescent="0.25">
      <c r="A12040" t="str">
        <f>T("   110412")</f>
        <v xml:space="preserve">   110412</v>
      </c>
      <c r="B12040" t="str">
        <f>T("   D'AVOINE")</f>
        <v xml:space="preserve">   D'AVOINE</v>
      </c>
      <c r="C12040" s="4">
        <v>16980</v>
      </c>
      <c r="D12040" s="4">
        <v>7829538</v>
      </c>
    </row>
    <row r="12041" spans="1:4" x14ac:dyDescent="0.25">
      <c r="A12041" t="str">
        <f>T("   110419")</f>
        <v xml:space="preserve">   110419</v>
      </c>
      <c r="B12041" t="str">
        <f>T("   D'AUTRES CEREALES")</f>
        <v xml:space="preserve">   D'AUTRES CEREALES</v>
      </c>
      <c r="C12041" s="4">
        <v>722310</v>
      </c>
      <c r="D12041" s="4">
        <v>6850000</v>
      </c>
    </row>
    <row r="12042" spans="1:4" x14ac:dyDescent="0.25">
      <c r="A12042" t="str">
        <f>T("   110423")</f>
        <v xml:space="preserve">   110423</v>
      </c>
      <c r="B12042" t="str">
        <f>T("   DE MAIS")</f>
        <v xml:space="preserve">   DE MAIS</v>
      </c>
      <c r="C12042" s="4">
        <v>16360</v>
      </c>
      <c r="D12042" s="4">
        <v>1357933</v>
      </c>
    </row>
    <row r="12043" spans="1:4" x14ac:dyDescent="0.25">
      <c r="A12043" t="str">
        <f>T("   110510")</f>
        <v xml:space="preserve">   110510</v>
      </c>
      <c r="B12043" t="str">
        <f>T("   FARINE, SEMOULE ET POUDRE")</f>
        <v xml:space="preserve">   FARINE, SEMOULE ET POUDRE</v>
      </c>
      <c r="C12043" s="4">
        <v>50</v>
      </c>
      <c r="D12043" s="4">
        <v>39358</v>
      </c>
    </row>
    <row r="12044" spans="1:4" x14ac:dyDescent="0.25">
      <c r="A12044" t="str">
        <f>T("   110620")</f>
        <v xml:space="preserve">   110620</v>
      </c>
      <c r="B12044" t="str">
        <f>T("   DE SAGOU OU DES RACINES OU TUBERCULES DU N° 07.14")</f>
        <v xml:space="preserve">   DE SAGOU OU DES RACINES OU TUBERCULES DU N° 07.14</v>
      </c>
      <c r="C12044" s="4">
        <v>144390</v>
      </c>
      <c r="D12044" s="4">
        <v>2378693</v>
      </c>
    </row>
    <row r="12045" spans="1:4" x14ac:dyDescent="0.25">
      <c r="A12045" t="str">
        <f>T("   110710")</f>
        <v xml:space="preserve">   110710</v>
      </c>
      <c r="B12045" t="str">
        <f>T("   NON TORREFIE")</f>
        <v xml:space="preserve">   NON TORREFIE</v>
      </c>
      <c r="C12045" s="4">
        <v>11424642</v>
      </c>
      <c r="D12045" s="4">
        <v>4478951805</v>
      </c>
    </row>
    <row r="12046" spans="1:4" x14ac:dyDescent="0.25">
      <c r="A12046" t="str">
        <f>T("   110720")</f>
        <v xml:space="preserve">   110720</v>
      </c>
      <c r="B12046" t="str">
        <f>T("   TORREFIE")</f>
        <v xml:space="preserve">   TORREFIE</v>
      </c>
      <c r="C12046" s="4">
        <v>11088</v>
      </c>
      <c r="D12046" s="4">
        <v>9575796</v>
      </c>
    </row>
    <row r="12047" spans="1:4" x14ac:dyDescent="0.25">
      <c r="A12047" t="str">
        <f>T("   110812")</f>
        <v xml:space="preserve">   110812</v>
      </c>
      <c r="B12047" t="str">
        <f>T("   Amidon de mais")</f>
        <v xml:space="preserve">   Amidon de mais</v>
      </c>
      <c r="C12047" s="4">
        <v>9523</v>
      </c>
      <c r="D12047" s="4">
        <v>6305088</v>
      </c>
    </row>
    <row r="12048" spans="1:4" x14ac:dyDescent="0.25">
      <c r="A12048" t="str">
        <f>T("   110819")</f>
        <v xml:space="preserve">   110819</v>
      </c>
      <c r="B12048" t="str">
        <f>T("   Autres amidons et fecules")</f>
        <v xml:space="preserve">   Autres amidons et fecules</v>
      </c>
      <c r="C12048" s="4">
        <v>852</v>
      </c>
      <c r="D12048" s="4">
        <v>139411</v>
      </c>
    </row>
    <row r="12049" spans="1:4" x14ac:dyDescent="0.25">
      <c r="A12049" t="str">
        <f>T("   120100")</f>
        <v xml:space="preserve">   120100</v>
      </c>
      <c r="B12049" t="str">
        <f>T("   Feves de soja,meme concassees")</f>
        <v xml:space="preserve">   Feves de soja,meme concassees</v>
      </c>
      <c r="C12049" s="4">
        <v>7189</v>
      </c>
      <c r="D12049" s="4">
        <v>4792863</v>
      </c>
    </row>
    <row r="12050" spans="1:4" x14ac:dyDescent="0.25">
      <c r="A12050" t="str">
        <f>T("   120600")</f>
        <v xml:space="preserve">   120600</v>
      </c>
      <c r="B12050" t="str">
        <f>T("   GRAINES DE TOURNESOL, MEME CONCASSEES.")</f>
        <v xml:space="preserve">   GRAINES DE TOURNESOL, MEME CONCASSEES.</v>
      </c>
      <c r="C12050" s="4">
        <v>25800</v>
      </c>
      <c r="D12050" s="4">
        <v>286482</v>
      </c>
    </row>
    <row r="12051" spans="1:4" x14ac:dyDescent="0.25">
      <c r="A12051" t="str">
        <f>T("   120720")</f>
        <v xml:space="preserve">   120720</v>
      </c>
      <c r="B12051" t="str">
        <f>T("   GRAINES DE COTON,MEME CONCASSEES")</f>
        <v xml:space="preserve">   GRAINES DE COTON,MEME CONCASSEES</v>
      </c>
      <c r="C12051" s="4">
        <v>9399163</v>
      </c>
      <c r="D12051" s="4">
        <v>111388790</v>
      </c>
    </row>
    <row r="12052" spans="1:4" x14ac:dyDescent="0.25">
      <c r="A12052" t="str">
        <f>T("   120740")</f>
        <v xml:space="preserve">   120740</v>
      </c>
      <c r="B12052" t="str">
        <f>T("   GRAINES DE SESAME")</f>
        <v xml:space="preserve">   GRAINES DE SESAME</v>
      </c>
      <c r="C12052" s="4">
        <v>1000</v>
      </c>
      <c r="D12052" s="4">
        <v>75000</v>
      </c>
    </row>
    <row r="12053" spans="1:4" x14ac:dyDescent="0.25">
      <c r="A12053" t="str">
        <f>T("   120799")</f>
        <v xml:space="preserve">   120799</v>
      </c>
      <c r="B12053" t="str">
        <f>T("   AUTRES")</f>
        <v xml:space="preserve">   AUTRES</v>
      </c>
      <c r="C12053" s="4">
        <v>100000</v>
      </c>
      <c r="D12053" s="4">
        <v>1200000</v>
      </c>
    </row>
    <row r="12054" spans="1:4" x14ac:dyDescent="0.25">
      <c r="A12054" t="str">
        <f>T("   120810")</f>
        <v xml:space="preserve">   120810</v>
      </c>
      <c r="B12054" t="str">
        <f>T("   DE FEVES DE SOJA")</f>
        <v xml:space="preserve">   DE FEVES DE SOJA</v>
      </c>
      <c r="C12054" s="4">
        <v>400</v>
      </c>
      <c r="D12054" s="4">
        <v>236501</v>
      </c>
    </row>
    <row r="12055" spans="1:4" x14ac:dyDescent="0.25">
      <c r="A12055" t="str">
        <f>T("   120890")</f>
        <v xml:space="preserve">   120890</v>
      </c>
      <c r="B12055" t="str">
        <f>T("   AUTRES")</f>
        <v xml:space="preserve">   AUTRES</v>
      </c>
      <c r="C12055" s="4">
        <v>50000</v>
      </c>
      <c r="D12055" s="4">
        <v>600000</v>
      </c>
    </row>
    <row r="12056" spans="1:4" x14ac:dyDescent="0.25">
      <c r="A12056" t="str">
        <f>T("   120910")</f>
        <v xml:space="preserve">   120910</v>
      </c>
      <c r="B12056" t="str">
        <f>T("   GRAINES DE BETTERAVES A SUCRE")</f>
        <v xml:space="preserve">   GRAINES DE BETTERAVES A SUCRE</v>
      </c>
      <c r="C12056" s="4">
        <v>0.9</v>
      </c>
      <c r="D12056" s="4">
        <v>228805</v>
      </c>
    </row>
    <row r="12057" spans="1:4" x14ac:dyDescent="0.25">
      <c r="A12057" t="str">
        <f>T("   120999")</f>
        <v xml:space="preserve">   120999</v>
      </c>
      <c r="B12057" t="str">
        <f>T("   AUTRES")</f>
        <v xml:space="preserve">   AUTRES</v>
      </c>
      <c r="C12057" s="4">
        <v>2613</v>
      </c>
      <c r="D12057" s="4">
        <v>67865784</v>
      </c>
    </row>
    <row r="12058" spans="1:4" x14ac:dyDescent="0.25">
      <c r="A12058" t="str">
        <f>T("   121190")</f>
        <v xml:space="preserve">   121190</v>
      </c>
      <c r="B12058" t="str">
        <f>T("   AUTRES")</f>
        <v xml:space="preserve">   AUTRES</v>
      </c>
      <c r="C12058" s="4">
        <v>147519</v>
      </c>
      <c r="D12058" s="4">
        <v>15181347</v>
      </c>
    </row>
    <row r="12059" spans="1:4" x14ac:dyDescent="0.25">
      <c r="A12059" t="str">
        <f>T("   121490")</f>
        <v xml:space="preserve">   121490</v>
      </c>
      <c r="B12059" t="str">
        <f>T("   AUTRES")</f>
        <v xml:space="preserve">   AUTRES</v>
      </c>
      <c r="C12059" s="4">
        <v>49</v>
      </c>
      <c r="D12059" s="4">
        <v>956390</v>
      </c>
    </row>
    <row r="12060" spans="1:4" x14ac:dyDescent="0.25">
      <c r="A12060" t="str">
        <f>T("   130213")</f>
        <v xml:space="preserve">   130213</v>
      </c>
      <c r="B12060" t="str">
        <f>T("   DE HOUBLON")</f>
        <v xml:space="preserve">   DE HOUBLON</v>
      </c>
      <c r="C12060" s="4">
        <v>14308</v>
      </c>
      <c r="D12060" s="4">
        <v>278448580</v>
      </c>
    </row>
    <row r="12061" spans="1:4" x14ac:dyDescent="0.25">
      <c r="A12061" t="str">
        <f>T("   130219")</f>
        <v xml:space="preserve">   130219</v>
      </c>
      <c r="B12061" t="str">
        <f>T("   AUTRES")</f>
        <v xml:space="preserve">   AUTRES</v>
      </c>
      <c r="C12061" s="4">
        <v>5100</v>
      </c>
      <c r="D12061" s="4">
        <v>4480864</v>
      </c>
    </row>
    <row r="12062" spans="1:4" x14ac:dyDescent="0.25">
      <c r="A12062" t="str">
        <f>T("   130239")</f>
        <v xml:space="preserve">   130239</v>
      </c>
      <c r="B12062" t="str">
        <f>T("   AUTRES")</f>
        <v xml:space="preserve">   AUTRES</v>
      </c>
      <c r="C12062" s="4">
        <v>57590</v>
      </c>
      <c r="D12062" s="4">
        <v>35419434</v>
      </c>
    </row>
    <row r="12063" spans="1:4" x14ac:dyDescent="0.25">
      <c r="A12063" t="str">
        <f>T("   150300")</f>
        <v xml:space="preserve">   150300</v>
      </c>
      <c r="B12063" t="str">
        <f>T("   STEARINE SOLAIRE, HUILE DE SAINDOUX, OLEOSTEARINE, OLEOMARGARINE ET HUILE DE SUIF, NO")</f>
        <v xml:space="preserve">   STEARINE SOLAIRE, HUILE DE SAINDOUX, OLEOSTEARINE, OLEOMARGARINE ET HUILE DE SUIF, NO</v>
      </c>
      <c r="C12063" s="4">
        <v>90</v>
      </c>
      <c r="D12063" s="4">
        <v>714943</v>
      </c>
    </row>
    <row r="12064" spans="1:4" x14ac:dyDescent="0.25">
      <c r="A12064" t="str">
        <f>T("   150410")</f>
        <v xml:space="preserve">   150410</v>
      </c>
      <c r="B12064" t="str">
        <f>T("   HUILES DE FOIES DE POISSONS ET LEURS FRACTIONS")</f>
        <v xml:space="preserve">   HUILES DE FOIES DE POISSONS ET LEURS FRACTIONS</v>
      </c>
      <c r="C12064" s="4">
        <v>271</v>
      </c>
      <c r="D12064" s="4">
        <v>2213865</v>
      </c>
    </row>
    <row r="12065" spans="1:4" x14ac:dyDescent="0.25">
      <c r="A12065" t="str">
        <f>T("   150500")</f>
        <v xml:space="preserve">   150500</v>
      </c>
      <c r="B12065" t="str">
        <f>T("   GRAISSE DE SUINT ET SUBSTANCES GRASSES DERIVEES, Y COMPRIS LA LANOLINE.")</f>
        <v xml:space="preserve">   GRAISSE DE SUINT ET SUBSTANCES GRASSES DERIVEES, Y COMPRIS LA LANOLINE.</v>
      </c>
      <c r="C12065" s="4">
        <v>65</v>
      </c>
      <c r="D12065" s="4">
        <v>86599</v>
      </c>
    </row>
    <row r="12066" spans="1:4" x14ac:dyDescent="0.25">
      <c r="A12066" t="str">
        <f>T("   150600")</f>
        <v xml:space="preserve">   150600</v>
      </c>
      <c r="B12066" t="str">
        <f>T("   AUTRES GRAISSES ET HUILES ANIMALES ET LEURS FRACTIONS, MEME RAFFINEES, MAIS NON CHIMIQU")</f>
        <v xml:space="preserve">   AUTRES GRAISSES ET HUILES ANIMALES ET LEURS FRACTIONS, MEME RAFFINEES, MAIS NON CHIMIQU</v>
      </c>
      <c r="C12066" s="4">
        <v>1830</v>
      </c>
      <c r="D12066" s="4">
        <v>500000</v>
      </c>
    </row>
    <row r="12067" spans="1:4" x14ac:dyDescent="0.25">
      <c r="A12067" t="str">
        <f>T("   150790")</f>
        <v xml:space="preserve">   150790</v>
      </c>
      <c r="B12067" t="str">
        <f>T("   AUTRES")</f>
        <v xml:space="preserve">   AUTRES</v>
      </c>
      <c r="C12067" s="4">
        <v>24380</v>
      </c>
      <c r="D12067" s="4">
        <v>6095000</v>
      </c>
    </row>
    <row r="12068" spans="1:4" x14ac:dyDescent="0.25">
      <c r="A12068" t="str">
        <f>T("   150890")</f>
        <v xml:space="preserve">   150890</v>
      </c>
      <c r="B12068" t="str">
        <f>T("   AUTRES")</f>
        <v xml:space="preserve">   AUTRES</v>
      </c>
      <c r="C12068" s="4">
        <v>2105905</v>
      </c>
      <c r="D12068" s="4">
        <v>526476250</v>
      </c>
    </row>
    <row r="12069" spans="1:4" x14ac:dyDescent="0.25">
      <c r="A12069" t="str">
        <f>T("   150910")</f>
        <v xml:space="preserve">   150910</v>
      </c>
      <c r="B12069" t="str">
        <f>T("   VIERGES")</f>
        <v xml:space="preserve">   VIERGES</v>
      </c>
      <c r="C12069" s="4">
        <v>7197.4</v>
      </c>
      <c r="D12069" s="4">
        <v>3154821</v>
      </c>
    </row>
    <row r="12070" spans="1:4" x14ac:dyDescent="0.25">
      <c r="A12070" t="str">
        <f>T("   150990")</f>
        <v xml:space="preserve">   150990</v>
      </c>
      <c r="B12070" t="str">
        <f>T("   AUTRES")</f>
        <v xml:space="preserve">   AUTRES</v>
      </c>
      <c r="C12070" s="4">
        <v>197401</v>
      </c>
      <c r="D12070" s="4">
        <v>67903010</v>
      </c>
    </row>
    <row r="12071" spans="1:4" x14ac:dyDescent="0.25">
      <c r="A12071" t="str">
        <f>T("   151000")</f>
        <v xml:space="preserve">   151000</v>
      </c>
      <c r="B12071" t="str">
        <f>T("   AUTRES HUILES ET LEURS FRACTIONS, OBTENUES EXCLUSIVEMENT A PARTIR D'OLIVES, MEME RAFFIN")</f>
        <v xml:space="preserve">   AUTRES HUILES ET LEURS FRACTIONS, OBTENUES EXCLUSIVEMENT A PARTIR D'OLIVES, MEME RAFFIN</v>
      </c>
      <c r="C12071" s="4">
        <v>11271</v>
      </c>
      <c r="D12071" s="4">
        <v>2839766</v>
      </c>
    </row>
    <row r="12072" spans="1:4" x14ac:dyDescent="0.25">
      <c r="A12072" t="str">
        <f>T("   151110")</f>
        <v xml:space="preserve">   151110</v>
      </c>
      <c r="B12072" t="str">
        <f>T("   HUILE BRUTE")</f>
        <v xml:space="preserve">   HUILE BRUTE</v>
      </c>
      <c r="C12072" s="4">
        <v>1439223</v>
      </c>
      <c r="D12072" s="4">
        <v>359805750</v>
      </c>
    </row>
    <row r="12073" spans="1:4" x14ac:dyDescent="0.25">
      <c r="A12073" t="str">
        <f>T("   151190")</f>
        <v xml:space="preserve">   151190</v>
      </c>
      <c r="B12073" t="str">
        <f>T("   AUTRES")</f>
        <v xml:space="preserve">   AUTRES</v>
      </c>
      <c r="C12073" s="4">
        <v>60679170</v>
      </c>
      <c r="D12073" s="4">
        <v>23877025115.341999</v>
      </c>
    </row>
    <row r="12074" spans="1:4" x14ac:dyDescent="0.25">
      <c r="A12074" t="str">
        <f>T("   151221")</f>
        <v xml:space="preserve">   151221</v>
      </c>
      <c r="B12074" t="str">
        <f>T("   HUILE BRUTE, MEME DEPOURVUE DE GOSSYPOL")</f>
        <v xml:space="preserve">   HUILE BRUTE, MEME DEPOURVUE DE GOSSYPOL</v>
      </c>
      <c r="C12074" s="4">
        <v>231</v>
      </c>
      <c r="D12074" s="4">
        <v>94458</v>
      </c>
    </row>
    <row r="12075" spans="1:4" x14ac:dyDescent="0.25">
      <c r="A12075" t="str">
        <f>T("   151229")</f>
        <v xml:space="preserve">   151229</v>
      </c>
      <c r="B12075" t="str">
        <f>T("   AUTRES")</f>
        <v xml:space="preserve">   AUTRES</v>
      </c>
      <c r="C12075" s="4">
        <v>1752153</v>
      </c>
      <c r="D12075" s="4">
        <v>444007366</v>
      </c>
    </row>
    <row r="12076" spans="1:4" x14ac:dyDescent="0.25">
      <c r="A12076" t="str">
        <f>T("   151419")</f>
        <v xml:space="preserve">   151419</v>
      </c>
      <c r="B12076" t="str">
        <f>T("   AUTRES")</f>
        <v xml:space="preserve">   AUTRES</v>
      </c>
      <c r="C12076" s="4">
        <v>1300</v>
      </c>
      <c r="D12076" s="4">
        <v>325000</v>
      </c>
    </row>
    <row r="12077" spans="1:4" x14ac:dyDescent="0.25">
      <c r="A12077" t="str">
        <f>T("   151529")</f>
        <v xml:space="preserve">   151529</v>
      </c>
      <c r="B12077" t="str">
        <f>T("   AUTRES")</f>
        <v xml:space="preserve">   AUTRES</v>
      </c>
      <c r="C12077" s="4">
        <v>600</v>
      </c>
      <c r="D12077" s="4">
        <v>150000</v>
      </c>
    </row>
    <row r="12078" spans="1:4" x14ac:dyDescent="0.25">
      <c r="A12078" t="str">
        <f>T("   151550")</f>
        <v xml:space="preserve">   151550</v>
      </c>
      <c r="B12078" t="str">
        <f>T("   HUILE DE SESAME ET SES FRACTIONS")</f>
        <v xml:space="preserve">   HUILE DE SESAME ET SES FRACTIONS</v>
      </c>
      <c r="C12078" s="4">
        <v>114</v>
      </c>
      <c r="D12078" s="4">
        <v>28500</v>
      </c>
    </row>
    <row r="12079" spans="1:4" x14ac:dyDescent="0.25">
      <c r="A12079" t="str">
        <f>T("   151590")</f>
        <v xml:space="preserve">   151590</v>
      </c>
      <c r="B12079" t="str">
        <f>T("   AUTRES")</f>
        <v xml:space="preserve">   AUTRES</v>
      </c>
      <c r="C12079" s="4">
        <v>587947</v>
      </c>
      <c r="D12079" s="4">
        <v>146986750</v>
      </c>
    </row>
    <row r="12080" spans="1:4" x14ac:dyDescent="0.25">
      <c r="A12080" t="str">
        <f>T("   151610")</f>
        <v xml:space="preserve">   151610</v>
      </c>
      <c r="B12080" t="str">
        <f>T("   GRAISSES ET HUILES ANIMALES ET LEURS FRACTIONS")</f>
        <v xml:space="preserve">   GRAISSES ET HUILES ANIMALES ET LEURS FRACTIONS</v>
      </c>
      <c r="C12080" s="4">
        <v>254360</v>
      </c>
      <c r="D12080" s="4">
        <v>66000000</v>
      </c>
    </row>
    <row r="12081" spans="1:4" x14ac:dyDescent="0.25">
      <c r="A12081" t="str">
        <f>T("   151620")</f>
        <v xml:space="preserve">   151620</v>
      </c>
      <c r="B12081" t="str">
        <f>T("   GRAISSES ET HUILES VEGETALES ET LEURS FRACTIONS")</f>
        <v xml:space="preserve">   GRAISSES ET HUILES VEGETALES ET LEURS FRACTIONS</v>
      </c>
      <c r="C12081" s="4">
        <v>72528349</v>
      </c>
      <c r="D12081" s="4">
        <v>17916609026</v>
      </c>
    </row>
    <row r="12082" spans="1:4" x14ac:dyDescent="0.25">
      <c r="A12082" t="str">
        <f>T("   151710")</f>
        <v xml:space="preserve">   151710</v>
      </c>
      <c r="B12082" t="str">
        <f>T("   Margarine, a l'exclusion de la margarine liquide")</f>
        <v xml:space="preserve">   Margarine, a l'exclusion de la margarine liquide</v>
      </c>
      <c r="C12082" s="4">
        <v>773749</v>
      </c>
      <c r="D12082" s="4">
        <v>276832362</v>
      </c>
    </row>
    <row r="12083" spans="1:4" x14ac:dyDescent="0.25">
      <c r="A12083" t="str">
        <f>T("   151790")</f>
        <v xml:space="preserve">   151790</v>
      </c>
      <c r="B12083" t="str">
        <f>T("   AUTRES")</f>
        <v xml:space="preserve">   AUTRES</v>
      </c>
      <c r="C12083" s="4">
        <v>70360</v>
      </c>
      <c r="D12083" s="4">
        <v>26555532</v>
      </c>
    </row>
    <row r="12084" spans="1:4" x14ac:dyDescent="0.25">
      <c r="A12084" t="str">
        <f>T("   151800")</f>
        <v xml:space="preserve">   151800</v>
      </c>
      <c r="B12084" t="str">
        <f>T("   GRAISSES ET HUILES ANIMALES OU VEGETALES ET LEURS FRACTIONS, CUITES, OXYDEES, DESHYDRAT")</f>
        <v xml:space="preserve">   GRAISSES ET HUILES ANIMALES OU VEGETALES ET LEURS FRACTIONS, CUITES, OXYDEES, DESHYDRAT</v>
      </c>
      <c r="C12084" s="4">
        <v>16750</v>
      </c>
      <c r="D12084" s="4">
        <v>68711027</v>
      </c>
    </row>
    <row r="12085" spans="1:4" x14ac:dyDescent="0.25">
      <c r="A12085" t="str">
        <f>T("   152200")</f>
        <v xml:space="preserve">   152200</v>
      </c>
      <c r="B12085" t="str">
        <f>T("   DEGRAS; RESIDUS PROVENANT DU TRAITEMENT DES CORPS GRAS OU DES CIRES ANIMALES OU VEGETAL")</f>
        <v xml:space="preserve">   DEGRAS; RESIDUS PROVENANT DU TRAITEMENT DES CORPS GRAS OU DES CIRES ANIMALES OU VEGETAL</v>
      </c>
      <c r="C12085" s="4">
        <v>92512</v>
      </c>
      <c r="D12085" s="4">
        <v>11130915</v>
      </c>
    </row>
    <row r="12086" spans="1:4" x14ac:dyDescent="0.25">
      <c r="A12086" t="str">
        <f>T("   160100")</f>
        <v xml:space="preserve">   160100</v>
      </c>
      <c r="B12086" t="str">
        <f>T("   SAUCISSES, SAUCISSONS ET PRODUITS SIMILAIRES, DE VIANDE, D'ABATS OU DE SANG; PREPARATIO")</f>
        <v xml:space="preserve">   SAUCISSES, SAUCISSONS ET PRODUITS SIMILAIRES, DE VIANDE, D'ABATS OU DE SANG; PREPARATIO</v>
      </c>
      <c r="C12086" s="4">
        <v>2638037.9</v>
      </c>
      <c r="D12086" s="4">
        <v>1899022067</v>
      </c>
    </row>
    <row r="12087" spans="1:4" x14ac:dyDescent="0.25">
      <c r="A12087" t="str">
        <f>T("   160210")</f>
        <v xml:space="preserve">   160210</v>
      </c>
      <c r="B12087" t="str">
        <f>T("   PREPARATIONS HOMOGENEISEES")</f>
        <v xml:space="preserve">   PREPARATIONS HOMOGENEISEES</v>
      </c>
      <c r="C12087" s="4">
        <v>9</v>
      </c>
      <c r="D12087" s="4">
        <v>15081</v>
      </c>
    </row>
    <row r="12088" spans="1:4" x14ac:dyDescent="0.25">
      <c r="A12088" t="str">
        <f>T("   160220")</f>
        <v xml:space="preserve">   160220</v>
      </c>
      <c r="B12088" t="str">
        <f>T("   DE FOIES DE TOUS ANIMAUX")</f>
        <v xml:space="preserve">   DE FOIES DE TOUS ANIMAUX</v>
      </c>
      <c r="C12088" s="4">
        <v>27</v>
      </c>
      <c r="D12088" s="4">
        <v>154807</v>
      </c>
    </row>
    <row r="12089" spans="1:4" x14ac:dyDescent="0.25">
      <c r="A12089" t="str">
        <f>T("   160231")</f>
        <v xml:space="preserve">   160231</v>
      </c>
      <c r="B12089" t="str">
        <f>T("   DE DINDE")</f>
        <v xml:space="preserve">   DE DINDE</v>
      </c>
      <c r="C12089" s="4">
        <v>26580</v>
      </c>
      <c r="D12089" s="4">
        <v>20032360</v>
      </c>
    </row>
    <row r="12090" spans="1:4" x14ac:dyDescent="0.25">
      <c r="A12090" t="str">
        <f>T("   160232")</f>
        <v xml:space="preserve">   160232</v>
      </c>
      <c r="B12090" t="str">
        <f>T("   DE COQS ET DE POULES")</f>
        <v xml:space="preserve">   DE COQS ET DE POULES</v>
      </c>
      <c r="C12090" s="4">
        <v>714274</v>
      </c>
      <c r="D12090" s="4">
        <v>532214739</v>
      </c>
    </row>
    <row r="12091" spans="1:4" x14ac:dyDescent="0.25">
      <c r="A12091" t="str">
        <f>T("   160239")</f>
        <v xml:space="preserve">   160239</v>
      </c>
      <c r="B12091" t="str">
        <f>T("   AUTRES")</f>
        <v xml:space="preserve">   AUTRES</v>
      </c>
      <c r="C12091" s="4">
        <v>80275</v>
      </c>
      <c r="D12091" s="4">
        <v>37431768</v>
      </c>
    </row>
    <row r="12092" spans="1:4" x14ac:dyDescent="0.25">
      <c r="A12092" t="str">
        <f>T("   160241")</f>
        <v xml:space="preserve">   160241</v>
      </c>
      <c r="B12092" t="str">
        <f>T("   JAMBONS ET LEURS MORCEAUX")</f>
        <v xml:space="preserve">   JAMBONS ET LEURS MORCEAUX</v>
      </c>
      <c r="C12092" s="4">
        <v>84100</v>
      </c>
      <c r="D12092" s="4">
        <v>56231497</v>
      </c>
    </row>
    <row r="12093" spans="1:4" x14ac:dyDescent="0.25">
      <c r="A12093" t="str">
        <f>T("   160242")</f>
        <v xml:space="preserve">   160242</v>
      </c>
      <c r="B12093" t="str">
        <f>T("   EPAULES ET LEURS MORCEAUX")</f>
        <v xml:space="preserve">   EPAULES ET LEURS MORCEAUX</v>
      </c>
      <c r="C12093" s="4">
        <v>32348</v>
      </c>
      <c r="D12093" s="4">
        <v>24445005</v>
      </c>
    </row>
    <row r="12094" spans="1:4" x14ac:dyDescent="0.25">
      <c r="A12094" t="str">
        <f>T("   160249")</f>
        <v xml:space="preserve">   160249</v>
      </c>
      <c r="B12094" t="str">
        <f>T("   AUTRES, Y COMPRIS LES MELANGES")</f>
        <v xml:space="preserve">   AUTRES, Y COMPRIS LES MELANGES</v>
      </c>
      <c r="C12094" s="4">
        <v>9642</v>
      </c>
      <c r="D12094" s="4">
        <v>9269231</v>
      </c>
    </row>
    <row r="12095" spans="1:4" x14ac:dyDescent="0.25">
      <c r="A12095" t="str">
        <f>T("   160250")</f>
        <v xml:space="preserve">   160250</v>
      </c>
      <c r="B12095" t="str">
        <f>T("   DE L'ESPECE BOVINE")</f>
        <v xml:space="preserve">   DE L'ESPECE BOVINE</v>
      </c>
      <c r="C12095" s="4">
        <v>102456</v>
      </c>
      <c r="D12095" s="4">
        <v>30683797</v>
      </c>
    </row>
    <row r="12096" spans="1:4" x14ac:dyDescent="0.25">
      <c r="A12096" t="str">
        <f>T("   160290")</f>
        <v xml:space="preserve">   160290</v>
      </c>
      <c r="B12096" t="str">
        <f>T("   AUTRES, Y COMPRIS LES PREPARATIONS DE SANG DE TOUS ANIMAUX")</f>
        <v xml:space="preserve">   AUTRES, Y COMPRIS LES PREPARATIONS DE SANG DE TOUS ANIMAUX</v>
      </c>
      <c r="C12096" s="4">
        <v>21648</v>
      </c>
      <c r="D12096" s="4">
        <v>4055421</v>
      </c>
    </row>
    <row r="12097" spans="1:4" x14ac:dyDescent="0.25">
      <c r="A12097" t="str">
        <f>T("   160411")</f>
        <v xml:space="preserve">   160411</v>
      </c>
      <c r="B12097" t="str">
        <f>T("   SAUMONS")</f>
        <v xml:space="preserve">   SAUMONS</v>
      </c>
      <c r="C12097" s="4">
        <v>1948</v>
      </c>
      <c r="D12097" s="4">
        <v>2640034</v>
      </c>
    </row>
    <row r="12098" spans="1:4" x14ac:dyDescent="0.25">
      <c r="A12098" t="str">
        <f>T("   160413")</f>
        <v xml:space="preserve">   160413</v>
      </c>
      <c r="B12098" t="str">
        <f>T("   SARDINES, SARDINELLES ET SPRATS OU ESPROTS")</f>
        <v xml:space="preserve">   SARDINES, SARDINELLES ET SPRATS OU ESPROTS</v>
      </c>
      <c r="C12098" s="4">
        <v>1576528</v>
      </c>
      <c r="D12098" s="4">
        <v>565949103</v>
      </c>
    </row>
    <row r="12099" spans="1:4" x14ac:dyDescent="0.25">
      <c r="A12099" t="str">
        <f>T("   160414")</f>
        <v xml:space="preserve">   160414</v>
      </c>
      <c r="B12099" t="str">
        <f>T("   THONS, LISTAOS ET BONITES (SARDA SPP.)")</f>
        <v xml:space="preserve">   THONS, LISTAOS ET BONITES (SARDA SPP.)</v>
      </c>
      <c r="C12099" s="4">
        <v>15288</v>
      </c>
      <c r="D12099" s="4">
        <v>10540483</v>
      </c>
    </row>
    <row r="12100" spans="1:4" x14ac:dyDescent="0.25">
      <c r="A12100" t="str">
        <f>T("   160415")</f>
        <v xml:space="preserve">   160415</v>
      </c>
      <c r="B12100" t="str">
        <f>T("   MAQUEREAUX")</f>
        <v xml:space="preserve">   MAQUEREAUX</v>
      </c>
      <c r="C12100" s="4">
        <v>19136</v>
      </c>
      <c r="D12100" s="4">
        <v>3276898</v>
      </c>
    </row>
    <row r="12101" spans="1:4" x14ac:dyDescent="0.25">
      <c r="A12101" t="str">
        <f>T("   160419")</f>
        <v xml:space="preserve">   160419</v>
      </c>
      <c r="B12101" t="str">
        <f>T("   AUTRES")</f>
        <v xml:space="preserve">   AUTRES</v>
      </c>
      <c r="C12101" s="4">
        <v>200</v>
      </c>
      <c r="D12101" s="4">
        <v>372000</v>
      </c>
    </row>
    <row r="12102" spans="1:4" x14ac:dyDescent="0.25">
      <c r="A12102" t="str">
        <f>T("   160420")</f>
        <v xml:space="preserve">   160420</v>
      </c>
      <c r="B12102" t="str">
        <f>T("   Autres preparations et conserves de poissons")</f>
        <v xml:space="preserve">   Autres preparations et conserves de poissons</v>
      </c>
      <c r="C12102" s="4">
        <v>103183</v>
      </c>
      <c r="D12102" s="4">
        <v>109485584</v>
      </c>
    </row>
    <row r="12103" spans="1:4" x14ac:dyDescent="0.25">
      <c r="A12103" t="str">
        <f>T("   160520")</f>
        <v xml:space="preserve">   160520</v>
      </c>
      <c r="B12103" t="str">
        <f>T("   Conserves et preparations de crevettes")</f>
        <v xml:space="preserve">   Conserves et preparations de crevettes</v>
      </c>
      <c r="C12103" s="4">
        <v>380</v>
      </c>
      <c r="D12103" s="4">
        <v>54615</v>
      </c>
    </row>
    <row r="12104" spans="1:4" x14ac:dyDescent="0.25">
      <c r="A12104" t="str">
        <f>T("   160590")</f>
        <v xml:space="preserve">   160590</v>
      </c>
      <c r="B12104" t="str">
        <f>T("   Conserves et preparations de mollusques et autres invertebres aquatiques")</f>
        <v xml:space="preserve">   Conserves et preparations de mollusques et autres invertebres aquatiques</v>
      </c>
      <c r="C12104" s="4">
        <v>308</v>
      </c>
      <c r="D12104" s="4">
        <v>658584</v>
      </c>
    </row>
    <row r="12105" spans="1:4" x14ac:dyDescent="0.25">
      <c r="A12105" t="str">
        <f>T("   170111")</f>
        <v xml:space="preserve">   170111</v>
      </c>
      <c r="B12105" t="str">
        <f>T("   SUCRES BRUTS DE CANNE,SANS AROMATISANTS NI COLORANTS")</f>
        <v xml:space="preserve">   SUCRES BRUTS DE CANNE,SANS AROMATISANTS NI COLORANTS</v>
      </c>
      <c r="C12105" s="4">
        <v>264058</v>
      </c>
      <c r="D12105" s="4">
        <v>100042842</v>
      </c>
    </row>
    <row r="12106" spans="1:4" x14ac:dyDescent="0.25">
      <c r="A12106" t="str">
        <f>T("   170112")</f>
        <v xml:space="preserve">   170112</v>
      </c>
      <c r="B12106" t="str">
        <f>T("   DE BETTERAVE")</f>
        <v xml:space="preserve">   DE BETTERAVE</v>
      </c>
      <c r="C12106" s="4">
        <v>820860</v>
      </c>
      <c r="D12106" s="4">
        <v>34960000</v>
      </c>
    </row>
    <row r="12107" spans="1:4" x14ac:dyDescent="0.25">
      <c r="A12107" t="str">
        <f>T("   170191")</f>
        <v xml:space="preserve">   170191</v>
      </c>
      <c r="B12107" t="str">
        <f>T("   ADDITIONNES D'AROMATISANTS OU DE COLORANTS")</f>
        <v xml:space="preserve">   ADDITIONNES D'AROMATISANTS OU DE COLORANTS</v>
      </c>
      <c r="C12107" s="4">
        <v>27822355</v>
      </c>
      <c r="D12107" s="4">
        <v>3127572446.6960001</v>
      </c>
    </row>
    <row r="12108" spans="1:4" x14ac:dyDescent="0.25">
      <c r="A12108" t="str">
        <f>T("   170199")</f>
        <v xml:space="preserve">   170199</v>
      </c>
      <c r="B12108" t="str">
        <f>T("   AUTRES")</f>
        <v xml:space="preserve">   AUTRES</v>
      </c>
      <c r="C12108" s="4">
        <v>31624434</v>
      </c>
      <c r="D12108" s="4">
        <v>9257575601.5</v>
      </c>
    </row>
    <row r="12109" spans="1:4" x14ac:dyDescent="0.25">
      <c r="A12109" t="str">
        <f>T("   170219")</f>
        <v xml:space="preserve">   170219</v>
      </c>
      <c r="B12109" t="str">
        <f>T("   AUTRES")</f>
        <v xml:space="preserve">   AUTRES</v>
      </c>
      <c r="C12109" s="4">
        <v>4946397</v>
      </c>
      <c r="D12109" s="4">
        <v>654040127</v>
      </c>
    </row>
    <row r="12110" spans="1:4" x14ac:dyDescent="0.25">
      <c r="A12110" t="str">
        <f>T("   170220")</f>
        <v xml:space="preserve">   170220</v>
      </c>
      <c r="B12110" t="str">
        <f>T("   SUCRE ET SIROP D'ERABLE")</f>
        <v xml:space="preserve">   SUCRE ET SIROP D'ERABLE</v>
      </c>
      <c r="C12110" s="4">
        <v>378000</v>
      </c>
      <c r="D12110" s="4">
        <v>45360000</v>
      </c>
    </row>
    <row r="12111" spans="1:4" x14ac:dyDescent="0.25">
      <c r="A12111" t="str">
        <f>T("   170240")</f>
        <v xml:space="preserve">   170240</v>
      </c>
      <c r="B12111" t="str">
        <f>T("   GLUCOSE ET SIROP DE GLUCOSE, CONTENANT EN POIDS A L'ETAT SEC DE 20 % INCLUS A 50 % EX")</f>
        <v xml:space="preserve">   GLUCOSE ET SIROP DE GLUCOSE, CONTENANT EN POIDS A L'ETAT SEC DE 20 % INCLUS A 50 % EX</v>
      </c>
      <c r="C12111" s="4">
        <v>843</v>
      </c>
      <c r="D12111" s="4">
        <v>116762</v>
      </c>
    </row>
    <row r="12112" spans="1:4" x14ac:dyDescent="0.25">
      <c r="A12112" t="str">
        <f>T("   170290")</f>
        <v xml:space="preserve">   170290</v>
      </c>
      <c r="B12112" t="str">
        <f>T("   AUTRES, Y COMPRIS LE SUCRE INVERTI (OU INTERVERTI) ET LES AUTRES SUCRES ET SIROPS DE")</f>
        <v xml:space="preserve">   AUTRES, Y COMPRIS LE SUCRE INVERTI (OU INTERVERTI) ET LES AUTRES SUCRES ET SIROPS DE</v>
      </c>
      <c r="C12112" s="4">
        <v>281455</v>
      </c>
      <c r="D12112" s="4">
        <v>50039998</v>
      </c>
    </row>
    <row r="12113" spans="1:4" x14ac:dyDescent="0.25">
      <c r="A12113" t="str">
        <f>T("   170390")</f>
        <v xml:space="preserve">   170390</v>
      </c>
      <c r="B12113" t="str">
        <f>T("   AUTRES")</f>
        <v xml:space="preserve">   AUTRES</v>
      </c>
      <c r="C12113" s="4">
        <v>612220</v>
      </c>
      <c r="D12113" s="4">
        <v>93374782</v>
      </c>
    </row>
    <row r="12114" spans="1:4" x14ac:dyDescent="0.25">
      <c r="A12114" t="str">
        <f>T("   170410")</f>
        <v xml:space="preserve">   170410</v>
      </c>
      <c r="B12114" t="str">
        <f>T("   GOMMES A MACHER (CHEWINGGUM), MEME ENROBEES DE SUCRE")</f>
        <v xml:space="preserve">   GOMMES A MACHER (CHEWINGGUM), MEME ENROBEES DE SUCRE</v>
      </c>
      <c r="C12114" s="4">
        <v>872492</v>
      </c>
      <c r="D12114" s="4">
        <v>165507725</v>
      </c>
    </row>
    <row r="12115" spans="1:4" x14ac:dyDescent="0.25">
      <c r="A12115" t="str">
        <f>T("   170490")</f>
        <v xml:space="preserve">   170490</v>
      </c>
      <c r="B12115" t="str">
        <f>T("   AUTRES")</f>
        <v xml:space="preserve">   AUTRES</v>
      </c>
      <c r="C12115" s="4">
        <v>10024831.369999999</v>
      </c>
      <c r="D12115" s="4">
        <v>2388402936</v>
      </c>
    </row>
    <row r="12116" spans="1:4" x14ac:dyDescent="0.25">
      <c r="A12116" t="str">
        <f>T("   180100")</f>
        <v xml:space="preserve">   180100</v>
      </c>
      <c r="B12116" t="str">
        <f>T("   CACAO EN FEVES ET BRISURES DE FEVES, BRUTS OU TORREFIES.")</f>
        <v xml:space="preserve">   CACAO EN FEVES ET BRISURES DE FEVES, BRUTS OU TORREFIES.</v>
      </c>
      <c r="C12116" s="4">
        <v>3670</v>
      </c>
      <c r="D12116" s="4">
        <v>1500000</v>
      </c>
    </row>
    <row r="12117" spans="1:4" x14ac:dyDescent="0.25">
      <c r="A12117" t="str">
        <f>T("   180200")</f>
        <v xml:space="preserve">   180200</v>
      </c>
      <c r="B12117" t="str">
        <f>T("   COQUES, PELLICULES (PELURES) ET AUTRES DECHETS DE CACAO.")</f>
        <v xml:space="preserve">   COQUES, PELLICULES (PELURES) ET AUTRES DECHETS DE CACAO.</v>
      </c>
      <c r="C12117" s="4">
        <v>58560</v>
      </c>
      <c r="D12117" s="4">
        <v>960007</v>
      </c>
    </row>
    <row r="12118" spans="1:4" x14ac:dyDescent="0.25">
      <c r="A12118" t="str">
        <f>T("   180400")</f>
        <v xml:space="preserve">   180400</v>
      </c>
      <c r="B12118" t="str">
        <f>T("   BEURRE, GRAISSE ET HUILE DE CACAO.")</f>
        <v xml:space="preserve">   BEURRE, GRAISSE ET HUILE DE CACAO.</v>
      </c>
      <c r="C12118" s="4">
        <v>3272</v>
      </c>
      <c r="D12118" s="4">
        <v>1593478</v>
      </c>
    </row>
    <row r="12119" spans="1:4" x14ac:dyDescent="0.25">
      <c r="A12119" t="str">
        <f>T("   180500")</f>
        <v xml:space="preserve">   180500</v>
      </c>
      <c r="B12119" t="str">
        <f>T("   POUDRE DE CACAO, SANS ADDITION DE SUCRE OU D'AUTRES EDULCORANTS.")</f>
        <v xml:space="preserve">   POUDRE DE CACAO, SANS ADDITION DE SUCRE OU D'AUTRES EDULCORANTS.</v>
      </c>
      <c r="C12119" s="4">
        <v>223520</v>
      </c>
      <c r="D12119" s="4">
        <v>6820000</v>
      </c>
    </row>
    <row r="12120" spans="1:4" x14ac:dyDescent="0.25">
      <c r="A12120" t="str">
        <f>T("   180610")</f>
        <v xml:space="preserve">   180610</v>
      </c>
      <c r="B12120" t="str">
        <f>T("   POUDRE DE CACAO, AVEC ADDITION DE SUCRE OU D'AUTRES EDULCORANTS")</f>
        <v xml:space="preserve">   POUDRE DE CACAO, AVEC ADDITION DE SUCRE OU D'AUTRES EDULCORANTS</v>
      </c>
      <c r="C12120" s="4">
        <v>274251</v>
      </c>
      <c r="D12120" s="4">
        <v>95302006</v>
      </c>
    </row>
    <row r="12121" spans="1:4" x14ac:dyDescent="0.25">
      <c r="A12121" t="str">
        <f>T("   180620")</f>
        <v xml:space="preserve">   180620</v>
      </c>
      <c r="B12121" t="str">
        <f>T("   AUTRES PREPARATIONS PRESENTEES SOIT EN BLOCS OU EN BARRES D'UN POIDS EXCEDANT 2 KG, S")</f>
        <v xml:space="preserve">   AUTRES PREPARATIONS PRESENTEES SOIT EN BLOCS OU EN BARRES D'UN POIDS EXCEDANT 2 KG, S</v>
      </c>
      <c r="C12121" s="4">
        <v>519407</v>
      </c>
      <c r="D12121" s="4">
        <v>277235291</v>
      </c>
    </row>
    <row r="12122" spans="1:4" x14ac:dyDescent="0.25">
      <c r="A12122" t="str">
        <f>T("   180631")</f>
        <v xml:space="preserve">   180631</v>
      </c>
      <c r="B12122" t="str">
        <f>T("   FOURRES")</f>
        <v xml:space="preserve">   FOURRES</v>
      </c>
      <c r="C12122" s="4">
        <v>5827</v>
      </c>
      <c r="D12122" s="4">
        <v>11322395</v>
      </c>
    </row>
    <row r="12123" spans="1:4" x14ac:dyDescent="0.25">
      <c r="A12123" t="str">
        <f>T("   180632")</f>
        <v xml:space="preserve">   180632</v>
      </c>
      <c r="B12123" t="str">
        <f>T("   NON FOURRES")</f>
        <v xml:space="preserve">   NON FOURRES</v>
      </c>
      <c r="C12123" s="4">
        <v>33121</v>
      </c>
      <c r="D12123" s="4">
        <v>25970842</v>
      </c>
    </row>
    <row r="12124" spans="1:4" x14ac:dyDescent="0.25">
      <c r="A12124" t="str">
        <f>T("   180690")</f>
        <v xml:space="preserve">   180690</v>
      </c>
      <c r="B12124" t="str">
        <f>T("   AUTRES")</f>
        <v xml:space="preserve">   AUTRES</v>
      </c>
      <c r="C12124" s="4">
        <v>126537</v>
      </c>
      <c r="D12124" s="4">
        <v>38934579</v>
      </c>
    </row>
    <row r="12125" spans="1:4" x14ac:dyDescent="0.25">
      <c r="A12125" t="str">
        <f>T("   190110")</f>
        <v xml:space="preserve">   190110</v>
      </c>
      <c r="B12125" t="str">
        <f>T("   PREPARATIONS POUR L'ALIMENTATION DES ENFANTS, CONDITIONNEES POUR LA VENTE AU DETAIL")</f>
        <v xml:space="preserve">   PREPARATIONS POUR L'ALIMENTATION DES ENFANTS, CONDITIONNEES POUR LA VENTE AU DETAIL</v>
      </c>
      <c r="C12125" s="4">
        <v>856225.8</v>
      </c>
      <c r="D12125" s="4">
        <v>875158895</v>
      </c>
    </row>
    <row r="12126" spans="1:4" x14ac:dyDescent="0.25">
      <c r="A12126" t="str">
        <f>T("   190120")</f>
        <v xml:space="preserve">   190120</v>
      </c>
      <c r="B12126" t="str">
        <f>T("   MELANGES ET PATES POUR LA PREPARATION DES PRODUITS DE LA BOULANGERIE, DE LA PATISSERI")</f>
        <v xml:space="preserve">   MELANGES ET PATES POUR LA PREPARATION DES PRODUITS DE LA BOULANGERIE, DE LA PATISSERI</v>
      </c>
      <c r="C12126" s="4">
        <v>22564</v>
      </c>
      <c r="D12126" s="4">
        <v>33698066</v>
      </c>
    </row>
    <row r="12127" spans="1:4" x14ac:dyDescent="0.25">
      <c r="A12127" t="str">
        <f>T("   190190")</f>
        <v xml:space="preserve">   190190</v>
      </c>
      <c r="B12127" t="str">
        <f>T("   AUTRES")</f>
        <v xml:space="preserve">   AUTRES</v>
      </c>
      <c r="C12127" s="4">
        <v>7763345.04</v>
      </c>
      <c r="D12127" s="4">
        <v>2491735808</v>
      </c>
    </row>
    <row r="12128" spans="1:4" x14ac:dyDescent="0.25">
      <c r="A12128" t="str">
        <f>T("   190219")</f>
        <v xml:space="preserve">   190219</v>
      </c>
      <c r="B12128" t="str">
        <f>T("   AUTRES")</f>
        <v xml:space="preserve">   AUTRES</v>
      </c>
      <c r="C12128" s="4">
        <v>9998189.5</v>
      </c>
      <c r="D12128" s="4">
        <v>1738380066</v>
      </c>
    </row>
    <row r="12129" spans="1:4" x14ac:dyDescent="0.25">
      <c r="A12129" t="str">
        <f>T("   190220")</f>
        <v xml:space="preserve">   190220</v>
      </c>
      <c r="B12129" t="str">
        <f>T("   PATES ALIMENTAIRES FARCIES (MEME CUITES OU AUTREMENT PREPAREES)")</f>
        <v xml:space="preserve">   PATES ALIMENTAIRES FARCIES (MEME CUITES OU AUTREMENT PREPAREES)</v>
      </c>
      <c r="C12129" s="4">
        <v>1364499</v>
      </c>
      <c r="D12129" s="4">
        <v>448441026</v>
      </c>
    </row>
    <row r="12130" spans="1:4" x14ac:dyDescent="0.25">
      <c r="A12130" t="str">
        <f>T("   190230")</f>
        <v xml:space="preserve">   190230</v>
      </c>
      <c r="B12130" t="str">
        <f>T("   AUTRES PATES ALIMENTAIRES")</f>
        <v xml:space="preserve">   AUTRES PATES ALIMENTAIRES</v>
      </c>
      <c r="C12130" s="4">
        <v>11860413</v>
      </c>
      <c r="D12130" s="4">
        <v>1662157184</v>
      </c>
    </row>
    <row r="12131" spans="1:4" x14ac:dyDescent="0.25">
      <c r="A12131" t="str">
        <f>T("   190240")</f>
        <v xml:space="preserve">   190240</v>
      </c>
      <c r="B12131" t="str">
        <f>T("   COUSCOUS")</f>
        <v xml:space="preserve">   COUSCOUS</v>
      </c>
      <c r="C12131" s="4">
        <v>1400795</v>
      </c>
      <c r="D12131" s="4">
        <v>376981174</v>
      </c>
    </row>
    <row r="12132" spans="1:4" x14ac:dyDescent="0.25">
      <c r="A12132" t="str">
        <f>T("   190410")</f>
        <v xml:space="preserve">   190410</v>
      </c>
      <c r="B12132" t="str">
        <f>T("   PRODUITS A BASE DE CEREALES OBTENUS PAR SOUFFLAGE OU GRILLAGE")</f>
        <v xml:space="preserve">   PRODUITS A BASE DE CEREALES OBTENUS PAR SOUFFLAGE OU GRILLAGE</v>
      </c>
      <c r="C12132" s="4">
        <v>40725</v>
      </c>
      <c r="D12132" s="4">
        <v>19038002</v>
      </c>
    </row>
    <row r="12133" spans="1:4" x14ac:dyDescent="0.25">
      <c r="A12133" t="str">
        <f>T("   190490")</f>
        <v xml:space="preserve">   190490</v>
      </c>
      <c r="B12133" t="str">
        <f>T("   AUTRES")</f>
        <v xml:space="preserve">   AUTRES</v>
      </c>
      <c r="C12133" s="4">
        <v>529351</v>
      </c>
      <c r="D12133" s="4">
        <v>7522293</v>
      </c>
    </row>
    <row r="12134" spans="1:4" x14ac:dyDescent="0.25">
      <c r="A12134" t="str">
        <f>T("   190510")</f>
        <v xml:space="preserve">   190510</v>
      </c>
      <c r="B12134" t="str">
        <f>T("   PAIN CROUSTILLANT DIT «KNäCKEBROT»")</f>
        <v xml:space="preserve">   PAIN CROUSTILLANT DIT «KNäCKEBROT»</v>
      </c>
      <c r="C12134" s="4">
        <v>1567</v>
      </c>
      <c r="D12134" s="4">
        <v>1062251</v>
      </c>
    </row>
    <row r="12135" spans="1:4" x14ac:dyDescent="0.25">
      <c r="A12135" t="str">
        <f>T("   190520")</f>
        <v xml:space="preserve">   190520</v>
      </c>
      <c r="B12135" t="str">
        <f>T("   PAIN D’EPICES")</f>
        <v xml:space="preserve">   PAIN D’EPICES</v>
      </c>
      <c r="C12135" s="4">
        <v>826</v>
      </c>
      <c r="D12135" s="4">
        <v>124632</v>
      </c>
    </row>
    <row r="12136" spans="1:4" x14ac:dyDescent="0.25">
      <c r="A12136" t="str">
        <f>T("   190530")</f>
        <v xml:space="preserve">   190530</v>
      </c>
      <c r="B12136" t="str">
        <f>T("   BISCUITS ADDITIONNES D'EDULCORANTS,GAUFRES ET GAUFRETTES")</f>
        <v xml:space="preserve">   BISCUITS ADDITIONNES D'EDULCORANTS,GAUFRES ET GAUFRETTES</v>
      </c>
      <c r="C12136" s="4">
        <v>1800</v>
      </c>
      <c r="D12136" s="4">
        <v>108050</v>
      </c>
    </row>
    <row r="12137" spans="1:4" x14ac:dyDescent="0.25">
      <c r="A12137" t="str">
        <f>T("   190531")</f>
        <v xml:space="preserve">   190531</v>
      </c>
      <c r="B12137" t="str">
        <f>T("   BISCUITS ADDITIONNES D’EDULCORANTS")</f>
        <v xml:space="preserve">   BISCUITS ADDITIONNES D’EDULCORANTS</v>
      </c>
      <c r="C12137" s="4">
        <v>2580949.0499999998</v>
      </c>
      <c r="D12137" s="4">
        <v>857247356</v>
      </c>
    </row>
    <row r="12138" spans="1:4" x14ac:dyDescent="0.25">
      <c r="A12138" t="str">
        <f>T("   190532")</f>
        <v xml:space="preserve">   190532</v>
      </c>
      <c r="B12138" t="str">
        <f>T("   GAUFRES ET GAUFRETTES")</f>
        <v xml:space="preserve">   GAUFRES ET GAUFRETTES</v>
      </c>
      <c r="C12138" s="4">
        <v>22464</v>
      </c>
      <c r="D12138" s="4">
        <v>7711688</v>
      </c>
    </row>
    <row r="12139" spans="1:4" x14ac:dyDescent="0.25">
      <c r="A12139" t="str">
        <f>T("   190540")</f>
        <v xml:space="preserve">   190540</v>
      </c>
      <c r="B12139" t="str">
        <f>T("   BISCOTTES, PAIN GRILLE ET PRODUITS SIMILAIRES GRILLES")</f>
        <v xml:space="preserve">   BISCOTTES, PAIN GRILLE ET PRODUITS SIMILAIRES GRILLES</v>
      </c>
      <c r="C12139" s="4">
        <v>53440</v>
      </c>
      <c r="D12139" s="4">
        <v>34788876</v>
      </c>
    </row>
    <row r="12140" spans="1:4" x14ac:dyDescent="0.25">
      <c r="A12140" t="str">
        <f>T("   190590")</f>
        <v xml:space="preserve">   190590</v>
      </c>
      <c r="B12140" t="str">
        <f>T("   AUTRES")</f>
        <v xml:space="preserve">   AUTRES</v>
      </c>
      <c r="C12140" s="4">
        <v>4030756.6</v>
      </c>
      <c r="D12140" s="4">
        <v>1452479781</v>
      </c>
    </row>
    <row r="12141" spans="1:4" x14ac:dyDescent="0.25">
      <c r="A12141" t="str">
        <f>T("   200190")</f>
        <v xml:space="preserve">   200190</v>
      </c>
      <c r="B12141" t="str">
        <f>T("   AUTRES")</f>
        <v xml:space="preserve">   AUTRES</v>
      </c>
      <c r="C12141" s="4">
        <v>29500</v>
      </c>
      <c r="D12141" s="4">
        <v>2603665</v>
      </c>
    </row>
    <row r="12142" spans="1:4" x14ac:dyDescent="0.25">
      <c r="A12142" t="str">
        <f>T("   200290")</f>
        <v xml:space="preserve">   200290</v>
      </c>
      <c r="B12142" t="str">
        <f>T("   AUTRES")</f>
        <v xml:space="preserve">   AUTRES</v>
      </c>
      <c r="C12142" s="4">
        <v>19857008.25</v>
      </c>
      <c r="D12142" s="4">
        <v>4973982544</v>
      </c>
    </row>
    <row r="12143" spans="1:4" x14ac:dyDescent="0.25">
      <c r="A12143" t="str">
        <f>T("   200310")</f>
        <v xml:space="preserve">   200310</v>
      </c>
      <c r="B12143" t="str">
        <f>T("   CHAMPIGNONS DU GENRE AGARICUS")</f>
        <v xml:space="preserve">   CHAMPIGNONS DU GENRE AGARICUS</v>
      </c>
      <c r="C12143" s="4">
        <v>7962</v>
      </c>
      <c r="D12143" s="4">
        <v>3534065</v>
      </c>
    </row>
    <row r="12144" spans="1:4" x14ac:dyDescent="0.25">
      <c r="A12144" t="str">
        <f>T("   200390")</f>
        <v xml:space="preserve">   200390</v>
      </c>
      <c r="B12144" t="str">
        <f>T("   AUTRES")</f>
        <v xml:space="preserve">   AUTRES</v>
      </c>
      <c r="C12144" s="4">
        <v>30884</v>
      </c>
      <c r="D12144" s="4">
        <v>14383873</v>
      </c>
    </row>
    <row r="12145" spans="1:4" x14ac:dyDescent="0.25">
      <c r="A12145" t="str">
        <f>T("   200410")</f>
        <v xml:space="preserve">   200410</v>
      </c>
      <c r="B12145" t="str">
        <f>T("   POMMES DE TERRE")</f>
        <v xml:space="preserve">   POMMES DE TERRE</v>
      </c>
      <c r="C12145" s="4">
        <v>622116</v>
      </c>
      <c r="D12145" s="4">
        <v>154009396</v>
      </c>
    </row>
    <row r="12146" spans="1:4" x14ac:dyDescent="0.25">
      <c r="A12146" t="str">
        <f>T("   200490")</f>
        <v xml:space="preserve">   200490</v>
      </c>
      <c r="B12146" t="str">
        <f>T("   AUTRES LEGUMES ET MELANGES DE LEGUMES")</f>
        <v xml:space="preserve">   AUTRES LEGUMES ET MELANGES DE LEGUMES</v>
      </c>
      <c r="C12146" s="4">
        <v>396386</v>
      </c>
      <c r="D12146" s="4">
        <v>91747582</v>
      </c>
    </row>
    <row r="12147" spans="1:4" x14ac:dyDescent="0.25">
      <c r="A12147" t="str">
        <f>T("   200510")</f>
        <v xml:space="preserve">   200510</v>
      </c>
      <c r="B12147" t="str">
        <f>T("   LEGUMES HOMOGENEISES")</f>
        <v xml:space="preserve">   LEGUMES HOMOGENEISES</v>
      </c>
      <c r="C12147" s="4">
        <v>22654</v>
      </c>
      <c r="D12147" s="4">
        <v>3144975</v>
      </c>
    </row>
    <row r="12148" spans="1:4" x14ac:dyDescent="0.25">
      <c r="A12148" t="str">
        <f>T("   200520")</f>
        <v xml:space="preserve">   200520</v>
      </c>
      <c r="B12148" t="str">
        <f>T("   POMMES DE TERRE")</f>
        <v xml:space="preserve">   POMMES DE TERRE</v>
      </c>
      <c r="C12148" s="4">
        <v>32514</v>
      </c>
      <c r="D12148" s="4">
        <v>6319983</v>
      </c>
    </row>
    <row r="12149" spans="1:4" x14ac:dyDescent="0.25">
      <c r="A12149" t="str">
        <f>T("   200540")</f>
        <v xml:space="preserve">   200540</v>
      </c>
      <c r="B12149" t="str">
        <f>T("   POIS (PISUM SATIVUM)")</f>
        <v xml:space="preserve">   POIS (PISUM SATIVUM)</v>
      </c>
      <c r="C12149" s="4">
        <v>567474</v>
      </c>
      <c r="D12149" s="4">
        <v>108441133</v>
      </c>
    </row>
    <row r="12150" spans="1:4" x14ac:dyDescent="0.25">
      <c r="A12150" t="str">
        <f>T("   200559")</f>
        <v xml:space="preserve">   200559</v>
      </c>
      <c r="B12150" t="str">
        <f>T("   AUTRES")</f>
        <v xml:space="preserve">   AUTRES</v>
      </c>
      <c r="C12150" s="4">
        <v>258852</v>
      </c>
      <c r="D12150" s="4">
        <v>58002525</v>
      </c>
    </row>
    <row r="12151" spans="1:4" x14ac:dyDescent="0.25">
      <c r="A12151" t="str">
        <f>T("   200570")</f>
        <v xml:space="preserve">   200570</v>
      </c>
      <c r="B12151" t="str">
        <f>T("   OLIVES")</f>
        <v xml:space="preserve">   OLIVES</v>
      </c>
      <c r="C12151" s="4">
        <v>109539</v>
      </c>
      <c r="D12151" s="4">
        <v>24282944</v>
      </c>
    </row>
    <row r="12152" spans="1:4" x14ac:dyDescent="0.25">
      <c r="A12152" t="str">
        <f>T("   200580")</f>
        <v xml:space="preserve">   200580</v>
      </c>
      <c r="B12152" t="str">
        <f>T("   MAIS DOUX (ZEA MAYS VAR. SACCHARATA)")</f>
        <v xml:space="preserve">   MAIS DOUX (ZEA MAYS VAR. SACCHARATA)</v>
      </c>
      <c r="C12152" s="4">
        <v>69700</v>
      </c>
      <c r="D12152" s="4">
        <v>8495899</v>
      </c>
    </row>
    <row r="12153" spans="1:4" x14ac:dyDescent="0.25">
      <c r="A12153" t="str">
        <f>T("   200599")</f>
        <v xml:space="preserve">   200599</v>
      </c>
      <c r="B12153" t="str">
        <f>T("   AUTRES")</f>
        <v xml:space="preserve">   AUTRES</v>
      </c>
      <c r="C12153" s="4">
        <v>138581</v>
      </c>
      <c r="D12153" s="4">
        <v>39729887</v>
      </c>
    </row>
    <row r="12154" spans="1:4" x14ac:dyDescent="0.25">
      <c r="A12154" t="str">
        <f>T("   200600")</f>
        <v xml:space="preserve">   200600</v>
      </c>
      <c r="B12154" t="str">
        <f>T("   LEGUMES, FRUITS, ECORCES DE FRUITS ET AUTRES PARTIES DE PLANTES, CONFITS AU SUCRE (EGOU")</f>
        <v xml:space="preserve">   LEGUMES, FRUITS, ECORCES DE FRUITS ET AUTRES PARTIES DE PLANTES, CONFITS AU SUCRE (EGOU</v>
      </c>
      <c r="C12154" s="4">
        <v>500</v>
      </c>
      <c r="D12154" s="4">
        <v>187209</v>
      </c>
    </row>
    <row r="12155" spans="1:4" x14ac:dyDescent="0.25">
      <c r="A12155" t="str">
        <f>T("   200710")</f>
        <v xml:space="preserve">   200710</v>
      </c>
      <c r="B12155" t="str">
        <f>T("   PREPARATIONS HOMOGENEISEES")</f>
        <v xml:space="preserve">   PREPARATIONS HOMOGENEISEES</v>
      </c>
      <c r="C12155" s="4">
        <v>199334</v>
      </c>
      <c r="D12155" s="4">
        <v>20922690</v>
      </c>
    </row>
    <row r="12156" spans="1:4" x14ac:dyDescent="0.25">
      <c r="A12156" t="str">
        <f>T("   200799")</f>
        <v xml:space="preserve">   200799</v>
      </c>
      <c r="B12156" t="str">
        <f>T("   AUTRES")</f>
        <v xml:space="preserve">   AUTRES</v>
      </c>
      <c r="C12156" s="4">
        <v>62653</v>
      </c>
      <c r="D12156" s="4">
        <v>32297469</v>
      </c>
    </row>
    <row r="12157" spans="1:4" x14ac:dyDescent="0.25">
      <c r="A12157" t="str">
        <f>T("   200819")</f>
        <v xml:space="preserve">   200819</v>
      </c>
      <c r="B12157" t="str">
        <f>T("   AUTRES, Y COMPRIS LES MELANGES")</f>
        <v xml:space="preserve">   AUTRES, Y COMPRIS LES MELANGES</v>
      </c>
      <c r="C12157" s="4">
        <v>7601</v>
      </c>
      <c r="D12157" s="4">
        <v>2786841</v>
      </c>
    </row>
    <row r="12158" spans="1:4" x14ac:dyDescent="0.25">
      <c r="A12158" t="str">
        <f>T("   200830")</f>
        <v xml:space="preserve">   200830</v>
      </c>
      <c r="B12158" t="str">
        <f>T("   AGRUMES")</f>
        <v xml:space="preserve">   AGRUMES</v>
      </c>
      <c r="C12158" s="4">
        <v>612</v>
      </c>
      <c r="D12158" s="4">
        <v>447365</v>
      </c>
    </row>
    <row r="12159" spans="1:4" x14ac:dyDescent="0.25">
      <c r="A12159" t="str">
        <f>T("   200840")</f>
        <v xml:space="preserve">   200840</v>
      </c>
      <c r="B12159" t="str">
        <f>T("   POIRES")</f>
        <v xml:space="preserve">   POIRES</v>
      </c>
      <c r="C12159" s="4">
        <v>39792</v>
      </c>
      <c r="D12159" s="4">
        <v>7110000</v>
      </c>
    </row>
    <row r="12160" spans="1:4" x14ac:dyDescent="0.25">
      <c r="A12160" t="str">
        <f>T("   200850")</f>
        <v xml:space="preserve">   200850</v>
      </c>
      <c r="B12160" t="str">
        <f>T("   ABRICOTS")</f>
        <v xml:space="preserve">   ABRICOTS</v>
      </c>
      <c r="C12160" s="4">
        <v>4880</v>
      </c>
      <c r="D12160" s="4">
        <v>809455</v>
      </c>
    </row>
    <row r="12161" spans="1:4" x14ac:dyDescent="0.25">
      <c r="A12161" t="str">
        <f>T("   200860")</f>
        <v xml:space="preserve">   200860</v>
      </c>
      <c r="B12161" t="str">
        <f>T("   CERISES")</f>
        <v xml:space="preserve">   CERISES</v>
      </c>
      <c r="C12161" s="4">
        <v>254</v>
      </c>
      <c r="D12161" s="4">
        <v>64000</v>
      </c>
    </row>
    <row r="12162" spans="1:4" x14ac:dyDescent="0.25">
      <c r="A12162" t="str">
        <f>T("   200870")</f>
        <v xml:space="preserve">   200870</v>
      </c>
      <c r="B12162" t="str">
        <f>T("   PECHES, Y COMPRIS LES BRUGNONS ET NECTARINES")</f>
        <v xml:space="preserve">   PECHES, Y COMPRIS LES BRUGNONS ET NECTARINES</v>
      </c>
      <c r="C12162" s="4">
        <v>425</v>
      </c>
      <c r="D12162" s="4">
        <v>78145</v>
      </c>
    </row>
    <row r="12163" spans="1:4" x14ac:dyDescent="0.25">
      <c r="A12163" t="str">
        <f>T("   200899")</f>
        <v xml:space="preserve">   200899</v>
      </c>
      <c r="B12163" t="str">
        <f>T("   AUTRES")</f>
        <v xml:space="preserve">   AUTRES</v>
      </c>
      <c r="C12163" s="4">
        <v>58944.5</v>
      </c>
      <c r="D12163" s="4">
        <v>12841180</v>
      </c>
    </row>
    <row r="12164" spans="1:4" x14ac:dyDescent="0.25">
      <c r="A12164" t="str">
        <f>T("   200912")</f>
        <v xml:space="preserve">   200912</v>
      </c>
      <c r="B12164" t="str">
        <f>T("   NON CONGELES, D’UNE VALEUR BRIX N’EXCEDANT PAS 20")</f>
        <v xml:space="preserve">   NON CONGELES, D’UNE VALEUR BRIX N’EXCEDANT PAS 20</v>
      </c>
      <c r="C12164" s="4">
        <v>960</v>
      </c>
      <c r="D12164" s="4">
        <v>448967</v>
      </c>
    </row>
    <row r="12165" spans="1:4" x14ac:dyDescent="0.25">
      <c r="A12165" t="str">
        <f>T("   200919")</f>
        <v xml:space="preserve">   200919</v>
      </c>
      <c r="B12165" t="str">
        <f>T("   AUTRES")</f>
        <v xml:space="preserve">   AUTRES</v>
      </c>
      <c r="C12165" s="4">
        <v>170987</v>
      </c>
      <c r="D12165" s="4">
        <v>32769598</v>
      </c>
    </row>
    <row r="12166" spans="1:4" x14ac:dyDescent="0.25">
      <c r="A12166" t="str">
        <f>T("   200940")</f>
        <v xml:space="preserve">   200940</v>
      </c>
      <c r="B12166" t="str">
        <f>T("   JUS D'ANANAS SANS ALCOOL,SUCRE OU NON")</f>
        <v xml:space="preserve">   JUS D'ANANAS SANS ALCOOL,SUCRE OU NON</v>
      </c>
      <c r="C12166" s="4">
        <v>500</v>
      </c>
      <c r="D12166" s="4">
        <v>8932</v>
      </c>
    </row>
    <row r="12167" spans="1:4" x14ac:dyDescent="0.25">
      <c r="A12167" t="str">
        <f>T("   200941")</f>
        <v xml:space="preserve">   200941</v>
      </c>
      <c r="B12167" t="str">
        <f>T("   D’UNE VALEUR BRIX N’EXCEDANT PAS 20")</f>
        <v xml:space="preserve">   D’UNE VALEUR BRIX N’EXCEDANT PAS 20</v>
      </c>
      <c r="C12167" s="4">
        <v>1560</v>
      </c>
      <c r="D12167" s="4">
        <v>729571</v>
      </c>
    </row>
    <row r="12168" spans="1:4" x14ac:dyDescent="0.25">
      <c r="A12168" t="str">
        <f>T("   200949")</f>
        <v xml:space="preserve">   200949</v>
      </c>
      <c r="B12168" t="str">
        <f>T("   AUTRES")</f>
        <v xml:space="preserve">   AUTRES</v>
      </c>
      <c r="C12168" s="4">
        <v>160070</v>
      </c>
      <c r="D12168" s="4">
        <v>94629075</v>
      </c>
    </row>
    <row r="12169" spans="1:4" x14ac:dyDescent="0.25">
      <c r="A12169" t="str">
        <f>T("   200969")</f>
        <v xml:space="preserve">   200969</v>
      </c>
      <c r="B12169" t="str">
        <f>T("   AUTRES")</f>
        <v xml:space="preserve">   AUTRES</v>
      </c>
      <c r="C12169" s="4">
        <v>69224</v>
      </c>
      <c r="D12169" s="4">
        <v>47378665</v>
      </c>
    </row>
    <row r="12170" spans="1:4" x14ac:dyDescent="0.25">
      <c r="A12170" t="str">
        <f>T("   200970")</f>
        <v xml:space="preserve">   200970</v>
      </c>
      <c r="B12170" t="str">
        <f>T("   JUS DE POMMES SANS ALCOOL,SUCRE OU NON")</f>
        <v xml:space="preserve">   JUS DE POMMES SANS ALCOOL,SUCRE OU NON</v>
      </c>
      <c r="C12170" s="4">
        <v>5</v>
      </c>
      <c r="D12170" s="4">
        <v>21732</v>
      </c>
    </row>
    <row r="12171" spans="1:4" x14ac:dyDescent="0.25">
      <c r="A12171" t="str">
        <f>T("   200971")</f>
        <v xml:space="preserve">   200971</v>
      </c>
      <c r="B12171" t="str">
        <f>T("   D’UNE VALEUR BRIX N’EXCEDANT PAS 20")</f>
        <v xml:space="preserve">   D’UNE VALEUR BRIX N’EXCEDANT PAS 20</v>
      </c>
      <c r="C12171" s="4">
        <v>3</v>
      </c>
      <c r="D12171" s="4">
        <v>11348</v>
      </c>
    </row>
    <row r="12172" spans="1:4" x14ac:dyDescent="0.25">
      <c r="A12172" t="str">
        <f>T("   200979")</f>
        <v xml:space="preserve">   200979</v>
      </c>
      <c r="B12172" t="str">
        <f>T("   AUTRES")</f>
        <v xml:space="preserve">   AUTRES</v>
      </c>
      <c r="C12172" s="4">
        <v>177</v>
      </c>
      <c r="D12172" s="4">
        <v>347975</v>
      </c>
    </row>
    <row r="12173" spans="1:4" x14ac:dyDescent="0.25">
      <c r="A12173" t="str">
        <f>T("   200980")</f>
        <v xml:space="preserve">   200980</v>
      </c>
      <c r="B12173" t="str">
        <f>T("   AUTRES JUS DE FRUITS OU DE LEGUMES,SANS ALCOOL,SUCRES OU NON")</f>
        <v xml:space="preserve">   AUTRES JUS DE FRUITS OU DE LEGUMES,SANS ALCOOL,SUCRES OU NON</v>
      </c>
      <c r="C12173" s="4">
        <v>2053524.3</v>
      </c>
      <c r="D12173" s="4">
        <v>362868764</v>
      </c>
    </row>
    <row r="12174" spans="1:4" x14ac:dyDescent="0.25">
      <c r="A12174" t="str">
        <f>T("   200990")</f>
        <v xml:space="preserve">   200990</v>
      </c>
      <c r="B12174" t="str">
        <f>T("   MELANGES DE JUS")</f>
        <v xml:space="preserve">   MELANGES DE JUS</v>
      </c>
      <c r="C12174" s="4">
        <v>981342.25</v>
      </c>
      <c r="D12174" s="4">
        <v>167762819</v>
      </c>
    </row>
    <row r="12175" spans="1:4" x14ac:dyDescent="0.25">
      <c r="A12175" t="str">
        <f>T("   210111")</f>
        <v xml:space="preserve">   210111</v>
      </c>
      <c r="B12175" t="str">
        <f>T("   EXTRAITS, ESSENCES ET CONCENTRES")</f>
        <v xml:space="preserve">   EXTRAITS, ESSENCES ET CONCENTRES</v>
      </c>
      <c r="C12175" s="4">
        <v>38805</v>
      </c>
      <c r="D12175" s="4">
        <v>262307658</v>
      </c>
    </row>
    <row r="12176" spans="1:4" x14ac:dyDescent="0.25">
      <c r="A12176" t="str">
        <f>T("   210112")</f>
        <v xml:space="preserve">   210112</v>
      </c>
      <c r="B12176" t="str">
        <f>T("   PREPARATIONS A BASE D'EXTRAITS, ESSENCES OU CONCENTRES OU A BASE DE CAFE")</f>
        <v xml:space="preserve">   PREPARATIONS A BASE D'EXTRAITS, ESSENCES OU CONCENTRES OU A BASE DE CAFE</v>
      </c>
      <c r="C12176" s="4">
        <v>115191</v>
      </c>
      <c r="D12176" s="4">
        <v>39498087</v>
      </c>
    </row>
    <row r="12177" spans="1:4" x14ac:dyDescent="0.25">
      <c r="A12177" t="str">
        <f>T("   210120")</f>
        <v xml:space="preserve">   210120</v>
      </c>
      <c r="B12177" t="str">
        <f>T("   EXTRAITS, ESSENCES ET CONCENTRES DE THE OU DE MATE ET PREPARATIONS A BASE DE CES EXTR")</f>
        <v xml:space="preserve">   EXTRAITS, ESSENCES ET CONCENTRES DE THE OU DE MATE ET PREPARATIONS A BASE DE CES EXTR</v>
      </c>
      <c r="C12177" s="4">
        <v>8000</v>
      </c>
      <c r="D12177" s="4">
        <v>2351292</v>
      </c>
    </row>
    <row r="12178" spans="1:4" x14ac:dyDescent="0.25">
      <c r="A12178" t="str">
        <f>T("   210130")</f>
        <v xml:space="preserve">   210130</v>
      </c>
      <c r="B12178" t="str">
        <f>T("   CHICOREE TORREFIEE ET AUTRES SUCCEDANES TORREFIES DU CAFE ET LEURS EXTRAITS, ESSENCES")</f>
        <v xml:space="preserve">   CHICOREE TORREFIEE ET AUTRES SUCCEDANES TORREFIES DU CAFE ET LEURS EXTRAITS, ESSENCES</v>
      </c>
      <c r="C12178" s="4">
        <v>37603</v>
      </c>
      <c r="D12178" s="4">
        <v>17206743</v>
      </c>
    </row>
    <row r="12179" spans="1:4" x14ac:dyDescent="0.25">
      <c r="A12179" t="str">
        <f>T("   210210")</f>
        <v xml:space="preserve">   210210</v>
      </c>
      <c r="B12179" t="str">
        <f>T("   Levures vivantes")</f>
        <v xml:space="preserve">   Levures vivantes</v>
      </c>
      <c r="C12179" s="4">
        <v>262796.2</v>
      </c>
      <c r="D12179" s="4">
        <v>171190082</v>
      </c>
    </row>
    <row r="12180" spans="1:4" x14ac:dyDescent="0.25">
      <c r="A12180" t="str">
        <f>T("   210220")</f>
        <v xml:space="preserve">   210220</v>
      </c>
      <c r="B12180" t="str">
        <f>T("   LEVURES MORTES; AUTRES MICROORGANISMES MONOCELLULAIRES MORTS")</f>
        <v xml:space="preserve">   LEVURES MORTES; AUTRES MICROORGANISMES MONOCELLULAIRES MORTS</v>
      </c>
      <c r="C12180" s="4">
        <v>1120</v>
      </c>
      <c r="D12180" s="4">
        <v>243573</v>
      </c>
    </row>
    <row r="12181" spans="1:4" x14ac:dyDescent="0.25">
      <c r="A12181" t="str">
        <f>T("   210230")</f>
        <v xml:space="preserve">   210230</v>
      </c>
      <c r="B12181" t="str">
        <f>T("   POUDRES A LEVER PREPAREES")</f>
        <v xml:space="preserve">   POUDRES A LEVER PREPAREES</v>
      </c>
      <c r="C12181" s="4">
        <v>571415</v>
      </c>
      <c r="D12181" s="4">
        <v>334649708</v>
      </c>
    </row>
    <row r="12182" spans="1:4" x14ac:dyDescent="0.25">
      <c r="A12182" t="str">
        <f>T("   210320")</f>
        <v xml:space="preserve">   210320</v>
      </c>
      <c r="B12182" t="str">
        <f>T("   «TOMATOKETCHUP» ET AUTRES SAUCES TOMATES")</f>
        <v xml:space="preserve">   «TOMATOKETCHUP» ET AUTRES SAUCES TOMATES</v>
      </c>
      <c r="C12182" s="4">
        <v>18359</v>
      </c>
      <c r="D12182" s="4">
        <v>6574722</v>
      </c>
    </row>
    <row r="12183" spans="1:4" x14ac:dyDescent="0.25">
      <c r="A12183" t="str">
        <f>T("   210330")</f>
        <v xml:space="preserve">   210330</v>
      </c>
      <c r="B12183" t="str">
        <f>T("   FARINE DE MOUTARDE ET MOUTARDE PREPAREE")</f>
        <v xml:space="preserve">   FARINE DE MOUTARDE ET MOUTARDE PREPAREE</v>
      </c>
      <c r="C12183" s="4">
        <v>178017</v>
      </c>
      <c r="D12183" s="4">
        <v>54590117</v>
      </c>
    </row>
    <row r="12184" spans="1:4" x14ac:dyDescent="0.25">
      <c r="A12184" t="str">
        <f>T("   210390")</f>
        <v xml:space="preserve">   210390</v>
      </c>
      <c r="B12184" t="str">
        <f>T("   AUTRES")</f>
        <v xml:space="preserve">   AUTRES</v>
      </c>
      <c r="C12184" s="4">
        <v>3894319.22</v>
      </c>
      <c r="D12184" s="4">
        <v>1581602516</v>
      </c>
    </row>
    <row r="12185" spans="1:4" x14ac:dyDescent="0.25">
      <c r="A12185" t="str">
        <f>T("   210410")</f>
        <v xml:space="preserve">   210410</v>
      </c>
      <c r="B12185" t="str">
        <f>T("   PREPARATIONS POUR SOUPES, POTAGES OU BOUILLONS; SOUPES, POTAGES OU BOUILLONS PREPARES")</f>
        <v xml:space="preserve">   PREPARATIONS POUR SOUPES, POTAGES OU BOUILLONS; SOUPES, POTAGES OU BOUILLONS PREPARES</v>
      </c>
      <c r="C12185" s="4">
        <v>6320108.1600000001</v>
      </c>
      <c r="D12185" s="4">
        <v>2548968613</v>
      </c>
    </row>
    <row r="12186" spans="1:4" x14ac:dyDescent="0.25">
      <c r="A12186" t="str">
        <f>T("   210420")</f>
        <v xml:space="preserve">   210420</v>
      </c>
      <c r="B12186" t="str">
        <f>T("   PREPARATIONS ALIMENTAIRES COMPOSITES HOMOGENEISEES")</f>
        <v xml:space="preserve">   PREPARATIONS ALIMENTAIRES COMPOSITES HOMOGENEISEES</v>
      </c>
      <c r="C12186" s="4">
        <v>49721.3</v>
      </c>
      <c r="D12186" s="4">
        <v>143921066</v>
      </c>
    </row>
    <row r="12187" spans="1:4" x14ac:dyDescent="0.25">
      <c r="A12187" t="str">
        <f>T("   210500")</f>
        <v xml:space="preserve">   210500</v>
      </c>
      <c r="B12187" t="str">
        <f>T("   GLACES DE CONSOMMATION, MEME CONTENANT DU CACAO.")</f>
        <v xml:space="preserve">   GLACES DE CONSOMMATION, MEME CONTENANT DU CACAO.</v>
      </c>
      <c r="C12187" s="4">
        <v>3683311</v>
      </c>
      <c r="D12187" s="4">
        <v>1160339550</v>
      </c>
    </row>
    <row r="12188" spans="1:4" x14ac:dyDescent="0.25">
      <c r="A12188" t="str">
        <f>T("   210610")</f>
        <v xml:space="preserve">   210610</v>
      </c>
      <c r="B12188" t="str">
        <f>T("   CONCENTRATS DE PROTEINES ET SUBSTANCES PROTEIQUES TEXTUREES")</f>
        <v xml:space="preserve">   CONCENTRATS DE PROTEINES ET SUBSTANCES PROTEIQUES TEXTUREES</v>
      </c>
      <c r="C12188" s="4">
        <v>12068.5</v>
      </c>
      <c r="D12188" s="4">
        <v>3749702</v>
      </c>
    </row>
    <row r="12189" spans="1:4" x14ac:dyDescent="0.25">
      <c r="A12189" t="str">
        <f>T("   210690")</f>
        <v xml:space="preserve">   210690</v>
      </c>
      <c r="B12189" t="str">
        <f>T("   AUTRES")</f>
        <v xml:space="preserve">   AUTRES</v>
      </c>
      <c r="C12189" s="4">
        <v>755757.85</v>
      </c>
      <c r="D12189" s="4">
        <v>786862184</v>
      </c>
    </row>
    <row r="12190" spans="1:4" x14ac:dyDescent="0.25">
      <c r="A12190" t="str">
        <f>T("   220110")</f>
        <v xml:space="preserve">   220110</v>
      </c>
      <c r="B12190" t="str">
        <f>T("   EAUX MINERALES ET EAUX GAZEIFIEES")</f>
        <v xml:space="preserve">   EAUX MINERALES ET EAUX GAZEIFIEES</v>
      </c>
      <c r="C12190" s="4">
        <v>2188281.1</v>
      </c>
      <c r="D12190" s="4">
        <v>234029787</v>
      </c>
    </row>
    <row r="12191" spans="1:4" x14ac:dyDescent="0.25">
      <c r="A12191" t="str">
        <f>T("   220190")</f>
        <v xml:space="preserve">   220190</v>
      </c>
      <c r="B12191" t="str">
        <f>T("   AUTRES")</f>
        <v xml:space="preserve">   AUTRES</v>
      </c>
      <c r="C12191" s="4">
        <v>191561</v>
      </c>
      <c r="D12191" s="4">
        <v>32841991</v>
      </c>
    </row>
    <row r="12192" spans="1:4" x14ac:dyDescent="0.25">
      <c r="A12192" t="str">
        <f>T("   220210")</f>
        <v xml:space="preserve">   220210</v>
      </c>
      <c r="B12192" t="str">
        <f>T("   EAUX, Y COMPRIS LES EAUX MINERALES ET LES EAUX GAZEIFIEES, ADDITIONNEES DE SUCRE OU D")</f>
        <v xml:space="preserve">   EAUX, Y COMPRIS LES EAUX MINERALES ET LES EAUX GAZEIFIEES, ADDITIONNEES DE SUCRE OU D</v>
      </c>
      <c r="C12192" s="4">
        <v>6324804</v>
      </c>
      <c r="D12192" s="4">
        <v>1591855158</v>
      </c>
    </row>
    <row r="12193" spans="1:4" x14ac:dyDescent="0.25">
      <c r="A12193" t="str">
        <f>T("   220290")</f>
        <v xml:space="preserve">   220290</v>
      </c>
      <c r="B12193" t="str">
        <f>T("   AUTRES")</f>
        <v xml:space="preserve">   AUTRES</v>
      </c>
      <c r="C12193" s="4">
        <v>13358924.539999999</v>
      </c>
      <c r="D12193" s="4">
        <v>2485396893</v>
      </c>
    </row>
    <row r="12194" spans="1:4" x14ac:dyDescent="0.25">
      <c r="A12194" t="str">
        <f>T("   220300")</f>
        <v xml:space="preserve">   220300</v>
      </c>
      <c r="B12194" t="str">
        <f>T("   BIERES DE MALT.")</f>
        <v xml:space="preserve">   BIERES DE MALT.</v>
      </c>
      <c r="C12194" s="4">
        <v>11757029.15</v>
      </c>
      <c r="D12194" s="4">
        <v>2136633000</v>
      </c>
    </row>
    <row r="12195" spans="1:4" x14ac:dyDescent="0.25">
      <c r="A12195" t="str">
        <f>T("   220410")</f>
        <v xml:space="preserve">   220410</v>
      </c>
      <c r="B12195" t="str">
        <f>T("   Vins mousseux")</f>
        <v xml:space="preserve">   Vins mousseux</v>
      </c>
      <c r="C12195" s="4">
        <v>41660</v>
      </c>
      <c r="D12195" s="4">
        <v>54240671</v>
      </c>
    </row>
    <row r="12196" spans="1:4" x14ac:dyDescent="0.25">
      <c r="A12196" t="str">
        <f>T("   220421")</f>
        <v xml:space="preserve">   220421</v>
      </c>
      <c r="B12196" t="str">
        <f>T("   EN RECIPIENTS D'UNE CONTENANCE N'EXCEDANT PAS 2 L")</f>
        <v xml:space="preserve">   EN RECIPIENTS D'UNE CONTENANCE N'EXCEDANT PAS 2 L</v>
      </c>
      <c r="C12196" s="4">
        <v>1821773</v>
      </c>
      <c r="D12196" s="4">
        <v>421285503</v>
      </c>
    </row>
    <row r="12197" spans="1:4" x14ac:dyDescent="0.25">
      <c r="A12197" t="str">
        <f>T("   220429")</f>
        <v xml:space="preserve">   220429</v>
      </c>
      <c r="B12197" t="str">
        <f>T("   AUTRES")</f>
        <v xml:space="preserve">   AUTRES</v>
      </c>
      <c r="C12197" s="4">
        <v>1375677.62</v>
      </c>
      <c r="D12197" s="4">
        <v>274381066</v>
      </c>
    </row>
    <row r="12198" spans="1:4" x14ac:dyDescent="0.25">
      <c r="A12198" t="str">
        <f>T("   220430")</f>
        <v xml:space="preserve">   220430</v>
      </c>
      <c r="B12198" t="str">
        <f>T("   AUTRES MOUTS DE RAISIN")</f>
        <v xml:space="preserve">   AUTRES MOUTS DE RAISIN</v>
      </c>
      <c r="C12198" s="4">
        <v>1181</v>
      </c>
      <c r="D12198" s="4">
        <v>754213</v>
      </c>
    </row>
    <row r="12199" spans="1:4" x14ac:dyDescent="0.25">
      <c r="A12199" t="str">
        <f>T("   220510")</f>
        <v xml:space="preserve">   220510</v>
      </c>
      <c r="B12199" t="str">
        <f>T("   EN RECIPIENTS D'UNE CONTENANCE N'EXCEDANT PAS 2 L")</f>
        <v xml:space="preserve">   EN RECIPIENTS D'UNE CONTENANCE N'EXCEDANT PAS 2 L</v>
      </c>
      <c r="C12199" s="4">
        <v>327487</v>
      </c>
      <c r="D12199" s="4">
        <v>50588487</v>
      </c>
    </row>
    <row r="12200" spans="1:4" x14ac:dyDescent="0.25">
      <c r="A12200" t="str">
        <f>T("   220590")</f>
        <v xml:space="preserve">   220590</v>
      </c>
      <c r="B12200" t="str">
        <f>T("   AUTRES")</f>
        <v xml:space="preserve">   AUTRES</v>
      </c>
      <c r="C12200" s="4">
        <v>64176</v>
      </c>
      <c r="D12200" s="4">
        <v>17749100</v>
      </c>
    </row>
    <row r="12201" spans="1:4" x14ac:dyDescent="0.25">
      <c r="A12201" t="str">
        <f>T("   220600")</f>
        <v xml:space="preserve">   220600</v>
      </c>
      <c r="B12201" t="str">
        <f>T("   AUTRES BOISSONS FERMENTEES (CIDRE, POIRE, HYDROMEL, PAR EXEMPLE); MELANGES DE BOISSONS")</f>
        <v xml:space="preserve">   AUTRES BOISSONS FERMENTEES (CIDRE, POIRE, HYDROMEL, PAR EXEMPLE); MELANGES DE BOISSONS</v>
      </c>
      <c r="C12201" s="4">
        <v>1372951</v>
      </c>
      <c r="D12201" s="4">
        <v>261560834</v>
      </c>
    </row>
    <row r="12202" spans="1:4" x14ac:dyDescent="0.25">
      <c r="A12202" t="str">
        <f>T("   220710")</f>
        <v xml:space="preserve">   220710</v>
      </c>
      <c r="B12202" t="str">
        <f>T("   ALCOOL ETHYLIQUE NON DENATURE D'UN TITRE ALCOOMETRIQUE +VOLUMIQUE DE 80 % VOL OU PLUS")</f>
        <v xml:space="preserve">   ALCOOL ETHYLIQUE NON DENATURE D'UN TITRE ALCOOMETRIQUE +VOLUMIQUE DE 80 % VOL OU PLUS</v>
      </c>
      <c r="C12202" s="4">
        <v>595030</v>
      </c>
      <c r="D12202" s="4">
        <v>82409469</v>
      </c>
    </row>
    <row r="12203" spans="1:4" x14ac:dyDescent="0.25">
      <c r="A12203" t="str">
        <f>T("   220720")</f>
        <v xml:space="preserve">   220720</v>
      </c>
      <c r="B12203" t="str">
        <f>T("   ALCOOL ETHYLIQUE ET EAUXDEVIE DENATURES DE TOUS TITRES")</f>
        <v xml:space="preserve">   ALCOOL ETHYLIQUE ET EAUXDEVIE DENATURES DE TOUS TITRES</v>
      </c>
      <c r="C12203" s="4">
        <v>10</v>
      </c>
      <c r="D12203" s="4">
        <v>132504</v>
      </c>
    </row>
    <row r="12204" spans="1:4" x14ac:dyDescent="0.25">
      <c r="A12204" t="str">
        <f>T("   220810")</f>
        <v xml:space="preserve">   220810</v>
      </c>
      <c r="B12204" t="str">
        <f>T("   PREPARATIONS ALCOOLIQUES COMPOSEES POUR FABRICATION DES BOISSONS")</f>
        <v xml:space="preserve">   PREPARATIONS ALCOOLIQUES COMPOSEES POUR FABRICATION DES BOISSONS</v>
      </c>
      <c r="C12204" s="4">
        <v>1060</v>
      </c>
      <c r="D12204" s="4">
        <v>71832</v>
      </c>
    </row>
    <row r="12205" spans="1:4" x14ac:dyDescent="0.25">
      <c r="A12205" t="str">
        <f>T("   220830")</f>
        <v xml:space="preserve">   220830</v>
      </c>
      <c r="B12205" t="str">
        <f>T("   Whiskies")</f>
        <v xml:space="preserve">   Whiskies</v>
      </c>
      <c r="C12205" s="4">
        <v>199414</v>
      </c>
      <c r="D12205" s="4">
        <v>30574644</v>
      </c>
    </row>
    <row r="12206" spans="1:4" x14ac:dyDescent="0.25">
      <c r="A12206" t="str">
        <f>T("   220840")</f>
        <v xml:space="preserve">   220840</v>
      </c>
      <c r="B12206" t="str">
        <f>T("   RHUM ET AUTRES EAUXDEVIE PROVENANT DE LA DISTILLATION, APRES FERMENTATION, DE PRODU")</f>
        <v xml:space="preserve">   RHUM ET AUTRES EAUXDEVIE PROVENANT DE LA DISTILLATION, APRES FERMENTATION, DE PRODU</v>
      </c>
      <c r="C12206" s="4">
        <v>38940</v>
      </c>
      <c r="D12206" s="4">
        <v>13939762</v>
      </c>
    </row>
    <row r="12207" spans="1:4" x14ac:dyDescent="0.25">
      <c r="A12207" t="str">
        <f>T("   220850")</f>
        <v xml:space="preserve">   220850</v>
      </c>
      <c r="B12207" t="str">
        <f>T("   GIN ET GENIEVRE")</f>
        <v xml:space="preserve">   GIN ET GENIEVRE</v>
      </c>
      <c r="C12207" s="4">
        <v>310722</v>
      </c>
      <c r="D12207" s="4">
        <v>53334024</v>
      </c>
    </row>
    <row r="12208" spans="1:4" x14ac:dyDescent="0.25">
      <c r="A12208" t="str">
        <f>T("   220860")</f>
        <v xml:space="preserve">   220860</v>
      </c>
      <c r="B12208" t="str">
        <f>T("   VODKA")</f>
        <v xml:space="preserve">   VODKA</v>
      </c>
      <c r="C12208" s="4">
        <v>34806</v>
      </c>
      <c r="D12208" s="4">
        <v>5369556</v>
      </c>
    </row>
    <row r="12209" spans="1:4" x14ac:dyDescent="0.25">
      <c r="A12209" t="str">
        <f>T("   220870")</f>
        <v xml:space="preserve">   220870</v>
      </c>
      <c r="B12209" t="str">
        <f>T("   LIQUEURS")</f>
        <v xml:space="preserve">   LIQUEURS</v>
      </c>
      <c r="C12209" s="4">
        <v>458707</v>
      </c>
      <c r="D12209" s="4">
        <v>109589863</v>
      </c>
    </row>
    <row r="12210" spans="1:4" x14ac:dyDescent="0.25">
      <c r="A12210" t="str">
        <f>T("   220890")</f>
        <v xml:space="preserve">   220890</v>
      </c>
      <c r="B12210" t="str">
        <f>T("   AUTRES")</f>
        <v xml:space="preserve">   AUTRES</v>
      </c>
      <c r="C12210" s="4">
        <v>2032792</v>
      </c>
      <c r="D12210" s="4">
        <v>278004247</v>
      </c>
    </row>
    <row r="12211" spans="1:4" x14ac:dyDescent="0.25">
      <c r="A12211" t="str">
        <f>T("   220900")</f>
        <v xml:space="preserve">   220900</v>
      </c>
      <c r="B12211" t="str">
        <f>T("   VINAIGRES COMESTIBLES ET SUCCEDANES DE VINAIGRE COMESTIBLES OBTENUS A PARTIR D'ACIDE AC")</f>
        <v xml:space="preserve">   VINAIGRES COMESTIBLES ET SUCCEDANES DE VINAIGRE COMESTIBLES OBTENUS A PARTIR D'ACIDE AC</v>
      </c>
      <c r="C12211" s="4">
        <v>23340</v>
      </c>
      <c r="D12211" s="4">
        <v>6114292</v>
      </c>
    </row>
    <row r="12212" spans="1:4" x14ac:dyDescent="0.25">
      <c r="A12212" t="str">
        <f>T("   230110")</f>
        <v xml:space="preserve">   230110</v>
      </c>
      <c r="B12212" t="str">
        <f>T("   FARINES, POUDRES ET AGGLOMERES SOUS FORME DE PELLETS, DE VIANDES OU D'ABATS; CRETONS")</f>
        <v xml:space="preserve">   FARINES, POUDRES ET AGGLOMERES SOUS FORME DE PELLETS, DE VIANDES OU D'ABATS; CRETONS</v>
      </c>
      <c r="C12212" s="4">
        <v>778</v>
      </c>
      <c r="D12212" s="4">
        <v>101018</v>
      </c>
    </row>
    <row r="12213" spans="1:4" x14ac:dyDescent="0.25">
      <c r="A12213" t="str">
        <f>T("   230120")</f>
        <v xml:space="preserve">   230120</v>
      </c>
      <c r="B12213" t="str">
        <f>T("   FARINES, POUDRES ET AGGLOMERES SOUS FORME DE PELLETS, DE POISSONS OU DE CRUSTACES, DE")</f>
        <v xml:space="preserve">   FARINES, POUDRES ET AGGLOMERES SOUS FORME DE PELLETS, DE POISSONS OU DE CRUSTACES, DE</v>
      </c>
      <c r="C12213" s="4">
        <v>1752090</v>
      </c>
      <c r="D12213" s="4">
        <v>190141845</v>
      </c>
    </row>
    <row r="12214" spans="1:4" x14ac:dyDescent="0.25">
      <c r="A12214" t="str">
        <f>T("   230230")</f>
        <v xml:space="preserve">   230230</v>
      </c>
      <c r="B12214" t="str">
        <f>T("   DE FROMENT")</f>
        <v xml:space="preserve">   DE FROMENT</v>
      </c>
      <c r="C12214" s="4">
        <v>4029685</v>
      </c>
      <c r="D12214" s="4">
        <v>220947384</v>
      </c>
    </row>
    <row r="12215" spans="1:4" x14ac:dyDescent="0.25">
      <c r="A12215" t="str">
        <f>T("   230240")</f>
        <v xml:space="preserve">   230240</v>
      </c>
      <c r="B12215" t="str">
        <f>T("   D'AUTRES CEREALES")</f>
        <v xml:space="preserve">   D'AUTRES CEREALES</v>
      </c>
      <c r="C12215" s="4">
        <v>138790</v>
      </c>
      <c r="D12215" s="4">
        <v>6005373</v>
      </c>
    </row>
    <row r="12216" spans="1:4" x14ac:dyDescent="0.25">
      <c r="A12216" t="str">
        <f>T("   230310")</f>
        <v xml:space="preserve">   230310</v>
      </c>
      <c r="B12216" t="str">
        <f>T("   RESIDUS D'AMIDONNERIE ET RESIDUS SIMILAIRES")</f>
        <v xml:space="preserve">   RESIDUS D'AMIDONNERIE ET RESIDUS SIMILAIRES</v>
      </c>
      <c r="C12216" s="4">
        <v>20000</v>
      </c>
      <c r="D12216" s="4">
        <v>800000</v>
      </c>
    </row>
    <row r="12217" spans="1:4" x14ac:dyDescent="0.25">
      <c r="A12217" t="str">
        <f>T("   230400")</f>
        <v xml:space="preserve">   230400</v>
      </c>
      <c r="B12217" t="str">
        <f>T("   TOURTEAUX ET AUTRES RESIDUS SOLIDES, MEME BROYES OU AGGLOMERES SOUS FORME DE PELLETS, D")</f>
        <v xml:space="preserve">   TOURTEAUX ET AUTRES RESIDUS SOLIDES, MEME BROYES OU AGGLOMERES SOUS FORME DE PELLETS, D</v>
      </c>
      <c r="C12217" s="4">
        <v>257954</v>
      </c>
      <c r="D12217" s="4">
        <v>41698704</v>
      </c>
    </row>
    <row r="12218" spans="1:4" x14ac:dyDescent="0.25">
      <c r="A12218" t="str">
        <f>T("   230610")</f>
        <v xml:space="preserve">   230610</v>
      </c>
      <c r="B12218" t="str">
        <f>T("   DE GRAINES DE COTON")</f>
        <v xml:space="preserve">   DE GRAINES DE COTON</v>
      </c>
      <c r="C12218" s="4">
        <v>62160</v>
      </c>
      <c r="D12218" s="4">
        <v>7645000</v>
      </c>
    </row>
    <row r="12219" spans="1:4" x14ac:dyDescent="0.25">
      <c r="A12219" t="str">
        <f>T("   230650")</f>
        <v xml:space="preserve">   230650</v>
      </c>
      <c r="B12219" t="str">
        <f>T("   DE NOIX DE COCO OU DE COPRAH")</f>
        <v xml:space="preserve">   DE NOIX DE COCO OU DE COPRAH</v>
      </c>
      <c r="C12219" s="4">
        <v>54220</v>
      </c>
      <c r="D12219" s="4">
        <v>2798578</v>
      </c>
    </row>
    <row r="12220" spans="1:4" x14ac:dyDescent="0.25">
      <c r="A12220" t="str">
        <f>T("   230660")</f>
        <v xml:space="preserve">   230660</v>
      </c>
      <c r="B12220" t="str">
        <f>T("   DE NOIX OU D'AMANDES DE PALMISTE")</f>
        <v xml:space="preserve">   DE NOIX OU D'AMANDES DE PALMISTE</v>
      </c>
      <c r="C12220" s="4">
        <v>92400</v>
      </c>
      <c r="D12220" s="4">
        <v>2718584</v>
      </c>
    </row>
    <row r="12221" spans="1:4" x14ac:dyDescent="0.25">
      <c r="A12221" t="str">
        <f>T("   230690")</f>
        <v xml:space="preserve">   230690</v>
      </c>
      <c r="B12221" t="str">
        <f>T("   AUTRES")</f>
        <v xml:space="preserve">   AUTRES</v>
      </c>
      <c r="C12221" s="4">
        <v>50000</v>
      </c>
      <c r="D12221" s="4">
        <v>2000000</v>
      </c>
    </row>
    <row r="12222" spans="1:4" x14ac:dyDescent="0.25">
      <c r="A12222" t="str">
        <f>T("   230800")</f>
        <v xml:space="preserve">   230800</v>
      </c>
      <c r="B12222" t="str">
        <f>T("   MATIERES VEGETALES ET DECHETS VEGETAUX, RESIDUS ET SOUSPRODUITS VEGETAUX, MEME AGGLOME")</f>
        <v xml:space="preserve">   MATIERES VEGETALES ET DECHETS VEGETAUX, RESIDUS ET SOUSPRODUITS VEGETAUX, MEME AGGLOME</v>
      </c>
      <c r="C12222" s="4">
        <v>16335</v>
      </c>
      <c r="D12222" s="4">
        <v>6067160</v>
      </c>
    </row>
    <row r="12223" spans="1:4" x14ac:dyDescent="0.25">
      <c r="A12223" t="str">
        <f>T("   230910")</f>
        <v xml:space="preserve">   230910</v>
      </c>
      <c r="B12223" t="str">
        <f>T("   ALIMENTS POUR CHIENS OU CHATS, CONDITIONNES POUR LA VENTE AU DETAIL")</f>
        <v xml:space="preserve">   ALIMENTS POUR CHIENS OU CHATS, CONDITIONNES POUR LA VENTE AU DETAIL</v>
      </c>
      <c r="C12223" s="4">
        <v>293723</v>
      </c>
      <c r="D12223" s="4">
        <v>196432941</v>
      </c>
    </row>
    <row r="12224" spans="1:4" x14ac:dyDescent="0.25">
      <c r="A12224" t="str">
        <f>T("   230990")</f>
        <v xml:space="preserve">   230990</v>
      </c>
      <c r="B12224" t="str">
        <f>T("   AUTRES")</f>
        <v xml:space="preserve">   AUTRES</v>
      </c>
      <c r="C12224" s="4">
        <v>2147018</v>
      </c>
      <c r="D12224" s="4">
        <v>1085565883</v>
      </c>
    </row>
    <row r="12225" spans="1:4" x14ac:dyDescent="0.25">
      <c r="A12225" t="str">
        <f>T("   240110")</f>
        <v xml:space="preserve">   240110</v>
      </c>
      <c r="B12225" t="str">
        <f>T("   TABACS NON ECOTES")</f>
        <v xml:space="preserve">   TABACS NON ECOTES</v>
      </c>
      <c r="C12225" s="4">
        <v>2520</v>
      </c>
      <c r="D12225" s="4">
        <v>581678</v>
      </c>
    </row>
    <row r="12226" spans="1:4" x14ac:dyDescent="0.25">
      <c r="A12226" t="str">
        <f>T("   240210")</f>
        <v xml:space="preserve">   240210</v>
      </c>
      <c r="B12226" t="str">
        <f>T("   CIGARES (Y COMPRIS CEUX A BOUTS COUPES) ET CIGARILLOS, CONTENANT DU TABAC")</f>
        <v xml:space="preserve">   CIGARES (Y COMPRIS CEUX A BOUTS COUPES) ET CIGARILLOS, CONTENANT DU TABAC</v>
      </c>
      <c r="C12226" s="4">
        <v>3</v>
      </c>
      <c r="D12226" s="4">
        <v>122879</v>
      </c>
    </row>
    <row r="12227" spans="1:4" x14ac:dyDescent="0.25">
      <c r="A12227" t="str">
        <f>T("   240220")</f>
        <v xml:space="preserve">   240220</v>
      </c>
      <c r="B12227" t="str">
        <f>T("   Cigarettes contenant du tabac")</f>
        <v xml:space="preserve">   Cigarettes contenant du tabac</v>
      </c>
      <c r="C12227" s="4">
        <v>1057351</v>
      </c>
      <c r="D12227" s="4">
        <v>2075161597</v>
      </c>
    </row>
    <row r="12228" spans="1:4" x14ac:dyDescent="0.25">
      <c r="A12228" t="str">
        <f>T("   240290")</f>
        <v xml:space="preserve">   240290</v>
      </c>
      <c r="B12228" t="str">
        <f>T("   AUTRES")</f>
        <v xml:space="preserve">   AUTRES</v>
      </c>
      <c r="C12228" s="4">
        <v>99083</v>
      </c>
      <c r="D12228" s="4">
        <v>8616045</v>
      </c>
    </row>
    <row r="12229" spans="1:4" x14ac:dyDescent="0.25">
      <c r="A12229" t="str">
        <f>T("   240310")</f>
        <v xml:space="preserve">   240310</v>
      </c>
      <c r="B12229" t="str">
        <f>T("   TABACS A FUMER,MEME CONTENANT DES SUCCEDANES DU TABAC,EN TOUTE PROPORTION")</f>
        <v xml:space="preserve">   TABACS A FUMER,MEME CONTENANT DES SUCCEDANES DU TABAC,EN TOUTE PROPORTION</v>
      </c>
      <c r="C12229" s="4">
        <v>5156</v>
      </c>
      <c r="D12229" s="4">
        <v>3768640</v>
      </c>
    </row>
    <row r="12230" spans="1:4" x14ac:dyDescent="0.25">
      <c r="A12230" t="str">
        <f>T("   240399")</f>
        <v xml:space="preserve">   240399</v>
      </c>
      <c r="B12230" t="str">
        <f>T("   AUTRES")</f>
        <v xml:space="preserve">   AUTRES</v>
      </c>
      <c r="C12230" s="4">
        <v>448</v>
      </c>
      <c r="D12230" s="4">
        <v>285000</v>
      </c>
    </row>
    <row r="12231" spans="1:4" x14ac:dyDescent="0.25">
      <c r="A12231" t="str">
        <f>T("   250100")</f>
        <v xml:space="preserve">   250100</v>
      </c>
      <c r="B12231" t="str">
        <f>T("   SEL (Y COMPRIS LE SEL PREPARE POUR LA TABLE ET LE SEL DENATURE) ET CHLORURE DE SODIUM P")</f>
        <v xml:space="preserve">   SEL (Y COMPRIS LE SEL PREPARE POUR LA TABLE ET LE SEL DENATURE) ET CHLORURE DE SODIUM P</v>
      </c>
      <c r="C12231" s="4">
        <v>32694065</v>
      </c>
      <c r="D12231" s="4">
        <v>1987078444</v>
      </c>
    </row>
    <row r="12232" spans="1:4" x14ac:dyDescent="0.25">
      <c r="A12232" t="str">
        <f>T("   250490")</f>
        <v xml:space="preserve">   250490</v>
      </c>
      <c r="B12232" t="str">
        <f>T("   AUTRE")</f>
        <v xml:space="preserve">   AUTRE</v>
      </c>
      <c r="C12232" s="4">
        <v>40</v>
      </c>
      <c r="D12232" s="4">
        <v>50000</v>
      </c>
    </row>
    <row r="12233" spans="1:4" x14ac:dyDescent="0.25">
      <c r="A12233" t="str">
        <f>T("   250510")</f>
        <v xml:space="preserve">   250510</v>
      </c>
      <c r="B12233" t="str">
        <f>T("   SABLES SILICEUX ET SABLES QUARTZEUX")</f>
        <v xml:space="preserve">   SABLES SILICEUX ET SABLES QUARTZEUX</v>
      </c>
      <c r="C12233" s="4">
        <v>25571</v>
      </c>
      <c r="D12233" s="4">
        <v>6906667</v>
      </c>
    </row>
    <row r="12234" spans="1:4" x14ac:dyDescent="0.25">
      <c r="A12234" t="str">
        <f>T("   250590")</f>
        <v xml:space="preserve">   250590</v>
      </c>
      <c r="B12234" t="str">
        <f>T("   AUTRES SABLES")</f>
        <v xml:space="preserve">   AUTRES SABLES</v>
      </c>
      <c r="C12234" s="4">
        <v>159607</v>
      </c>
      <c r="D12234" s="4">
        <v>55914084</v>
      </c>
    </row>
    <row r="12235" spans="1:4" x14ac:dyDescent="0.25">
      <c r="A12235" t="str">
        <f>T("   250610")</f>
        <v xml:space="preserve">   250610</v>
      </c>
      <c r="B12235" t="str">
        <f>T("   QUARTZ")</f>
        <v xml:space="preserve">   QUARTZ</v>
      </c>
      <c r="C12235" s="4">
        <v>400000</v>
      </c>
      <c r="D12235" s="4">
        <v>15932672</v>
      </c>
    </row>
    <row r="12236" spans="1:4" x14ac:dyDescent="0.25">
      <c r="A12236" t="str">
        <f>T("   250700")</f>
        <v xml:space="preserve">   250700</v>
      </c>
      <c r="B12236" t="str">
        <f>T("   KAOLIN ET AUTRES ARGILES KAOLINIQUES, MEME CALCINES.")</f>
        <v xml:space="preserve">   KAOLIN ET AUTRES ARGILES KAOLINIQUES, MEME CALCINES.</v>
      </c>
      <c r="C12236" s="4">
        <v>174465</v>
      </c>
      <c r="D12236" s="4">
        <v>15731735</v>
      </c>
    </row>
    <row r="12237" spans="1:4" x14ac:dyDescent="0.25">
      <c r="A12237" t="str">
        <f>T("   250810")</f>
        <v xml:space="preserve">   250810</v>
      </c>
      <c r="B12237" t="str">
        <f>T("   BENTONITE")</f>
        <v xml:space="preserve">   BENTONITE</v>
      </c>
      <c r="C12237" s="4">
        <v>65250</v>
      </c>
      <c r="D12237" s="4">
        <v>20048617</v>
      </c>
    </row>
    <row r="12238" spans="1:4" x14ac:dyDescent="0.25">
      <c r="A12238" t="str">
        <f>T("   250840")</f>
        <v xml:space="preserve">   250840</v>
      </c>
      <c r="B12238" t="str">
        <f>T("   AUTRES ARGILES")</f>
        <v xml:space="preserve">   AUTRES ARGILES</v>
      </c>
      <c r="C12238" s="4">
        <v>57784</v>
      </c>
      <c r="D12238" s="4">
        <v>31368831</v>
      </c>
    </row>
    <row r="12239" spans="1:4" x14ac:dyDescent="0.25">
      <c r="A12239" t="str">
        <f>T("   250900")</f>
        <v xml:space="preserve">   250900</v>
      </c>
      <c r="B12239" t="str">
        <f>T("   CRAIE.")</f>
        <v xml:space="preserve">   CRAIE.</v>
      </c>
      <c r="C12239" s="4">
        <v>420</v>
      </c>
      <c r="D12239" s="4">
        <v>254425</v>
      </c>
    </row>
    <row r="12240" spans="1:4" x14ac:dyDescent="0.25">
      <c r="A12240" t="str">
        <f>T("   251010")</f>
        <v xml:space="preserve">   251010</v>
      </c>
      <c r="B12240" t="str">
        <f>T("   NON MOULUS")</f>
        <v xml:space="preserve">   NON MOULUS</v>
      </c>
      <c r="C12240" s="4">
        <v>387000</v>
      </c>
      <c r="D12240" s="4">
        <v>93095534</v>
      </c>
    </row>
    <row r="12241" spans="1:4" x14ac:dyDescent="0.25">
      <c r="A12241" t="str">
        <f>T("   251200")</f>
        <v xml:space="preserve">   251200</v>
      </c>
      <c r="B12241" t="str">
        <f>T("   FARINES SILICEUSES FOSSILES (KIESELGUHR, TRIPOLITE, DIATOMITE, PAR EXEMPLE) ET AUTRES T")</f>
        <v xml:space="preserve">   FARINES SILICEUSES FOSSILES (KIESELGUHR, TRIPOLITE, DIATOMITE, PAR EXEMPLE) ET AUTRES T</v>
      </c>
      <c r="C12241" s="4">
        <v>101493</v>
      </c>
      <c r="D12241" s="4">
        <v>55312798</v>
      </c>
    </row>
    <row r="12242" spans="1:4" x14ac:dyDescent="0.25">
      <c r="A12242" t="str">
        <f>T("   251311")</f>
        <v xml:space="preserve">   251311</v>
      </c>
      <c r="B12242" t="str">
        <f>T("   PIERRE PONCE,BRUTE OU EN MORCEAUX IRREGULIERS,YC LA PIERRE PONCE CONCASSEE")</f>
        <v xml:space="preserve">   PIERRE PONCE,BRUTE OU EN MORCEAUX IRREGULIERS,YC LA PIERRE PONCE CONCASSEE</v>
      </c>
      <c r="C12242" s="4">
        <v>2635</v>
      </c>
      <c r="D12242" s="4">
        <v>65875</v>
      </c>
    </row>
    <row r="12243" spans="1:4" x14ac:dyDescent="0.25">
      <c r="A12243" t="str">
        <f>T("   251512")</f>
        <v xml:space="preserve">   251512</v>
      </c>
      <c r="B12243" t="str">
        <f>T("   SIMPLEMENT DEBITES, PAR SCIAGE OU AUTREMENT, EN BLOCS OU EN PLAQUES DE FORME CARREE")</f>
        <v xml:space="preserve">   SIMPLEMENT DEBITES, PAR SCIAGE OU AUTREMENT, EN BLOCS OU EN PLAQUES DE FORME CARREE</v>
      </c>
      <c r="C12243" s="4">
        <v>200</v>
      </c>
      <c r="D12243" s="4">
        <v>35180</v>
      </c>
    </row>
    <row r="12244" spans="1:4" x14ac:dyDescent="0.25">
      <c r="A12244" t="str">
        <f>T("   251611")</f>
        <v xml:space="preserve">   251611</v>
      </c>
      <c r="B12244" t="str">
        <f>T("   BRUT OU DEGROSSI")</f>
        <v xml:space="preserve">   BRUT OU DEGROSSI</v>
      </c>
      <c r="C12244" s="4">
        <v>10000</v>
      </c>
      <c r="D12244" s="4">
        <v>123134</v>
      </c>
    </row>
    <row r="12245" spans="1:4" x14ac:dyDescent="0.25">
      <c r="A12245" t="str">
        <f>T("   251690")</f>
        <v xml:space="preserve">   251690</v>
      </c>
      <c r="B12245" t="str">
        <f>T("   AUTRES PIERRES DE TAILLE OU DE CONSTRUCTION")</f>
        <v xml:space="preserve">   AUTRES PIERRES DE TAILLE OU DE CONSTRUCTION</v>
      </c>
      <c r="C12245" s="4">
        <v>26500</v>
      </c>
      <c r="D12245" s="4">
        <v>18136081</v>
      </c>
    </row>
    <row r="12246" spans="1:4" x14ac:dyDescent="0.25">
      <c r="A12246" t="str">
        <f>T("   251710")</f>
        <v xml:space="preserve">   251710</v>
      </c>
      <c r="B12246" t="str">
        <f>T("   CAILLOUX, GRAVIERS, PIERRES CONCASSEES, DES TYPES GENERALEMENT UTILISES POUR LE BETON")</f>
        <v xml:space="preserve">   CAILLOUX, GRAVIERS, PIERRES CONCASSEES, DES TYPES GENERALEMENT UTILISES POUR LE BETON</v>
      </c>
      <c r="C12246" s="4">
        <v>727484</v>
      </c>
      <c r="D12246" s="4">
        <v>9433372</v>
      </c>
    </row>
    <row r="12247" spans="1:4" x14ac:dyDescent="0.25">
      <c r="A12247" t="str">
        <f>T("   251749")</f>
        <v xml:space="preserve">   251749</v>
      </c>
      <c r="B12247" t="str">
        <f>T("   AUTRES")</f>
        <v xml:space="preserve">   AUTRES</v>
      </c>
      <c r="C12247" s="4">
        <v>1000</v>
      </c>
      <c r="D12247" s="4">
        <v>214861</v>
      </c>
    </row>
    <row r="12248" spans="1:4" x14ac:dyDescent="0.25">
      <c r="A12248" t="str">
        <f>T("   252010")</f>
        <v xml:space="preserve">   252010</v>
      </c>
      <c r="B12248" t="str">
        <f>T("   Gypse; anhydrite")</f>
        <v xml:space="preserve">   Gypse; anhydrite</v>
      </c>
      <c r="C12248" s="4">
        <v>99636000</v>
      </c>
      <c r="D12248" s="4">
        <v>1774661741</v>
      </c>
    </row>
    <row r="12249" spans="1:4" x14ac:dyDescent="0.25">
      <c r="A12249" t="str">
        <f>T("   252020")</f>
        <v xml:space="preserve">   252020</v>
      </c>
      <c r="B12249" t="str">
        <f>T("   PLATRES")</f>
        <v xml:space="preserve">   PLATRES</v>
      </c>
      <c r="C12249" s="4">
        <v>6113717</v>
      </c>
      <c r="D12249" s="4">
        <v>344310462</v>
      </c>
    </row>
    <row r="12250" spans="1:4" x14ac:dyDescent="0.25">
      <c r="A12250" t="str">
        <f>T("   252210")</f>
        <v xml:space="preserve">   252210</v>
      </c>
      <c r="B12250" t="str">
        <f>T("   CHAUX VIVE")</f>
        <v xml:space="preserve">   CHAUX VIVE</v>
      </c>
      <c r="C12250" s="4">
        <v>885865</v>
      </c>
      <c r="D12250" s="4">
        <v>122303900</v>
      </c>
    </row>
    <row r="12251" spans="1:4" x14ac:dyDescent="0.25">
      <c r="A12251" t="str">
        <f>T("   252220")</f>
        <v xml:space="preserve">   252220</v>
      </c>
      <c r="B12251" t="str">
        <f>T("   CHAUX ETEINTE")</f>
        <v xml:space="preserve">   CHAUX ETEINTE</v>
      </c>
      <c r="C12251" s="4">
        <v>242147</v>
      </c>
      <c r="D12251" s="4">
        <v>34048034</v>
      </c>
    </row>
    <row r="12252" spans="1:4" x14ac:dyDescent="0.25">
      <c r="A12252" t="str">
        <f>T("   252310")</f>
        <v xml:space="preserve">   252310</v>
      </c>
      <c r="B12252" t="str">
        <f>T("   CIMENTS NON PULVERISES DITS «CLINKERS»")</f>
        <v xml:space="preserve">   CIMENTS NON PULVERISES DITS «CLINKERS»</v>
      </c>
      <c r="C12252" s="4">
        <v>630124425.30999994</v>
      </c>
      <c r="D12252" s="4">
        <v>22054354885</v>
      </c>
    </row>
    <row r="12253" spans="1:4" x14ac:dyDescent="0.25">
      <c r="A12253" t="str">
        <f>T("   252321")</f>
        <v xml:space="preserve">   252321</v>
      </c>
      <c r="B12253" t="str">
        <f>T("   CIMENTS BLANCS, MEME COLORES ARTIFICIELLEMENT")</f>
        <v xml:space="preserve">   CIMENTS BLANCS, MEME COLORES ARTIFICIELLEMENT</v>
      </c>
      <c r="C12253" s="4">
        <v>1389468</v>
      </c>
      <c r="D12253" s="4">
        <v>104743921</v>
      </c>
    </row>
    <row r="12254" spans="1:4" x14ac:dyDescent="0.25">
      <c r="A12254" t="str">
        <f>T("   252329")</f>
        <v xml:space="preserve">   252329</v>
      </c>
      <c r="B12254" t="str">
        <f>T("   AUTRES")</f>
        <v xml:space="preserve">   AUTRES</v>
      </c>
      <c r="C12254" s="4">
        <v>12939009</v>
      </c>
      <c r="D12254" s="4">
        <v>800556707</v>
      </c>
    </row>
    <row r="12255" spans="1:4" x14ac:dyDescent="0.25">
      <c r="A12255" t="str">
        <f>T("   252390")</f>
        <v xml:space="preserve">   252390</v>
      </c>
      <c r="B12255" t="str">
        <f>T("   AUTRES CIMENTS HYDRAULIQUES")</f>
        <v xml:space="preserve">   AUTRES CIMENTS HYDRAULIQUES</v>
      </c>
      <c r="C12255" s="4">
        <v>1865</v>
      </c>
      <c r="D12255" s="4">
        <v>1106477</v>
      </c>
    </row>
    <row r="12256" spans="1:4" x14ac:dyDescent="0.25">
      <c r="A12256" t="str">
        <f>T("   252620")</f>
        <v xml:space="preserve">   252620</v>
      </c>
      <c r="B12256" t="str">
        <f>T("   BROYES OU PULVERISES")</f>
        <v xml:space="preserve">   BROYES OU PULVERISES</v>
      </c>
      <c r="C12256" s="4">
        <v>36820</v>
      </c>
      <c r="D12256" s="4">
        <v>10889126</v>
      </c>
    </row>
    <row r="12257" spans="1:4" x14ac:dyDescent="0.25">
      <c r="A12257" t="str">
        <f>T("   253090")</f>
        <v xml:space="preserve">   253090</v>
      </c>
      <c r="B12257" t="str">
        <f>T("   AUTRES")</f>
        <v xml:space="preserve">   AUTRES</v>
      </c>
      <c r="C12257" s="4">
        <v>100817</v>
      </c>
      <c r="D12257" s="4">
        <v>32604850</v>
      </c>
    </row>
    <row r="12258" spans="1:4" x14ac:dyDescent="0.25">
      <c r="A12258" t="str">
        <f>T("   260500")</f>
        <v xml:space="preserve">   260500</v>
      </c>
      <c r="B12258" t="str">
        <f>T("   MINERAIS DE COBALT ET LEURS CONCENTRES.")</f>
        <v xml:space="preserve">   MINERAIS DE COBALT ET LEURS CONCENTRES.</v>
      </c>
      <c r="C12258" s="4">
        <v>2700</v>
      </c>
      <c r="D12258" s="4">
        <v>3887744</v>
      </c>
    </row>
    <row r="12259" spans="1:4" x14ac:dyDescent="0.25">
      <c r="A12259" t="str">
        <f>T("   261800")</f>
        <v xml:space="preserve">   261800</v>
      </c>
      <c r="B12259" t="str">
        <f>T("   LAITIER GRANULE (SABLELAITIER) PROVENANT DE LA FABRICATION DE LA FONTE, DU FER OU DE L")</f>
        <v xml:space="preserve">   LAITIER GRANULE (SABLELAITIER) PROVENANT DE LA FABRICATION DE LA FONTE, DU FER OU DE L</v>
      </c>
      <c r="C12259" s="4">
        <v>72396000</v>
      </c>
      <c r="D12259" s="4">
        <v>1622475078</v>
      </c>
    </row>
    <row r="12260" spans="1:4" x14ac:dyDescent="0.25">
      <c r="A12260" t="str">
        <f>T("   261900")</f>
        <v xml:space="preserve">   261900</v>
      </c>
      <c r="B12260" t="str">
        <f>T("   SCORIES, LAITIERS (AUTRES QUE LE LAITIER GRANULE), BATTITURES ET AUTRES DECHETS DE LA F")</f>
        <v xml:space="preserve">   SCORIES, LAITIERS (AUTRES QUE LE LAITIER GRANULE), BATTITURES ET AUTRES DECHETS DE LA F</v>
      </c>
      <c r="C12260" s="4">
        <v>15249830</v>
      </c>
      <c r="D12260" s="4">
        <v>200460288</v>
      </c>
    </row>
    <row r="12261" spans="1:4" x14ac:dyDescent="0.25">
      <c r="A12261" t="str">
        <f>T("   270119")</f>
        <v xml:space="preserve">   270119</v>
      </c>
      <c r="B12261" t="str">
        <f>T("   AUTRES HOUILLES")</f>
        <v xml:space="preserve">   AUTRES HOUILLES</v>
      </c>
      <c r="C12261" s="4">
        <v>38320</v>
      </c>
      <c r="D12261" s="4">
        <v>43507256</v>
      </c>
    </row>
    <row r="12262" spans="1:4" x14ac:dyDescent="0.25">
      <c r="A12262" t="str">
        <f>T("   270500")</f>
        <v xml:space="preserve">   270500</v>
      </c>
      <c r="B12262" t="str">
        <f>T("   GAZ DE HOUILLE, GAZ A L'EAU, GAZ PAUVRE ET GAZ SIMILAIRES, A L'EXCLUSION DES GAZ DE PET")</f>
        <v xml:space="preserve">   GAZ DE HOUILLE, GAZ A L'EAU, GAZ PAUVRE ET GAZ SIMILAIRES, A L'EXCLUSION DES GAZ DE PET</v>
      </c>
      <c r="C12262" s="4">
        <v>17528</v>
      </c>
      <c r="D12262" s="4">
        <v>4276859</v>
      </c>
    </row>
    <row r="12263" spans="1:4" x14ac:dyDescent="0.25">
      <c r="A12263" t="str">
        <f>T("   270600")</f>
        <v xml:space="preserve">   270600</v>
      </c>
      <c r="B12263" t="str">
        <f>T("   GOUDRONS DE HOUILLE, DE LIGNITE OU DE TOURBE ET AUTRES GOUDRONS MINERAUX, MEME DESHYDRA")</f>
        <v xml:space="preserve">   GOUDRONS DE HOUILLE, DE LIGNITE OU DE TOURBE ET AUTRES GOUDRONS MINERAUX, MEME DESHYDRA</v>
      </c>
      <c r="C12263" s="4">
        <v>9708</v>
      </c>
      <c r="D12263" s="4">
        <v>7616352</v>
      </c>
    </row>
    <row r="12264" spans="1:4" x14ac:dyDescent="0.25">
      <c r="A12264" t="str">
        <f>T("   270730")</f>
        <v xml:space="preserve">   270730</v>
      </c>
      <c r="B12264" t="str">
        <f>T("   XYLOL (XYLENES)")</f>
        <v xml:space="preserve">   XYLOL (XYLENES)</v>
      </c>
      <c r="C12264" s="4">
        <v>5400</v>
      </c>
      <c r="D12264" s="4">
        <v>4419027</v>
      </c>
    </row>
    <row r="12265" spans="1:4" x14ac:dyDescent="0.25">
      <c r="A12265" t="str">
        <f>T("   270750")</f>
        <v xml:space="preserve">   270750</v>
      </c>
      <c r="B12265" t="str">
        <f>T("   AUTRES MELANGES D'HYDROCARBURES AROMATIQUES DISTILLANT 65 % OU PLUS DE LEUR VOLUME (Y")</f>
        <v xml:space="preserve">   AUTRES MELANGES D'HYDROCARBURES AROMATIQUES DISTILLANT 65 % OU PLUS DE LEUR VOLUME (Y</v>
      </c>
      <c r="C12265" s="4">
        <v>28823</v>
      </c>
      <c r="D12265" s="4">
        <v>39423196</v>
      </c>
    </row>
    <row r="12266" spans="1:4" x14ac:dyDescent="0.25">
      <c r="A12266" t="str">
        <f>T("   271000")</f>
        <v xml:space="preserve">   271000</v>
      </c>
      <c r="B12266" t="str">
        <f>T("   Huiles et preparations de petrole ou mineraux bitumineux a 70 % ou +")</f>
        <v xml:space="preserve">   Huiles et preparations de petrole ou mineraux bitumineux a 70 % ou +</v>
      </c>
      <c r="C12266" s="4">
        <v>22880</v>
      </c>
      <c r="D12266" s="4">
        <v>15370811</v>
      </c>
    </row>
    <row r="12267" spans="1:4" x14ac:dyDescent="0.25">
      <c r="A12267" t="str">
        <f>T("   271011")</f>
        <v xml:space="preserve">   271011</v>
      </c>
      <c r="B12267" t="str">
        <f>T("   HUILLES DE PETROLE OU D'ESSENCE")</f>
        <v xml:space="preserve">   HUILLES DE PETROLE OU D'ESSENCE</v>
      </c>
      <c r="C12267" s="4">
        <v>22883571</v>
      </c>
      <c r="D12267" s="4">
        <v>8012240500</v>
      </c>
    </row>
    <row r="12268" spans="1:4" x14ac:dyDescent="0.25">
      <c r="A12268" t="str">
        <f>T("   271019")</f>
        <v xml:space="preserve">   271019</v>
      </c>
      <c r="B12268" t="str">
        <f>T("   AUTRES")</f>
        <v xml:space="preserve">   AUTRES</v>
      </c>
      <c r="C12268" s="4">
        <v>155651517.56999999</v>
      </c>
      <c r="D12268" s="4">
        <v>54764704051</v>
      </c>
    </row>
    <row r="12269" spans="1:4" x14ac:dyDescent="0.25">
      <c r="A12269" t="str">
        <f>T("   271099")</f>
        <v xml:space="preserve">   271099</v>
      </c>
      <c r="B12269" t="str">
        <f>T("   AUTRES")</f>
        <v xml:space="preserve">   AUTRES</v>
      </c>
      <c r="C12269" s="4">
        <v>235686</v>
      </c>
      <c r="D12269" s="4">
        <v>108004243</v>
      </c>
    </row>
    <row r="12270" spans="1:4" x14ac:dyDescent="0.25">
      <c r="A12270" t="str">
        <f>T("   271112")</f>
        <v xml:space="preserve">   271112</v>
      </c>
      <c r="B12270" t="str">
        <f>T("   PROPANE")</f>
        <v xml:space="preserve">   PROPANE</v>
      </c>
      <c r="C12270" s="4">
        <v>1622</v>
      </c>
      <c r="D12270" s="4">
        <v>8182245</v>
      </c>
    </row>
    <row r="12271" spans="1:4" x14ac:dyDescent="0.25">
      <c r="A12271" t="str">
        <f>T("   271113")</f>
        <v xml:space="preserve">   271113</v>
      </c>
      <c r="B12271" t="str">
        <f>T("   BUTANES")</f>
        <v xml:space="preserve">   BUTANES</v>
      </c>
      <c r="C12271" s="4">
        <v>12185586</v>
      </c>
      <c r="D12271" s="4">
        <v>4276407449</v>
      </c>
    </row>
    <row r="12272" spans="1:4" x14ac:dyDescent="0.25">
      <c r="A12272" t="str">
        <f>T("   271119")</f>
        <v xml:space="preserve">   271119</v>
      </c>
      <c r="B12272" t="str">
        <f>T("   AUTRES")</f>
        <v xml:space="preserve">   AUTRES</v>
      </c>
      <c r="C12272" s="4">
        <v>6570</v>
      </c>
      <c r="D12272" s="4">
        <v>1846969</v>
      </c>
    </row>
    <row r="12273" spans="1:4" x14ac:dyDescent="0.25">
      <c r="A12273" t="str">
        <f>T("   271129")</f>
        <v xml:space="preserve">   271129</v>
      </c>
      <c r="B12273" t="str">
        <f>T("   AUTRES")</f>
        <v xml:space="preserve">   AUTRES</v>
      </c>
      <c r="C12273" s="4">
        <v>255858</v>
      </c>
      <c r="D12273" s="4">
        <v>20090083</v>
      </c>
    </row>
    <row r="12274" spans="1:4" x14ac:dyDescent="0.25">
      <c r="A12274" t="str">
        <f>T("   271210")</f>
        <v xml:space="preserve">   271210</v>
      </c>
      <c r="B12274" t="str">
        <f>T("   Vaseline")</f>
        <v xml:space="preserve">   Vaseline</v>
      </c>
      <c r="C12274" s="4">
        <v>17560</v>
      </c>
      <c r="D12274" s="4">
        <v>17909058</v>
      </c>
    </row>
    <row r="12275" spans="1:4" x14ac:dyDescent="0.25">
      <c r="A12275" t="str">
        <f>T("   271220")</f>
        <v xml:space="preserve">   271220</v>
      </c>
      <c r="B12275" t="str">
        <f>T("   PARAFFINE CONTENANT EN POIDS MOINS DE 0,75 % D'HUILE")</f>
        <v xml:space="preserve">   PARAFFINE CONTENANT EN POIDS MOINS DE 0,75 % D'HUILE</v>
      </c>
      <c r="C12275" s="4">
        <v>1011</v>
      </c>
      <c r="D12275" s="4">
        <v>1477970</v>
      </c>
    </row>
    <row r="12276" spans="1:4" x14ac:dyDescent="0.25">
      <c r="A12276" t="str">
        <f>T("   271311")</f>
        <v xml:space="preserve">   271311</v>
      </c>
      <c r="B12276" t="str">
        <f>T("   NON CALCINE")</f>
        <v xml:space="preserve">   NON CALCINE</v>
      </c>
      <c r="C12276" s="4">
        <v>27099400</v>
      </c>
      <c r="D12276" s="4">
        <v>1536386566</v>
      </c>
    </row>
    <row r="12277" spans="1:4" x14ac:dyDescent="0.25">
      <c r="A12277" t="str">
        <f>T("   271320")</f>
        <v xml:space="preserve">   271320</v>
      </c>
      <c r="B12277" t="str">
        <f>T("   BITUME DE PETROLE")</f>
        <v xml:space="preserve">   BITUME DE PETROLE</v>
      </c>
      <c r="C12277" s="4">
        <v>7479996</v>
      </c>
      <c r="D12277" s="4">
        <v>2781684423</v>
      </c>
    </row>
    <row r="12278" spans="1:4" x14ac:dyDescent="0.25">
      <c r="A12278" t="str">
        <f>T("   271500")</f>
        <v xml:space="preserve">   271500</v>
      </c>
      <c r="B12278" t="str">
        <f>T("   MELANGES BITUMINEUX A BASE D'ASPHALTE OU DE BITUME NATURELS, DE BITUME DE PETROLE, DE G")</f>
        <v xml:space="preserve">   MELANGES BITUMINEUX A BASE D'ASPHALTE OU DE BITUME NATURELS, DE BITUME DE PETROLE, DE G</v>
      </c>
      <c r="C12278" s="4">
        <v>117880</v>
      </c>
      <c r="D12278" s="4">
        <v>65906333</v>
      </c>
    </row>
    <row r="12279" spans="1:4" x14ac:dyDescent="0.25">
      <c r="A12279" t="str">
        <f>T("   271600")</f>
        <v xml:space="preserve">   271600</v>
      </c>
      <c r="B12279" t="str">
        <f>T("   ENERGIE ELECTRIQUE. (POSITION FACULTATIVE)")</f>
        <v xml:space="preserve">   ENERGIE ELECTRIQUE. (POSITION FACULTATIVE)</v>
      </c>
      <c r="C12279" s="4">
        <v>0</v>
      </c>
      <c r="D12279" s="4">
        <v>67125162978</v>
      </c>
    </row>
    <row r="12280" spans="1:4" x14ac:dyDescent="0.25">
      <c r="A12280" t="str">
        <f>T("   280110")</f>
        <v xml:space="preserve">   280110</v>
      </c>
      <c r="B12280" t="str">
        <f>T("   Chlore")</f>
        <v xml:space="preserve">   Chlore</v>
      </c>
      <c r="C12280" s="4">
        <v>14564</v>
      </c>
      <c r="D12280" s="4">
        <v>20144299</v>
      </c>
    </row>
    <row r="12281" spans="1:4" x14ac:dyDescent="0.25">
      <c r="A12281" t="str">
        <f>T("   280300")</f>
        <v xml:space="preserve">   280300</v>
      </c>
      <c r="B12281" t="str">
        <f>T("   CARBONE (NOIRS DE CARBONE ET AUTRES FORMES DE CARBONE NON DENOMMEES NI COMPRISES AILLEU")</f>
        <v xml:space="preserve">   CARBONE (NOIRS DE CARBONE ET AUTRES FORMES DE CARBONE NON DENOMMEES NI COMPRISES AILLEU</v>
      </c>
      <c r="C12281" s="4">
        <v>3891</v>
      </c>
      <c r="D12281" s="4">
        <v>6339123</v>
      </c>
    </row>
    <row r="12282" spans="1:4" x14ac:dyDescent="0.25">
      <c r="A12282" t="str">
        <f>T("   280410")</f>
        <v xml:space="preserve">   280410</v>
      </c>
      <c r="B12282" t="str">
        <f>T("   HYDROGENE")</f>
        <v xml:space="preserve">   HYDROGENE</v>
      </c>
      <c r="C12282" s="4">
        <v>1856</v>
      </c>
      <c r="D12282" s="4">
        <v>1475662</v>
      </c>
    </row>
    <row r="12283" spans="1:4" x14ac:dyDescent="0.25">
      <c r="A12283" t="str">
        <f>T("   280421")</f>
        <v xml:space="preserve">   280421</v>
      </c>
      <c r="B12283" t="str">
        <f>T("   Argon")</f>
        <v xml:space="preserve">   Argon</v>
      </c>
      <c r="C12283" s="4">
        <v>42800</v>
      </c>
      <c r="D12283" s="4">
        <v>24045999</v>
      </c>
    </row>
    <row r="12284" spans="1:4" x14ac:dyDescent="0.25">
      <c r="A12284" t="str">
        <f>T("   280429")</f>
        <v xml:space="preserve">   280429</v>
      </c>
      <c r="B12284" t="str">
        <f>T("   AUTRES")</f>
        <v xml:space="preserve">   AUTRES</v>
      </c>
      <c r="C12284" s="4">
        <v>59751</v>
      </c>
      <c r="D12284" s="4">
        <v>31748138</v>
      </c>
    </row>
    <row r="12285" spans="1:4" x14ac:dyDescent="0.25">
      <c r="A12285" t="str">
        <f>T("   280430")</f>
        <v xml:space="preserve">   280430</v>
      </c>
      <c r="B12285" t="str">
        <f>T("   Azote")</f>
        <v xml:space="preserve">   Azote</v>
      </c>
      <c r="C12285" s="4">
        <v>13544</v>
      </c>
      <c r="D12285" s="4">
        <v>11984945</v>
      </c>
    </row>
    <row r="12286" spans="1:4" x14ac:dyDescent="0.25">
      <c r="A12286" t="str">
        <f>T("   280440")</f>
        <v xml:space="preserve">   280440</v>
      </c>
      <c r="B12286" t="str">
        <f>T("   OXYGENE")</f>
        <v xml:space="preserve">   OXYGENE</v>
      </c>
      <c r="C12286" s="4">
        <v>193039</v>
      </c>
      <c r="D12286" s="4">
        <v>60075101</v>
      </c>
    </row>
    <row r="12287" spans="1:4" x14ac:dyDescent="0.25">
      <c r="A12287" t="str">
        <f>T("   280469")</f>
        <v xml:space="preserve">   280469</v>
      </c>
      <c r="B12287" t="str">
        <f>T("   AUTRE")</f>
        <v xml:space="preserve">   AUTRE</v>
      </c>
      <c r="C12287" s="4">
        <v>74922</v>
      </c>
      <c r="D12287" s="4">
        <v>36616805</v>
      </c>
    </row>
    <row r="12288" spans="1:4" x14ac:dyDescent="0.25">
      <c r="A12288" t="str">
        <f>T("   280512")</f>
        <v xml:space="preserve">   280512</v>
      </c>
      <c r="B12288" t="str">
        <f>T("   CALCIUM")</f>
        <v xml:space="preserve">   CALCIUM</v>
      </c>
      <c r="C12288" s="4">
        <v>8582</v>
      </c>
      <c r="D12288" s="4">
        <v>85452168</v>
      </c>
    </row>
    <row r="12289" spans="1:4" x14ac:dyDescent="0.25">
      <c r="A12289" t="str">
        <f>T("   280519")</f>
        <v xml:space="preserve">   280519</v>
      </c>
      <c r="B12289" t="str">
        <f>T("   AUTRES")</f>
        <v xml:space="preserve">   AUTRES</v>
      </c>
      <c r="C12289" s="4">
        <v>987</v>
      </c>
      <c r="D12289" s="4">
        <v>5987603</v>
      </c>
    </row>
    <row r="12290" spans="1:4" x14ac:dyDescent="0.25">
      <c r="A12290" t="str">
        <f>T("   280610")</f>
        <v xml:space="preserve">   280610</v>
      </c>
      <c r="B12290" t="str">
        <f>T("   CHLORURE D'HYDROGENE (ACIDE CHLORHYDRIQUE)")</f>
        <v xml:space="preserve">   CHLORURE D'HYDROGENE (ACIDE CHLORHYDRIQUE)</v>
      </c>
      <c r="C12290" s="4">
        <v>305266</v>
      </c>
      <c r="D12290" s="4">
        <v>49564174</v>
      </c>
    </row>
    <row r="12291" spans="1:4" x14ac:dyDescent="0.25">
      <c r="A12291" t="str">
        <f>T("   280700")</f>
        <v xml:space="preserve">   280700</v>
      </c>
      <c r="B12291" t="str">
        <f>T("   ACIDE SULFURIQUE; OLEUM.")</f>
        <v xml:space="preserve">   ACIDE SULFURIQUE; OLEUM.</v>
      </c>
      <c r="C12291" s="4">
        <v>168180</v>
      </c>
      <c r="D12291" s="4">
        <v>26971356</v>
      </c>
    </row>
    <row r="12292" spans="1:4" x14ac:dyDescent="0.25">
      <c r="A12292" t="str">
        <f>T("   280800")</f>
        <v xml:space="preserve">   280800</v>
      </c>
      <c r="B12292" t="str">
        <f>T("   ACIDE NITRIQUE; ACIDES SULFONITRIQUES.")</f>
        <v xml:space="preserve">   ACIDE NITRIQUE; ACIDES SULFONITRIQUES.</v>
      </c>
      <c r="C12292" s="4">
        <v>24120</v>
      </c>
      <c r="D12292" s="4">
        <v>7962915</v>
      </c>
    </row>
    <row r="12293" spans="1:4" x14ac:dyDescent="0.25">
      <c r="A12293" t="str">
        <f>T("   280920")</f>
        <v xml:space="preserve">   280920</v>
      </c>
      <c r="B12293" t="str">
        <f>T("   ACIDE PHOSPHORIQUE ET ACIDES POLYPHOSPHORIQUES")</f>
        <v xml:space="preserve">   ACIDE PHOSPHORIQUE ET ACIDES POLYPHOSPHORIQUES</v>
      </c>
      <c r="C12293" s="4">
        <v>25830</v>
      </c>
      <c r="D12293" s="4">
        <v>9062867</v>
      </c>
    </row>
    <row r="12294" spans="1:4" x14ac:dyDescent="0.25">
      <c r="A12294" t="str">
        <f>T("   281000")</f>
        <v xml:space="preserve">   281000</v>
      </c>
      <c r="B12294" t="str">
        <f>T("   OXYDES DE BORE; ACIDES BORIQUES.")</f>
        <v xml:space="preserve">   OXYDES DE BORE; ACIDES BORIQUES.</v>
      </c>
      <c r="C12294" s="4">
        <v>65</v>
      </c>
      <c r="D12294" s="4">
        <v>1560168</v>
      </c>
    </row>
    <row r="12295" spans="1:4" x14ac:dyDescent="0.25">
      <c r="A12295" t="str">
        <f>T("   281119")</f>
        <v xml:space="preserve">   281119</v>
      </c>
      <c r="B12295" t="str">
        <f>T("   AUTRES")</f>
        <v xml:space="preserve">   AUTRES</v>
      </c>
      <c r="C12295" s="4">
        <v>5387</v>
      </c>
      <c r="D12295" s="4">
        <v>4171906</v>
      </c>
    </row>
    <row r="12296" spans="1:4" x14ac:dyDescent="0.25">
      <c r="A12296" t="str">
        <f>T("   281121")</f>
        <v xml:space="preserve">   281121</v>
      </c>
      <c r="B12296" t="str">
        <f>T("   DIOXYDE DE CARBONE")</f>
        <v xml:space="preserve">   DIOXYDE DE CARBONE</v>
      </c>
      <c r="C12296" s="4">
        <v>11</v>
      </c>
      <c r="D12296" s="4">
        <v>103183</v>
      </c>
    </row>
    <row r="12297" spans="1:4" x14ac:dyDescent="0.25">
      <c r="A12297" t="str">
        <f>T("   281122")</f>
        <v xml:space="preserve">   281122</v>
      </c>
      <c r="B12297" t="str">
        <f>T("   Dioxyde de silicium")</f>
        <v xml:space="preserve">   Dioxyde de silicium</v>
      </c>
      <c r="C12297" s="4">
        <v>1140</v>
      </c>
      <c r="D12297" s="4">
        <v>367469</v>
      </c>
    </row>
    <row r="12298" spans="1:4" x14ac:dyDescent="0.25">
      <c r="A12298" t="str">
        <f>T("   281129")</f>
        <v xml:space="preserve">   281129</v>
      </c>
      <c r="B12298" t="str">
        <f>T("   AUTRES")</f>
        <v xml:space="preserve">   AUTRES</v>
      </c>
      <c r="C12298" s="4">
        <v>500</v>
      </c>
      <c r="D12298" s="4">
        <v>252731</v>
      </c>
    </row>
    <row r="12299" spans="1:4" x14ac:dyDescent="0.25">
      <c r="A12299" t="str">
        <f>T("   281410")</f>
        <v xml:space="preserve">   281410</v>
      </c>
      <c r="B12299" t="str">
        <f>T("   AMMONIAC ANHYDRE")</f>
        <v xml:space="preserve">   AMMONIAC ANHYDRE</v>
      </c>
      <c r="C12299" s="4">
        <v>14400</v>
      </c>
      <c r="D12299" s="4">
        <v>9780652</v>
      </c>
    </row>
    <row r="12300" spans="1:4" x14ac:dyDescent="0.25">
      <c r="A12300" t="str">
        <f>T("   281420")</f>
        <v xml:space="preserve">   281420</v>
      </c>
      <c r="B12300" t="str">
        <f>T("   AMMONIAC EN SOLUTION AQUEUSE (AMMONIAQUE)")</f>
        <v xml:space="preserve">   AMMONIAC EN SOLUTION AQUEUSE (AMMONIAQUE)</v>
      </c>
      <c r="C12300" s="4">
        <v>1334</v>
      </c>
      <c r="D12300" s="4">
        <v>1204461</v>
      </c>
    </row>
    <row r="12301" spans="1:4" x14ac:dyDescent="0.25">
      <c r="A12301" t="str">
        <f>T("   281511")</f>
        <v xml:space="preserve">   281511</v>
      </c>
      <c r="B12301" t="str">
        <f>T("   SOLIDE")</f>
        <v xml:space="preserve">   SOLIDE</v>
      </c>
      <c r="C12301" s="4">
        <v>2246460</v>
      </c>
      <c r="D12301" s="4">
        <v>338690336</v>
      </c>
    </row>
    <row r="12302" spans="1:4" x14ac:dyDescent="0.25">
      <c r="A12302" t="str">
        <f>T("   281512")</f>
        <v xml:space="preserve">   281512</v>
      </c>
      <c r="B12302" t="str">
        <f>T("   EN SOLUTION AQUEUSE (LESSIVE DE SOUDE CAUSTIQUE)")</f>
        <v xml:space="preserve">   EN SOLUTION AQUEUSE (LESSIVE DE SOUDE CAUSTIQUE)</v>
      </c>
      <c r="C12302" s="4">
        <v>1397056</v>
      </c>
      <c r="D12302" s="4">
        <v>13498399</v>
      </c>
    </row>
    <row r="12303" spans="1:4" x14ac:dyDescent="0.25">
      <c r="A12303" t="str">
        <f>T("   281530")</f>
        <v xml:space="preserve">   281530</v>
      </c>
      <c r="B12303" t="str">
        <f>T("   Peroxydes de sodium ou de potassium")</f>
        <v xml:space="preserve">   Peroxydes de sodium ou de potassium</v>
      </c>
      <c r="C12303" s="4">
        <v>75</v>
      </c>
      <c r="D12303" s="4">
        <v>99579</v>
      </c>
    </row>
    <row r="12304" spans="1:4" x14ac:dyDescent="0.25">
      <c r="A12304" t="str">
        <f>T("   282110")</f>
        <v xml:space="preserve">   282110</v>
      </c>
      <c r="B12304" t="str">
        <f>T("   Oxydes et hydroxydes de fer")</f>
        <v xml:space="preserve">   Oxydes et hydroxydes de fer</v>
      </c>
      <c r="C12304" s="4">
        <v>34839</v>
      </c>
      <c r="D12304" s="4">
        <v>33375360</v>
      </c>
    </row>
    <row r="12305" spans="1:4" x14ac:dyDescent="0.25">
      <c r="A12305" t="str">
        <f>T("   282300")</f>
        <v xml:space="preserve">   282300</v>
      </c>
      <c r="B12305" t="str">
        <f>T("   OXYDES DE TITANE.")</f>
        <v xml:space="preserve">   OXYDES DE TITANE.</v>
      </c>
      <c r="C12305" s="4">
        <v>57576</v>
      </c>
      <c r="D12305" s="4">
        <v>96518778</v>
      </c>
    </row>
    <row r="12306" spans="1:4" x14ac:dyDescent="0.25">
      <c r="A12306" t="str">
        <f>T("   282490")</f>
        <v xml:space="preserve">   282490</v>
      </c>
      <c r="B12306" t="str">
        <f>T("   AUTRES")</f>
        <v xml:space="preserve">   AUTRES</v>
      </c>
      <c r="C12306" s="4">
        <v>5100</v>
      </c>
      <c r="D12306" s="4">
        <v>8960827</v>
      </c>
    </row>
    <row r="12307" spans="1:4" x14ac:dyDescent="0.25">
      <c r="A12307" t="str">
        <f>T("   282720")</f>
        <v xml:space="preserve">   282720</v>
      </c>
      <c r="B12307" t="str">
        <f>T("   Chlorure de calcium")</f>
        <v xml:space="preserve">   Chlorure de calcium</v>
      </c>
      <c r="C12307" s="4">
        <v>12274</v>
      </c>
      <c r="D12307" s="4">
        <v>7934718</v>
      </c>
    </row>
    <row r="12308" spans="1:4" x14ac:dyDescent="0.25">
      <c r="A12308" t="str">
        <f>T("   282749")</f>
        <v xml:space="preserve">   282749</v>
      </c>
      <c r="B12308" t="str">
        <f>T("   AUTRES")</f>
        <v xml:space="preserve">   AUTRES</v>
      </c>
      <c r="C12308" s="4">
        <v>406</v>
      </c>
      <c r="D12308" s="4">
        <v>2334221</v>
      </c>
    </row>
    <row r="12309" spans="1:4" x14ac:dyDescent="0.25">
      <c r="A12309" t="str">
        <f>T("   282810")</f>
        <v xml:space="preserve">   282810</v>
      </c>
      <c r="B12309" t="str">
        <f>T("   Hypochlorite de calcium du commerce et autres hypochlorites de calcium")</f>
        <v xml:space="preserve">   Hypochlorite de calcium du commerce et autres hypochlorites de calcium</v>
      </c>
      <c r="C12309" s="4">
        <v>37069</v>
      </c>
      <c r="D12309" s="4">
        <v>13563003</v>
      </c>
    </row>
    <row r="12310" spans="1:4" x14ac:dyDescent="0.25">
      <c r="A12310" t="str">
        <f>T("   282890")</f>
        <v xml:space="preserve">   282890</v>
      </c>
      <c r="B12310" t="str">
        <f>T("   AUTRES")</f>
        <v xml:space="preserve">   AUTRES</v>
      </c>
      <c r="C12310" s="4">
        <v>732860</v>
      </c>
      <c r="D12310" s="4">
        <v>233615519</v>
      </c>
    </row>
    <row r="12311" spans="1:4" x14ac:dyDescent="0.25">
      <c r="A12311" t="str">
        <f>T("   283090")</f>
        <v xml:space="preserve">   283090</v>
      </c>
      <c r="B12311" t="str">
        <f>T("   AUTRES")</f>
        <v xml:space="preserve">   AUTRES</v>
      </c>
      <c r="C12311" s="4">
        <v>102000</v>
      </c>
      <c r="D12311" s="4">
        <v>46822638</v>
      </c>
    </row>
    <row r="12312" spans="1:4" x14ac:dyDescent="0.25">
      <c r="A12312" t="str">
        <f>T("   283210")</f>
        <v xml:space="preserve">   283210</v>
      </c>
      <c r="B12312" t="str">
        <f>T("   Sulfites de sodium")</f>
        <v xml:space="preserve">   Sulfites de sodium</v>
      </c>
      <c r="C12312" s="4">
        <v>302</v>
      </c>
      <c r="D12312" s="4">
        <v>850032</v>
      </c>
    </row>
    <row r="12313" spans="1:4" x14ac:dyDescent="0.25">
      <c r="A12313" t="str">
        <f>T("   283220")</f>
        <v xml:space="preserve">   283220</v>
      </c>
      <c r="B12313" t="str">
        <f>T("   Autres sulfites")</f>
        <v xml:space="preserve">   Autres sulfites</v>
      </c>
      <c r="C12313" s="4">
        <v>4242</v>
      </c>
      <c r="D12313" s="4">
        <v>10058332</v>
      </c>
    </row>
    <row r="12314" spans="1:4" x14ac:dyDescent="0.25">
      <c r="A12314" t="str">
        <f>T("   283322")</f>
        <v xml:space="preserve">   283322</v>
      </c>
      <c r="B12314" t="str">
        <f>T("   D'ALUMINIUM")</f>
        <v xml:space="preserve">   D'ALUMINIUM</v>
      </c>
      <c r="C12314" s="4">
        <v>230549</v>
      </c>
      <c r="D12314" s="4">
        <v>26805221</v>
      </c>
    </row>
    <row r="12315" spans="1:4" x14ac:dyDescent="0.25">
      <c r="A12315" t="str">
        <f>T("   283329")</f>
        <v xml:space="preserve">   283329</v>
      </c>
      <c r="B12315" t="str">
        <f>T("   AUTRES")</f>
        <v xml:space="preserve">   AUTRES</v>
      </c>
      <c r="C12315" s="4">
        <v>99453</v>
      </c>
      <c r="D12315" s="4">
        <v>8707554</v>
      </c>
    </row>
    <row r="12316" spans="1:4" x14ac:dyDescent="0.25">
      <c r="A12316" t="str">
        <f>T("   283429")</f>
        <v xml:space="preserve">   283429</v>
      </c>
      <c r="B12316" t="str">
        <f>T("   AUTRES")</f>
        <v xml:space="preserve">   AUTRES</v>
      </c>
      <c r="C12316" s="4">
        <v>37800</v>
      </c>
      <c r="D12316" s="4">
        <v>15968690</v>
      </c>
    </row>
    <row r="12317" spans="1:4" x14ac:dyDescent="0.25">
      <c r="A12317" t="str">
        <f>T("   283525")</f>
        <v xml:space="preserve">   283525</v>
      </c>
      <c r="B12317" t="str">
        <f>T("   HYDROGENOORTHOPHOSPHATE DE CALCIUM («PHOSPHATE DICALCIQUE»)")</f>
        <v xml:space="preserve">   HYDROGENOORTHOPHOSPHATE DE CALCIUM («PHOSPHATE DICALCIQUE»)</v>
      </c>
      <c r="C12317" s="4">
        <v>72250</v>
      </c>
      <c r="D12317" s="4">
        <v>11342205</v>
      </c>
    </row>
    <row r="12318" spans="1:4" x14ac:dyDescent="0.25">
      <c r="A12318" t="str">
        <f>T("   283529")</f>
        <v xml:space="preserve">   283529</v>
      </c>
      <c r="B12318" t="str">
        <f>T("   AUTRES")</f>
        <v xml:space="preserve">   AUTRES</v>
      </c>
      <c r="C12318" s="4">
        <v>700</v>
      </c>
      <c r="D12318" s="4">
        <v>2863265</v>
      </c>
    </row>
    <row r="12319" spans="1:4" x14ac:dyDescent="0.25">
      <c r="A12319" t="str">
        <f>T("   283539")</f>
        <v xml:space="preserve">   283539</v>
      </c>
      <c r="B12319" t="str">
        <f>T("   AUTRES")</f>
        <v xml:space="preserve">   AUTRES</v>
      </c>
      <c r="C12319" s="4">
        <v>1800</v>
      </c>
      <c r="D12319" s="4">
        <v>3362425</v>
      </c>
    </row>
    <row r="12320" spans="1:4" x14ac:dyDescent="0.25">
      <c r="A12320" t="str">
        <f>T("   283620")</f>
        <v xml:space="preserve">   283620</v>
      </c>
      <c r="B12320" t="str">
        <f>T("   Carbonate de disodium")</f>
        <v xml:space="preserve">   Carbonate de disodium</v>
      </c>
      <c r="C12320" s="4">
        <v>125300</v>
      </c>
      <c r="D12320" s="4">
        <v>989020</v>
      </c>
    </row>
    <row r="12321" spans="1:4" x14ac:dyDescent="0.25">
      <c r="A12321" t="str">
        <f>T("   283630")</f>
        <v xml:space="preserve">   283630</v>
      </c>
      <c r="B12321" t="str">
        <f>T("   HYDROGENOCARBONATE (BICARBONATE) DE SODIUM")</f>
        <v xml:space="preserve">   HYDROGENOCARBONATE (BICARBONATE) DE SODIUM</v>
      </c>
      <c r="C12321" s="4">
        <v>36580</v>
      </c>
      <c r="D12321" s="4">
        <v>10039560</v>
      </c>
    </row>
    <row r="12322" spans="1:4" x14ac:dyDescent="0.25">
      <c r="A12322" t="str">
        <f>T("   283650")</f>
        <v xml:space="preserve">   283650</v>
      </c>
      <c r="B12322" t="str">
        <f>T("   Carbonate de calcium")</f>
        <v xml:space="preserve">   Carbonate de calcium</v>
      </c>
      <c r="C12322" s="4">
        <v>4707788</v>
      </c>
      <c r="D12322" s="4">
        <v>409661035</v>
      </c>
    </row>
    <row r="12323" spans="1:4" x14ac:dyDescent="0.25">
      <c r="A12323" t="str">
        <f>T("   283699")</f>
        <v xml:space="preserve">   283699</v>
      </c>
      <c r="B12323" t="str">
        <f>T("   AUTRES")</f>
        <v xml:space="preserve">   AUTRES</v>
      </c>
      <c r="C12323" s="4">
        <v>2896</v>
      </c>
      <c r="D12323" s="4">
        <v>6351814</v>
      </c>
    </row>
    <row r="12324" spans="1:4" x14ac:dyDescent="0.25">
      <c r="A12324" t="str">
        <f>T("   283919")</f>
        <v xml:space="preserve">   283919</v>
      </c>
      <c r="B12324" t="str">
        <f>T("   AUTRES")</f>
        <v xml:space="preserve">   AUTRES</v>
      </c>
      <c r="C12324" s="4">
        <v>7900</v>
      </c>
      <c r="D12324" s="4">
        <v>7570435</v>
      </c>
    </row>
    <row r="12325" spans="1:4" x14ac:dyDescent="0.25">
      <c r="A12325" t="str">
        <f>T("   283990")</f>
        <v xml:space="preserve">   283990</v>
      </c>
      <c r="B12325" t="str">
        <f>T("   AUTRES")</f>
        <v xml:space="preserve">   AUTRES</v>
      </c>
      <c r="C12325" s="4">
        <v>146847</v>
      </c>
      <c r="D12325" s="4">
        <v>9204927</v>
      </c>
    </row>
    <row r="12326" spans="1:4" x14ac:dyDescent="0.25">
      <c r="A12326" t="str">
        <f>T("   284110")</f>
        <v xml:space="preserve">   284110</v>
      </c>
      <c r="B12326" t="str">
        <f>T("   Aluminates")</f>
        <v xml:space="preserve">   Aluminates</v>
      </c>
      <c r="C12326" s="4">
        <v>1200</v>
      </c>
      <c r="D12326" s="4">
        <v>334449</v>
      </c>
    </row>
    <row r="12327" spans="1:4" x14ac:dyDescent="0.25">
      <c r="A12327" t="str">
        <f>T("   284150")</f>
        <v xml:space="preserve">   284150</v>
      </c>
      <c r="B12327" t="str">
        <f>T("   Autres chromates et dichromates; peroxochromates")</f>
        <v xml:space="preserve">   Autres chromates et dichromates; peroxochromates</v>
      </c>
      <c r="C12327" s="4">
        <v>90</v>
      </c>
      <c r="D12327" s="4">
        <v>792400</v>
      </c>
    </row>
    <row r="12328" spans="1:4" x14ac:dyDescent="0.25">
      <c r="A12328" t="str">
        <f>T("   284290")</f>
        <v xml:space="preserve">   284290</v>
      </c>
      <c r="B12328" t="str">
        <f>T("   AUTRES")</f>
        <v xml:space="preserve">   AUTRES</v>
      </c>
      <c r="C12328" s="4">
        <v>425</v>
      </c>
      <c r="D12328" s="4">
        <v>145000</v>
      </c>
    </row>
    <row r="12329" spans="1:4" x14ac:dyDescent="0.25">
      <c r="A12329" t="str">
        <f>T("   284690")</f>
        <v xml:space="preserve">   284690</v>
      </c>
      <c r="B12329" t="str">
        <f>T("   AUTRES")</f>
        <v xml:space="preserve">   AUTRES</v>
      </c>
      <c r="C12329" s="4">
        <v>16</v>
      </c>
      <c r="D12329" s="4">
        <v>386216</v>
      </c>
    </row>
    <row r="12330" spans="1:4" x14ac:dyDescent="0.25">
      <c r="A12330" t="str">
        <f>T("   284700")</f>
        <v xml:space="preserve">   284700</v>
      </c>
      <c r="B12330" t="str">
        <f>T("   PEROXYDE D'HYDROGENE (EAU OXYGENEE) MEME SOLIDIFIE AVEC DE L'UREE.")</f>
        <v xml:space="preserve">   PEROXYDE D'HYDROGENE (EAU OXYGENEE) MEME SOLIDIFIE AVEC DE L'UREE.</v>
      </c>
      <c r="C12330" s="4">
        <v>1100</v>
      </c>
      <c r="D12330" s="4">
        <v>1846415</v>
      </c>
    </row>
    <row r="12331" spans="1:4" x14ac:dyDescent="0.25">
      <c r="A12331" t="str">
        <f>T("   284910")</f>
        <v xml:space="preserve">   284910</v>
      </c>
      <c r="B12331" t="str">
        <f>T("   DE CALCIUM")</f>
        <v xml:space="preserve">   DE CALCIUM</v>
      </c>
      <c r="C12331" s="4">
        <v>541660</v>
      </c>
      <c r="D12331" s="4">
        <v>123203316</v>
      </c>
    </row>
    <row r="12332" spans="1:4" x14ac:dyDescent="0.25">
      <c r="A12332" t="str">
        <f>T("   284990")</f>
        <v xml:space="preserve">   284990</v>
      </c>
      <c r="B12332" t="str">
        <f>T("   AUTRES")</f>
        <v xml:space="preserve">   AUTRES</v>
      </c>
      <c r="C12332" s="4">
        <v>3000</v>
      </c>
      <c r="D12332" s="4">
        <v>435671</v>
      </c>
    </row>
    <row r="12333" spans="1:4" x14ac:dyDescent="0.25">
      <c r="A12333" t="str">
        <f>T("   290110")</f>
        <v xml:space="preserve">   290110</v>
      </c>
      <c r="B12333" t="str">
        <f>T("   SATURES")</f>
        <v xml:space="preserve">   SATURES</v>
      </c>
      <c r="C12333" s="4">
        <v>68025</v>
      </c>
      <c r="D12333" s="4">
        <v>73737762</v>
      </c>
    </row>
    <row r="12334" spans="1:4" x14ac:dyDescent="0.25">
      <c r="A12334" t="str">
        <f>T("   290219")</f>
        <v xml:space="preserve">   290219</v>
      </c>
      <c r="B12334" t="str">
        <f>T("   AUTRES")</f>
        <v xml:space="preserve">   AUTRES</v>
      </c>
      <c r="C12334" s="4">
        <v>1344</v>
      </c>
      <c r="D12334" s="4">
        <v>6475224</v>
      </c>
    </row>
    <row r="12335" spans="1:4" x14ac:dyDescent="0.25">
      <c r="A12335" t="str">
        <f>T("   290230")</f>
        <v xml:space="preserve">   290230</v>
      </c>
      <c r="B12335" t="str">
        <f>T("   TOLUENE")</f>
        <v xml:space="preserve">   TOLUENE</v>
      </c>
      <c r="C12335" s="4">
        <v>57461</v>
      </c>
      <c r="D12335" s="4">
        <v>50660092</v>
      </c>
    </row>
    <row r="12336" spans="1:4" x14ac:dyDescent="0.25">
      <c r="A12336" t="str">
        <f>T("   290241")</f>
        <v xml:space="preserve">   290241</v>
      </c>
      <c r="B12336" t="str">
        <f>T("   OXYLENE")</f>
        <v xml:space="preserve">   OXYLENE</v>
      </c>
      <c r="C12336" s="4">
        <v>100863</v>
      </c>
      <c r="D12336" s="4">
        <v>62262412</v>
      </c>
    </row>
    <row r="12337" spans="1:4" x14ac:dyDescent="0.25">
      <c r="A12337" t="str">
        <f>T("   290290")</f>
        <v xml:space="preserve">   290290</v>
      </c>
      <c r="B12337" t="str">
        <f>T("   AUTRES")</f>
        <v xml:space="preserve">   AUTRES</v>
      </c>
      <c r="C12337" s="4">
        <v>363</v>
      </c>
      <c r="D12337" s="4">
        <v>1698281</v>
      </c>
    </row>
    <row r="12338" spans="1:4" x14ac:dyDescent="0.25">
      <c r="A12338" t="str">
        <f>T("   290312")</f>
        <v xml:space="preserve">   290312</v>
      </c>
      <c r="B12338" t="str">
        <f>T("   DICHLOROMETHANE (CHLORURE DE METHYLENE)")</f>
        <v xml:space="preserve">   DICHLOROMETHANE (CHLORURE DE METHYLENE)</v>
      </c>
      <c r="C12338" s="4">
        <v>38070</v>
      </c>
      <c r="D12338" s="4">
        <v>17400217</v>
      </c>
    </row>
    <row r="12339" spans="1:4" x14ac:dyDescent="0.25">
      <c r="A12339" t="str">
        <f>T("   290319")</f>
        <v xml:space="preserve">   290319</v>
      </c>
      <c r="B12339" t="str">
        <f>T("   AUTRES")</f>
        <v xml:space="preserve">   AUTRES</v>
      </c>
      <c r="C12339" s="4">
        <v>45</v>
      </c>
      <c r="D12339" s="4">
        <v>265400</v>
      </c>
    </row>
    <row r="12340" spans="1:4" x14ac:dyDescent="0.25">
      <c r="A12340" t="str">
        <f>T("   290369")</f>
        <v xml:space="preserve">   290369</v>
      </c>
      <c r="B12340" t="str">
        <f>T("   AUTRES DERIVES HALOGENES DES HYDROCARBURES AROMATIQUES")</f>
        <v xml:space="preserve">   AUTRES DERIVES HALOGENES DES HYDROCARBURES AROMATIQUES</v>
      </c>
      <c r="C12340" s="4">
        <v>2225</v>
      </c>
      <c r="D12340" s="4">
        <v>7309860</v>
      </c>
    </row>
    <row r="12341" spans="1:4" x14ac:dyDescent="0.25">
      <c r="A12341" t="str">
        <f>T("   290512")</f>
        <v xml:space="preserve">   290512</v>
      </c>
      <c r="B12341" t="str">
        <f>T("   PROPANE1OL (ALCOOL PROPYLIQUE) ET PROPANE2OL (ALCOOL ISOPROPYLIQUE)")</f>
        <v xml:space="preserve">   PROPANE1OL (ALCOOL PROPYLIQUE) ET PROPANE2OL (ALCOOL ISOPROPYLIQUE)</v>
      </c>
      <c r="C12341" s="4">
        <v>10003</v>
      </c>
      <c r="D12341" s="4">
        <v>12375833</v>
      </c>
    </row>
    <row r="12342" spans="1:4" x14ac:dyDescent="0.25">
      <c r="A12342" t="str">
        <f>T("   290514")</f>
        <v xml:space="preserve">   290514</v>
      </c>
      <c r="B12342" t="str">
        <f>T("   AUTRES BUTANOLS")</f>
        <v xml:space="preserve">   AUTRES BUTANOLS</v>
      </c>
      <c r="C12342" s="4">
        <v>460</v>
      </c>
      <c r="D12342" s="4">
        <v>842253</v>
      </c>
    </row>
    <row r="12343" spans="1:4" x14ac:dyDescent="0.25">
      <c r="A12343" t="str">
        <f>T("   290519")</f>
        <v xml:space="preserve">   290519</v>
      </c>
      <c r="B12343" t="str">
        <f>T("   AUTRES")</f>
        <v xml:space="preserve">   AUTRES</v>
      </c>
      <c r="C12343" s="4">
        <v>805</v>
      </c>
      <c r="D12343" s="4">
        <v>261415</v>
      </c>
    </row>
    <row r="12344" spans="1:4" x14ac:dyDescent="0.25">
      <c r="A12344" t="str">
        <f>T("   290531")</f>
        <v xml:space="preserve">   290531</v>
      </c>
      <c r="B12344" t="str">
        <f>T("   ETHYLENE GLYCOL (ETHANEDIOL)")</f>
        <v xml:space="preserve">   ETHYLENE GLYCOL (ETHANEDIOL)</v>
      </c>
      <c r="C12344" s="4">
        <v>2629</v>
      </c>
      <c r="D12344" s="4">
        <v>3488689</v>
      </c>
    </row>
    <row r="12345" spans="1:4" x14ac:dyDescent="0.25">
      <c r="A12345" t="str">
        <f>T("   290532")</f>
        <v xml:space="preserve">   290532</v>
      </c>
      <c r="B12345" t="str">
        <f>T("   PROPYLENE GLYCOL (PROPANE1,2DIOL)")</f>
        <v xml:space="preserve">   PROPYLENE GLYCOL (PROPANE1,2DIOL)</v>
      </c>
      <c r="C12345" s="4">
        <v>22201</v>
      </c>
      <c r="D12345" s="4">
        <v>130628853</v>
      </c>
    </row>
    <row r="12346" spans="1:4" x14ac:dyDescent="0.25">
      <c r="A12346" t="str">
        <f>T("   290541")</f>
        <v xml:space="preserve">   290541</v>
      </c>
      <c r="B12346" t="str">
        <f>T("   2ETHYL2(HYDROXYMETHYL)PROPANE1,3DIOL (TRIMETHYLOLPROPANE)")</f>
        <v xml:space="preserve">   2ETHYL2(HYDROXYMETHYL)PROPANE1,3DIOL (TRIMETHYLOLPROPANE)</v>
      </c>
      <c r="C12346" s="4">
        <v>762120</v>
      </c>
      <c r="D12346" s="4">
        <v>342411120</v>
      </c>
    </row>
    <row r="12347" spans="1:4" x14ac:dyDescent="0.25">
      <c r="A12347" t="str">
        <f>T("   290542")</f>
        <v xml:space="preserve">   290542</v>
      </c>
      <c r="B12347" t="str">
        <f>T("   PENTAERYTHRITOL (PENTAERYTHRITE)")</f>
        <v xml:space="preserve">   PENTAERYTHRITOL (PENTAERYTHRITE)</v>
      </c>
      <c r="C12347" s="4">
        <v>380</v>
      </c>
      <c r="D12347" s="4">
        <v>1241732</v>
      </c>
    </row>
    <row r="12348" spans="1:4" x14ac:dyDescent="0.25">
      <c r="A12348" t="str">
        <f>T("   290545")</f>
        <v xml:space="preserve">   290545</v>
      </c>
      <c r="B12348" t="str">
        <f>T("   GLYCEROL")</f>
        <v xml:space="preserve">   GLYCEROL</v>
      </c>
      <c r="C12348" s="4">
        <v>5486</v>
      </c>
      <c r="D12348" s="4">
        <v>3348833</v>
      </c>
    </row>
    <row r="12349" spans="1:4" x14ac:dyDescent="0.25">
      <c r="A12349" t="str">
        <f>T("   290549")</f>
        <v xml:space="preserve">   290549</v>
      </c>
      <c r="B12349" t="str">
        <f>T("   AUTRES")</f>
        <v xml:space="preserve">   AUTRES</v>
      </c>
      <c r="C12349" s="4">
        <v>7460</v>
      </c>
      <c r="D12349" s="4">
        <v>1821723</v>
      </c>
    </row>
    <row r="12350" spans="1:4" x14ac:dyDescent="0.25">
      <c r="A12350" t="str">
        <f>T("   290559")</f>
        <v xml:space="preserve">   290559</v>
      </c>
      <c r="B12350" t="str">
        <f>T("   AUTRES")</f>
        <v xml:space="preserve">   AUTRES</v>
      </c>
      <c r="C12350" s="4">
        <v>21</v>
      </c>
      <c r="D12350" s="4">
        <v>335790</v>
      </c>
    </row>
    <row r="12351" spans="1:4" x14ac:dyDescent="0.25">
      <c r="A12351" t="str">
        <f>T("   290611")</f>
        <v xml:space="preserve">   290611</v>
      </c>
      <c r="B12351" t="str">
        <f>T("   Menthol")</f>
        <v xml:space="preserve">   Menthol</v>
      </c>
      <c r="C12351" s="4">
        <v>4504</v>
      </c>
      <c r="D12351" s="4">
        <v>3506959</v>
      </c>
    </row>
    <row r="12352" spans="1:4" x14ac:dyDescent="0.25">
      <c r="A12352" t="str">
        <f>T("   290719")</f>
        <v xml:space="preserve">   290719</v>
      </c>
      <c r="B12352" t="str">
        <f>T("   AUTRES")</f>
        <v xml:space="preserve">   AUTRES</v>
      </c>
      <c r="C12352" s="4">
        <v>2018</v>
      </c>
      <c r="D12352" s="4">
        <v>2294549</v>
      </c>
    </row>
    <row r="12353" spans="1:4" x14ac:dyDescent="0.25">
      <c r="A12353" t="str">
        <f>T("   290911")</f>
        <v xml:space="preserve">   290911</v>
      </c>
      <c r="B12353" t="str">
        <f>T("   ETHER DIETHYLIQUE (OXYDE DE DIETHYLE)")</f>
        <v xml:space="preserve">   ETHER DIETHYLIQUE (OXYDE DE DIETHYLE)</v>
      </c>
      <c r="C12353" s="4">
        <v>2029</v>
      </c>
      <c r="D12353" s="4">
        <v>23781885</v>
      </c>
    </row>
    <row r="12354" spans="1:4" x14ac:dyDescent="0.25">
      <c r="A12354" t="str">
        <f>T("   290943")</f>
        <v xml:space="preserve">   290943</v>
      </c>
      <c r="B12354" t="str">
        <f>T("   ETHERS MONOBUTYLIQUES DE L'ETHYLENE GLYCOL OU DU DIETHYLENE GLYCOL")</f>
        <v xml:space="preserve">   ETHERS MONOBUTYLIQUES DE L'ETHYLENE GLYCOL OU DU DIETHYLENE GLYCOL</v>
      </c>
      <c r="C12354" s="4">
        <v>816</v>
      </c>
      <c r="D12354" s="4">
        <v>1331599</v>
      </c>
    </row>
    <row r="12355" spans="1:4" x14ac:dyDescent="0.25">
      <c r="A12355" t="str">
        <f>T("   291100")</f>
        <v xml:space="preserve">   291100</v>
      </c>
      <c r="B12355" t="str">
        <f>T("   ACETALS ET HEMIACETALS, MEME CONTENANT D'AUTRES FONCTIONS OXYGENEES, ET LEURS DERIVES")</f>
        <v xml:space="preserve">   ACETALS ET HEMIACETALS, MEME CONTENANT D'AUTRES FONCTIONS OXYGENEES, ET LEURS DERIVES</v>
      </c>
      <c r="C12355" s="4">
        <v>170</v>
      </c>
      <c r="D12355" s="4">
        <v>883578</v>
      </c>
    </row>
    <row r="12356" spans="1:4" x14ac:dyDescent="0.25">
      <c r="A12356" t="str">
        <f>T("   291211")</f>
        <v xml:space="preserve">   291211</v>
      </c>
      <c r="B12356" t="str">
        <f>T("   METHANAL (FORMALDEHYDE)")</f>
        <v xml:space="preserve">   METHANAL (FORMALDEHYDE)</v>
      </c>
      <c r="C12356" s="4">
        <v>797</v>
      </c>
      <c r="D12356" s="4">
        <v>2947586</v>
      </c>
    </row>
    <row r="12357" spans="1:4" x14ac:dyDescent="0.25">
      <c r="A12357" t="str">
        <f>T("   291411")</f>
        <v xml:space="preserve">   291411</v>
      </c>
      <c r="B12357" t="str">
        <f>T("   ACETONE")</f>
        <v xml:space="preserve">   ACETONE</v>
      </c>
      <c r="C12357" s="4">
        <v>3397</v>
      </c>
      <c r="D12357" s="4">
        <v>4954732</v>
      </c>
    </row>
    <row r="12358" spans="1:4" x14ac:dyDescent="0.25">
      <c r="A12358" t="str">
        <f>T("   291413")</f>
        <v xml:space="preserve">   291413</v>
      </c>
      <c r="B12358" t="str">
        <f>T("   4METHYLPENTANE2ONE (METHYLISOBUTYLCETONE)")</f>
        <v xml:space="preserve">   4METHYLPENTANE2ONE (METHYLISOBUTYLCETONE)</v>
      </c>
      <c r="C12358" s="4">
        <v>18763</v>
      </c>
      <c r="D12358" s="4">
        <v>15697779</v>
      </c>
    </row>
    <row r="12359" spans="1:4" x14ac:dyDescent="0.25">
      <c r="A12359" t="str">
        <f>T("   291421")</f>
        <v xml:space="preserve">   291421</v>
      </c>
      <c r="B12359" t="str">
        <f>T("   Camphre")</f>
        <v xml:space="preserve">   Camphre</v>
      </c>
      <c r="C12359" s="4">
        <v>561</v>
      </c>
      <c r="D12359" s="4">
        <v>168300</v>
      </c>
    </row>
    <row r="12360" spans="1:4" x14ac:dyDescent="0.25">
      <c r="A12360" t="str">
        <f>T("   291440")</f>
        <v xml:space="preserve">   291440</v>
      </c>
      <c r="B12360" t="str">
        <f>T("   CETONESALCOOLS ET CETONESALDEHYDES")</f>
        <v xml:space="preserve">   CETONESALCOOLS ET CETONESALDEHYDES</v>
      </c>
      <c r="C12360" s="4">
        <v>2346</v>
      </c>
      <c r="D12360" s="4">
        <v>4035768</v>
      </c>
    </row>
    <row r="12361" spans="1:4" x14ac:dyDescent="0.25">
      <c r="A12361" t="str">
        <f>T("   291511")</f>
        <v xml:space="preserve">   291511</v>
      </c>
      <c r="B12361" t="str">
        <f>T("   Acide formique")</f>
        <v xml:space="preserve">   Acide formique</v>
      </c>
      <c r="C12361" s="4">
        <v>6047</v>
      </c>
      <c r="D12361" s="4">
        <v>1264378</v>
      </c>
    </row>
    <row r="12362" spans="1:4" x14ac:dyDescent="0.25">
      <c r="A12362" t="str">
        <f>T("   291521")</f>
        <v xml:space="preserve">   291521</v>
      </c>
      <c r="B12362" t="str">
        <f>T("   ACIDE ACETIQUE")</f>
        <v xml:space="preserve">   ACIDE ACETIQUE</v>
      </c>
      <c r="C12362" s="4">
        <v>1600</v>
      </c>
      <c r="D12362" s="4">
        <v>532214</v>
      </c>
    </row>
    <row r="12363" spans="1:4" x14ac:dyDescent="0.25">
      <c r="A12363" t="str">
        <f>T("   291531")</f>
        <v xml:space="preserve">   291531</v>
      </c>
      <c r="B12363" t="str">
        <f>T("   ACETATE D'ETHYLE")</f>
        <v xml:space="preserve">   ACETATE D'ETHYLE</v>
      </c>
      <c r="C12363" s="4">
        <v>1014</v>
      </c>
      <c r="D12363" s="4">
        <v>2255191</v>
      </c>
    </row>
    <row r="12364" spans="1:4" x14ac:dyDescent="0.25">
      <c r="A12364" t="str">
        <f>T("   291533")</f>
        <v xml:space="preserve">   291533</v>
      </c>
      <c r="B12364" t="str">
        <f>T("   ACETATE DE NBUTYLE")</f>
        <v xml:space="preserve">   ACETATE DE NBUTYLE</v>
      </c>
      <c r="C12364" s="4">
        <v>16884</v>
      </c>
      <c r="D12364" s="4">
        <v>14298998</v>
      </c>
    </row>
    <row r="12365" spans="1:4" x14ac:dyDescent="0.25">
      <c r="A12365" t="str">
        <f>T("   291539")</f>
        <v xml:space="preserve">   291539</v>
      </c>
      <c r="B12365" t="str">
        <f>T("   AUTRES")</f>
        <v xml:space="preserve">   AUTRES</v>
      </c>
      <c r="C12365" s="4">
        <v>3664</v>
      </c>
      <c r="D12365" s="4">
        <v>6078781</v>
      </c>
    </row>
    <row r="12366" spans="1:4" x14ac:dyDescent="0.25">
      <c r="A12366" t="str">
        <f>T("   291560")</f>
        <v xml:space="preserve">   291560</v>
      </c>
      <c r="B12366" t="str">
        <f>T("   ACIDES BUTANOIQUES, ACIDES PENTANOIQUES, LEURS SELS ET LEURS ESTERS")</f>
        <v xml:space="preserve">   ACIDES BUTANOIQUES, ACIDES PENTANOIQUES, LEURS SELS ET LEURS ESTERS</v>
      </c>
      <c r="C12366" s="4">
        <v>6520</v>
      </c>
      <c r="D12366" s="4">
        <v>7027250</v>
      </c>
    </row>
    <row r="12367" spans="1:4" x14ac:dyDescent="0.25">
      <c r="A12367" t="str">
        <f>T("   291590")</f>
        <v xml:space="preserve">   291590</v>
      </c>
      <c r="B12367" t="str">
        <f>T("   AUTRES")</f>
        <v xml:space="preserve">   AUTRES</v>
      </c>
      <c r="C12367" s="4">
        <v>4800</v>
      </c>
      <c r="D12367" s="4">
        <v>36815098</v>
      </c>
    </row>
    <row r="12368" spans="1:4" x14ac:dyDescent="0.25">
      <c r="A12368" t="str">
        <f>T("   291614")</f>
        <v xml:space="preserve">   291614</v>
      </c>
      <c r="B12368" t="str">
        <f>T("   ESTERS DE L'ACIDE METHACRYLIQUE")</f>
        <v xml:space="preserve">   ESTERS DE L'ACIDE METHACRYLIQUE</v>
      </c>
      <c r="C12368" s="4">
        <v>4016</v>
      </c>
      <c r="D12368" s="4">
        <v>4957746</v>
      </c>
    </row>
    <row r="12369" spans="1:4" x14ac:dyDescent="0.25">
      <c r="A12369" t="str">
        <f>T("   291619")</f>
        <v xml:space="preserve">   291619</v>
      </c>
      <c r="B12369" t="str">
        <f>T("   AUTRES")</f>
        <v xml:space="preserve">   AUTRES</v>
      </c>
      <c r="C12369" s="4">
        <v>28237</v>
      </c>
      <c r="D12369" s="4">
        <v>7483303</v>
      </c>
    </row>
    <row r="12370" spans="1:4" x14ac:dyDescent="0.25">
      <c r="A12370" t="str">
        <f>T("   291631")</f>
        <v xml:space="preserve">   291631</v>
      </c>
      <c r="B12370" t="str">
        <f>T("   ACIDE BENZOIQUE, SES SELS ET SES ESTERS")</f>
        <v xml:space="preserve">   ACIDE BENZOIQUE, SES SELS ET SES ESTERS</v>
      </c>
      <c r="C12370" s="4">
        <v>1704</v>
      </c>
      <c r="D12370" s="4">
        <v>5870784</v>
      </c>
    </row>
    <row r="12371" spans="1:4" x14ac:dyDescent="0.25">
      <c r="A12371" t="str">
        <f>T("   291632")</f>
        <v xml:space="preserve">   291632</v>
      </c>
      <c r="B12371" t="str">
        <f>T("   Peroxyde de benzoyle et chlorure de benzoyle")</f>
        <v xml:space="preserve">   Peroxyde de benzoyle et chlorure de benzoyle</v>
      </c>
      <c r="C12371" s="4">
        <v>12723</v>
      </c>
      <c r="D12371" s="4">
        <v>3874994</v>
      </c>
    </row>
    <row r="12372" spans="1:4" x14ac:dyDescent="0.25">
      <c r="A12372" t="str">
        <f>T("   291639")</f>
        <v xml:space="preserve">   291639</v>
      </c>
      <c r="B12372" t="str">
        <f>T("   AUTRES")</f>
        <v xml:space="preserve">   AUTRES</v>
      </c>
      <c r="C12372" s="4">
        <v>264</v>
      </c>
      <c r="D12372" s="4">
        <v>1614974</v>
      </c>
    </row>
    <row r="12373" spans="1:4" x14ac:dyDescent="0.25">
      <c r="A12373" t="str">
        <f>T("   291720")</f>
        <v xml:space="preserve">   291720</v>
      </c>
      <c r="B12373" t="str">
        <f>T("   ACIDES POLYCARBOXYLIQUES CYCLANIQUES, CYCLENIQUES OU CYCLOTERPENIQUES, LEURS ANHYDRID")</f>
        <v xml:space="preserve">   ACIDES POLYCARBOXYLIQUES CYCLANIQUES, CYCLENIQUES OU CYCLOTERPENIQUES, LEURS ANHYDRID</v>
      </c>
      <c r="C12373" s="4">
        <v>848</v>
      </c>
      <c r="D12373" s="4">
        <v>3627458</v>
      </c>
    </row>
    <row r="12374" spans="1:4" x14ac:dyDescent="0.25">
      <c r="A12374" t="str">
        <f>T("   291733")</f>
        <v xml:space="preserve">   291733</v>
      </c>
      <c r="B12374" t="str">
        <f>T("   ORTHOPHTALATES DE DINONYLE OU DE DIDECYLE")</f>
        <v xml:space="preserve">   ORTHOPHTALATES DE DINONYLE OU DE DIDECYLE</v>
      </c>
      <c r="C12374" s="4">
        <v>7200</v>
      </c>
      <c r="D12374" s="4">
        <v>4731715</v>
      </c>
    </row>
    <row r="12375" spans="1:4" x14ac:dyDescent="0.25">
      <c r="A12375" t="str">
        <f>T("   291814")</f>
        <v xml:space="preserve">   291814</v>
      </c>
      <c r="B12375" t="str">
        <f>T("   Acide citrique")</f>
        <v xml:space="preserve">   Acide citrique</v>
      </c>
      <c r="C12375" s="4">
        <v>47088</v>
      </c>
      <c r="D12375" s="4">
        <v>45451839</v>
      </c>
    </row>
    <row r="12376" spans="1:4" x14ac:dyDescent="0.25">
      <c r="A12376" t="str">
        <f>T("   291829")</f>
        <v xml:space="preserve">   291829</v>
      </c>
      <c r="B12376" t="str">
        <f>T("   AUTRES")</f>
        <v xml:space="preserve">   AUTRES</v>
      </c>
      <c r="C12376" s="4">
        <v>2200</v>
      </c>
      <c r="D12376" s="4">
        <v>2610642</v>
      </c>
    </row>
    <row r="12377" spans="1:4" x14ac:dyDescent="0.25">
      <c r="A12377" t="str">
        <f>T("   291830")</f>
        <v xml:space="preserve">   291830</v>
      </c>
      <c r="B12377" t="str">
        <f>T("   ACIDES CARBOXYLIQUES A FONCTION ALDEHYDE OU CETONE MAIS SANS AUTRE FONCTION OXYGENEE,")</f>
        <v xml:space="preserve">   ACIDES CARBOXYLIQUES A FONCTION ALDEHYDE OU CETONE MAIS SANS AUTRE FONCTION OXYGENEE,</v>
      </c>
      <c r="C12377" s="4">
        <v>4822</v>
      </c>
      <c r="D12377" s="4">
        <v>1509770</v>
      </c>
    </row>
    <row r="12378" spans="1:4" x14ac:dyDescent="0.25">
      <c r="A12378" t="str">
        <f>T("   292159")</f>
        <v xml:space="preserve">   292159</v>
      </c>
      <c r="B12378" t="str">
        <f>T("   AUTRES")</f>
        <v xml:space="preserve">   AUTRES</v>
      </c>
      <c r="C12378" s="4">
        <v>5601</v>
      </c>
      <c r="D12378" s="4">
        <v>39904176</v>
      </c>
    </row>
    <row r="12379" spans="1:4" x14ac:dyDescent="0.25">
      <c r="A12379" t="str">
        <f>T("   292212")</f>
        <v xml:space="preserve">   292212</v>
      </c>
      <c r="B12379" t="str">
        <f>T("   DIETHANOLAMINE ET SES SELS")</f>
        <v xml:space="preserve">   DIETHANOLAMINE ET SES SELS</v>
      </c>
      <c r="C12379" s="4">
        <v>1080</v>
      </c>
      <c r="D12379" s="4">
        <v>2416557</v>
      </c>
    </row>
    <row r="12380" spans="1:4" x14ac:dyDescent="0.25">
      <c r="A12380" t="str">
        <f>T("   292241")</f>
        <v xml:space="preserve">   292241</v>
      </c>
      <c r="B12380" t="str">
        <f>T("   Lysine et ses esters; sels de ces produits")</f>
        <v xml:space="preserve">   Lysine et ses esters; sels de ces produits</v>
      </c>
      <c r="C12380" s="4">
        <v>16118</v>
      </c>
      <c r="D12380" s="4">
        <v>10492080</v>
      </c>
    </row>
    <row r="12381" spans="1:4" x14ac:dyDescent="0.25">
      <c r="A12381" t="str">
        <f>T("   292242")</f>
        <v xml:space="preserve">   292242</v>
      </c>
      <c r="B12381" t="str">
        <f>T("   Acide glutamique et ses sels")</f>
        <v xml:space="preserve">   Acide glutamique et ses sels</v>
      </c>
      <c r="C12381" s="4">
        <v>1784866.97</v>
      </c>
      <c r="D12381" s="4">
        <v>100640257</v>
      </c>
    </row>
    <row r="12382" spans="1:4" x14ac:dyDescent="0.25">
      <c r="A12382" t="str">
        <f>T("   292310")</f>
        <v xml:space="preserve">   292310</v>
      </c>
      <c r="B12382" t="str">
        <f>T("   Choline et ses sels")</f>
        <v xml:space="preserve">   Choline et ses sels</v>
      </c>
      <c r="C12382" s="4">
        <v>25250</v>
      </c>
      <c r="D12382" s="4">
        <v>7765257</v>
      </c>
    </row>
    <row r="12383" spans="1:4" x14ac:dyDescent="0.25">
      <c r="A12383" t="str">
        <f>T("   292320")</f>
        <v xml:space="preserve">   292320</v>
      </c>
      <c r="B12383" t="str">
        <f>T("   LECITHINES ET AUTRES PHOSPHOAMINOLIPIDES")</f>
        <v xml:space="preserve">   LECITHINES ET AUTRES PHOSPHOAMINOLIPIDES</v>
      </c>
      <c r="C12383" s="4">
        <v>2303</v>
      </c>
      <c r="D12383" s="4">
        <v>3416344</v>
      </c>
    </row>
    <row r="12384" spans="1:4" x14ac:dyDescent="0.25">
      <c r="A12384" t="str">
        <f>T("   292390")</f>
        <v xml:space="preserve">   292390</v>
      </c>
      <c r="B12384" t="str">
        <f>T("   AUTRES")</f>
        <v xml:space="preserve">   AUTRES</v>
      </c>
      <c r="C12384" s="4">
        <v>3210</v>
      </c>
      <c r="D12384" s="4">
        <v>6119452</v>
      </c>
    </row>
    <row r="12385" spans="1:4" x14ac:dyDescent="0.25">
      <c r="A12385" t="str">
        <f>T("   292519")</f>
        <v xml:space="preserve">   292519</v>
      </c>
      <c r="B12385" t="str">
        <f>T("   AUTRES")</f>
        <v xml:space="preserve">   AUTRES</v>
      </c>
      <c r="C12385" s="4">
        <v>1</v>
      </c>
      <c r="D12385" s="4">
        <v>436732</v>
      </c>
    </row>
    <row r="12386" spans="1:4" x14ac:dyDescent="0.25">
      <c r="A12386" t="str">
        <f>T("   292800")</f>
        <v xml:space="preserve">   292800</v>
      </c>
      <c r="B12386" t="str">
        <f>T("   DERIVES ORGANIQUES DE L'HYDRAZINE OU DE L'HYDROXYLAMINE.")</f>
        <v xml:space="preserve">   DERIVES ORGANIQUES DE L'HYDRAZINE OU DE L'HYDROXYLAMINE.</v>
      </c>
      <c r="C12386" s="4">
        <v>1811</v>
      </c>
      <c r="D12386" s="4">
        <v>2102949</v>
      </c>
    </row>
    <row r="12387" spans="1:4" x14ac:dyDescent="0.25">
      <c r="A12387" t="str">
        <f>T("   292910")</f>
        <v xml:space="preserve">   292910</v>
      </c>
      <c r="B12387" t="str">
        <f>T("   Isocyanates")</f>
        <v xml:space="preserve">   Isocyanates</v>
      </c>
      <c r="C12387" s="4">
        <v>361970</v>
      </c>
      <c r="D12387" s="4">
        <v>466258994</v>
      </c>
    </row>
    <row r="12388" spans="1:4" x14ac:dyDescent="0.25">
      <c r="A12388" t="str">
        <f>T("   292990")</f>
        <v xml:space="preserve">   292990</v>
      </c>
      <c r="B12388" t="str">
        <f>T("   AUTRES")</f>
        <v xml:space="preserve">   AUTRES</v>
      </c>
      <c r="C12388" s="4">
        <v>121611</v>
      </c>
      <c r="D12388" s="4">
        <v>156940398</v>
      </c>
    </row>
    <row r="12389" spans="1:4" x14ac:dyDescent="0.25">
      <c r="A12389" t="str">
        <f>T("   293040")</f>
        <v xml:space="preserve">   293040</v>
      </c>
      <c r="B12389" t="str">
        <f>T("   METHIONINE")</f>
        <v xml:space="preserve">   METHIONINE</v>
      </c>
      <c r="C12389" s="4">
        <v>30654</v>
      </c>
      <c r="D12389" s="4">
        <v>32726934</v>
      </c>
    </row>
    <row r="12390" spans="1:4" x14ac:dyDescent="0.25">
      <c r="A12390" t="str">
        <f>T("   293090")</f>
        <v xml:space="preserve">   293090</v>
      </c>
      <c r="B12390" t="str">
        <f>T("   AUTRES")</f>
        <v xml:space="preserve">   AUTRES</v>
      </c>
      <c r="C12390" s="4">
        <v>13349</v>
      </c>
      <c r="D12390" s="4">
        <v>12571474</v>
      </c>
    </row>
    <row r="12391" spans="1:4" x14ac:dyDescent="0.25">
      <c r="A12391" t="str">
        <f>T("   293100")</f>
        <v xml:space="preserve">   293100</v>
      </c>
      <c r="B12391" t="str">
        <f>T("   Autres composes organo-inorganiques")</f>
        <v xml:space="preserve">   Autres composes organo-inorganiques</v>
      </c>
      <c r="C12391" s="4">
        <v>3</v>
      </c>
      <c r="D12391" s="4">
        <v>45858</v>
      </c>
    </row>
    <row r="12392" spans="1:4" x14ac:dyDescent="0.25">
      <c r="A12392" t="str">
        <f>T("   293299")</f>
        <v xml:space="preserve">   293299</v>
      </c>
      <c r="B12392" t="str">
        <f>T("   AUTRES")</f>
        <v xml:space="preserve">   AUTRES</v>
      </c>
      <c r="C12392" s="4">
        <v>2000</v>
      </c>
      <c r="D12392" s="4">
        <v>1499000</v>
      </c>
    </row>
    <row r="12393" spans="1:4" x14ac:dyDescent="0.25">
      <c r="A12393" t="str">
        <f>T("   293329")</f>
        <v xml:space="preserve">   293329</v>
      </c>
      <c r="B12393" t="str">
        <f>T("   AUTRES")</f>
        <v xml:space="preserve">   AUTRES</v>
      </c>
      <c r="C12393" s="4">
        <v>1</v>
      </c>
      <c r="D12393" s="4">
        <v>328</v>
      </c>
    </row>
    <row r="12394" spans="1:4" x14ac:dyDescent="0.25">
      <c r="A12394" t="str">
        <f>T("   293339")</f>
        <v xml:space="preserve">   293339</v>
      </c>
      <c r="B12394" t="str">
        <f>T("   AUTRES")</f>
        <v xml:space="preserve">   AUTRES</v>
      </c>
      <c r="C12394" s="4">
        <v>89420</v>
      </c>
      <c r="D12394" s="4">
        <v>425399636</v>
      </c>
    </row>
    <row r="12395" spans="1:4" x14ac:dyDescent="0.25">
      <c r="A12395" t="str">
        <f>T("   293359")</f>
        <v xml:space="preserve">   293359</v>
      </c>
      <c r="B12395" t="str">
        <f>T("   AUTRES")</f>
        <v xml:space="preserve">   AUTRES</v>
      </c>
      <c r="C12395" s="4">
        <v>1</v>
      </c>
      <c r="D12395" s="4">
        <v>328</v>
      </c>
    </row>
    <row r="12396" spans="1:4" x14ac:dyDescent="0.25">
      <c r="A12396" t="str">
        <f>T("   293369")</f>
        <v xml:space="preserve">   293369</v>
      </c>
      <c r="B12396" t="str">
        <f>T("   AUTRES")</f>
        <v xml:space="preserve">   AUTRES</v>
      </c>
      <c r="C12396" s="4">
        <v>1</v>
      </c>
      <c r="D12396" s="4">
        <v>1640</v>
      </c>
    </row>
    <row r="12397" spans="1:4" x14ac:dyDescent="0.25">
      <c r="A12397" t="str">
        <f>T("   293379")</f>
        <v xml:space="preserve">   293379</v>
      </c>
      <c r="B12397" t="str">
        <f>T("   Autres lactames")</f>
        <v xml:space="preserve">   Autres lactames</v>
      </c>
      <c r="C12397" s="4">
        <v>574</v>
      </c>
      <c r="D12397" s="4">
        <v>847501</v>
      </c>
    </row>
    <row r="12398" spans="1:4" x14ac:dyDescent="0.25">
      <c r="A12398" t="str">
        <f>T("   293399")</f>
        <v xml:space="preserve">   293399</v>
      </c>
      <c r="B12398" t="str">
        <f>T("   AUTRES")</f>
        <v xml:space="preserve">   AUTRES</v>
      </c>
      <c r="C12398" s="4">
        <v>1</v>
      </c>
      <c r="D12398" s="4">
        <v>328</v>
      </c>
    </row>
    <row r="12399" spans="1:4" x14ac:dyDescent="0.25">
      <c r="A12399" t="str">
        <f>T("   293420")</f>
        <v xml:space="preserve">   293420</v>
      </c>
      <c r="B12399" t="str">
        <f>T("   COMPOSES COMPORTANT UNE STRUCTURE A CYCLES BENZOTHIAZOLE (HYDROGENES OU NON) SANS AUT")</f>
        <v xml:space="preserve">   COMPOSES COMPORTANT UNE STRUCTURE A CYCLES BENZOTHIAZOLE (HYDROGENES OU NON) SANS AUT</v>
      </c>
      <c r="C12399" s="4">
        <v>1129800</v>
      </c>
      <c r="D12399" s="4">
        <v>201742978</v>
      </c>
    </row>
    <row r="12400" spans="1:4" x14ac:dyDescent="0.25">
      <c r="A12400" t="str">
        <f>T("   293500")</f>
        <v xml:space="preserve">   293500</v>
      </c>
      <c r="B12400" t="str">
        <f>T("   SULFONAMIDES.")</f>
        <v xml:space="preserve">   SULFONAMIDES.</v>
      </c>
      <c r="C12400" s="4">
        <v>42</v>
      </c>
      <c r="D12400" s="4">
        <v>1081678</v>
      </c>
    </row>
    <row r="12401" spans="1:4" x14ac:dyDescent="0.25">
      <c r="A12401" t="str">
        <f>T("   293621")</f>
        <v xml:space="preserve">   293621</v>
      </c>
      <c r="B12401" t="str">
        <f>T("   VITAMINES A ET LEURS DERIVES")</f>
        <v xml:space="preserve">   VITAMINES A ET LEURS DERIVES</v>
      </c>
      <c r="C12401" s="4">
        <v>4507</v>
      </c>
      <c r="D12401" s="4">
        <v>14127411</v>
      </c>
    </row>
    <row r="12402" spans="1:4" x14ac:dyDescent="0.25">
      <c r="A12402" t="str">
        <f>T("   293627")</f>
        <v xml:space="preserve">   293627</v>
      </c>
      <c r="B12402" t="str">
        <f>T("   VITAMINE C ET SES DERIVES")</f>
        <v xml:space="preserve">   VITAMINE C ET SES DERIVES</v>
      </c>
      <c r="C12402" s="4">
        <v>4384</v>
      </c>
      <c r="D12402" s="4">
        <v>17416436</v>
      </c>
    </row>
    <row r="12403" spans="1:4" x14ac:dyDescent="0.25">
      <c r="A12403" t="str">
        <f>T("   293629")</f>
        <v xml:space="preserve">   293629</v>
      </c>
      <c r="B12403" t="str">
        <f>T("   AUTRES VITAMINES ET LEURS DERIVES")</f>
        <v xml:space="preserve">   AUTRES VITAMINES ET LEURS DERIVES</v>
      </c>
      <c r="C12403" s="4">
        <v>26335</v>
      </c>
      <c r="D12403" s="4">
        <v>272292492</v>
      </c>
    </row>
    <row r="12404" spans="1:4" x14ac:dyDescent="0.25">
      <c r="A12404" t="str">
        <f>T("   293690")</f>
        <v xml:space="preserve">   293690</v>
      </c>
      <c r="B12404" t="str">
        <f>T("   AUTRES, Y COMPRIS LES CONCENTRATS NATURELS")</f>
        <v xml:space="preserve">   AUTRES, Y COMPRIS LES CONCENTRATS NATURELS</v>
      </c>
      <c r="C12404" s="4">
        <v>25154</v>
      </c>
      <c r="D12404" s="4">
        <v>55553288</v>
      </c>
    </row>
    <row r="12405" spans="1:4" x14ac:dyDescent="0.25">
      <c r="A12405" t="str">
        <f>T("   294130")</f>
        <v xml:space="preserve">   294130</v>
      </c>
      <c r="B12405" t="str">
        <f>T("   TETRACYCLINES ET LEURS DERIVES; SELS DE CES PRODUITS")</f>
        <v xml:space="preserve">   TETRACYCLINES ET LEURS DERIVES; SELS DE CES PRODUITS</v>
      </c>
      <c r="C12405" s="4">
        <v>1</v>
      </c>
      <c r="D12405" s="4">
        <v>328</v>
      </c>
    </row>
    <row r="12406" spans="1:4" x14ac:dyDescent="0.25">
      <c r="A12406" t="str">
        <f>T("   294190")</f>
        <v xml:space="preserve">   294190</v>
      </c>
      <c r="B12406" t="str">
        <f>T("   AUTRES")</f>
        <v xml:space="preserve">   AUTRES</v>
      </c>
      <c r="C12406" s="4">
        <v>18492</v>
      </c>
      <c r="D12406" s="4">
        <v>263342170</v>
      </c>
    </row>
    <row r="12407" spans="1:4" x14ac:dyDescent="0.25">
      <c r="A12407" t="str">
        <f>T("   294200")</f>
        <v xml:space="preserve">   294200</v>
      </c>
      <c r="B12407" t="str">
        <f>T("   AUTRES COMPOSES ORGANIQUES.")</f>
        <v xml:space="preserve">   AUTRES COMPOSES ORGANIQUES.</v>
      </c>
      <c r="C12407" s="4">
        <v>18176.599999999999</v>
      </c>
      <c r="D12407" s="4">
        <v>12994625</v>
      </c>
    </row>
    <row r="12408" spans="1:4" x14ac:dyDescent="0.25">
      <c r="A12408" t="str">
        <f>T("   300210")</f>
        <v xml:space="preserve">   300210</v>
      </c>
      <c r="B12408" t="str">
        <f>T("   ANTISERUMS, AUTRES FRACTIONS DU SANG ET PRODUITS IMMUNOLOGIQUES, MEME MODIFIES OU OBT")</f>
        <v xml:space="preserve">   ANTISERUMS, AUTRES FRACTIONS DU SANG ET PRODUITS IMMUNOLOGIQUES, MEME MODIFIES OU OBT</v>
      </c>
      <c r="C12408" s="4">
        <v>640</v>
      </c>
      <c r="D12408" s="4">
        <v>19679076</v>
      </c>
    </row>
    <row r="12409" spans="1:4" x14ac:dyDescent="0.25">
      <c r="A12409" t="str">
        <f>T("   300220")</f>
        <v xml:space="preserve">   300220</v>
      </c>
      <c r="B12409" t="str">
        <f>T("   Vaccins pour la medecine humaine")</f>
        <v xml:space="preserve">   Vaccins pour la medecine humaine</v>
      </c>
      <c r="C12409" s="4">
        <v>25987.200000000001</v>
      </c>
      <c r="D12409" s="4">
        <v>804906327</v>
      </c>
    </row>
    <row r="12410" spans="1:4" x14ac:dyDescent="0.25">
      <c r="A12410" t="str">
        <f>T("   300230")</f>
        <v xml:space="preserve">   300230</v>
      </c>
      <c r="B12410" t="str">
        <f>T("   VACCINS POUR LA MEDECINE VETERINAIRE")</f>
        <v xml:space="preserve">   VACCINS POUR LA MEDECINE VETERINAIRE</v>
      </c>
      <c r="C12410" s="4">
        <v>6475</v>
      </c>
      <c r="D12410" s="4">
        <v>75176407</v>
      </c>
    </row>
    <row r="12411" spans="1:4" x14ac:dyDescent="0.25">
      <c r="A12411" t="str">
        <f>T("   300310")</f>
        <v xml:space="preserve">   300310</v>
      </c>
      <c r="B12411" t="str">
        <f>T("   CONTENANT DES PENICILLINES OU DES DERIVES DE CES PRODUITS, A STRUCTURE D'ACIDE PENICI")</f>
        <v xml:space="preserve">   CONTENANT DES PENICILLINES OU DES DERIVES DE CES PRODUITS, A STRUCTURE D'ACIDE PENICI</v>
      </c>
      <c r="C12411" s="4">
        <v>1114.2</v>
      </c>
      <c r="D12411" s="4">
        <v>7084541</v>
      </c>
    </row>
    <row r="12412" spans="1:4" x14ac:dyDescent="0.25">
      <c r="A12412" t="str">
        <f>T("   300320")</f>
        <v xml:space="preserve">   300320</v>
      </c>
      <c r="B12412" t="str">
        <f>T("   CONTENANT D'AUTRES ANTIBIOTIQUES")</f>
        <v xml:space="preserve">   CONTENANT D'AUTRES ANTIBIOTIQUES</v>
      </c>
      <c r="C12412" s="4">
        <v>1131653.18</v>
      </c>
      <c r="D12412" s="4">
        <v>306859617</v>
      </c>
    </row>
    <row r="12413" spans="1:4" x14ac:dyDescent="0.25">
      <c r="A12413" t="str">
        <f>T("   300339")</f>
        <v xml:space="preserve">   300339</v>
      </c>
      <c r="B12413" t="str">
        <f>T("   AUTRES")</f>
        <v xml:space="preserve">   AUTRES</v>
      </c>
      <c r="C12413" s="4">
        <v>27697.89</v>
      </c>
      <c r="D12413" s="4">
        <v>462585577</v>
      </c>
    </row>
    <row r="12414" spans="1:4" x14ac:dyDescent="0.25">
      <c r="A12414" t="str">
        <f>T("   300390")</f>
        <v xml:space="preserve">   300390</v>
      </c>
      <c r="B12414" t="str">
        <f>T("   AUTRES")</f>
        <v xml:space="preserve">   AUTRES</v>
      </c>
      <c r="C12414" s="4">
        <v>56086.2</v>
      </c>
      <c r="D12414" s="4">
        <v>105121951</v>
      </c>
    </row>
    <row r="12415" spans="1:4" x14ac:dyDescent="0.25">
      <c r="A12415" t="str">
        <f>T("   300410")</f>
        <v xml:space="preserve">   300410</v>
      </c>
      <c r="B12415" t="str">
        <f>T("   CONTENANT DES PENICILLINES OU DES DERIVES DE CES PRODUITS, A STRUCTURE D'ACIDE PENICI")</f>
        <v xml:space="preserve">   CONTENANT DES PENICILLINES OU DES DERIVES DE CES PRODUITS, A STRUCTURE D'ACIDE PENICI</v>
      </c>
      <c r="C12415" s="4">
        <v>918692.2</v>
      </c>
      <c r="D12415" s="4">
        <v>10541059293</v>
      </c>
    </row>
    <row r="12416" spans="1:4" x14ac:dyDescent="0.25">
      <c r="A12416" t="str">
        <f>T("   300420")</f>
        <v xml:space="preserve">   300420</v>
      </c>
      <c r="B12416" t="str">
        <f>T("   CONTENANT D'AUTRES ANTIBIOTIQUES")</f>
        <v xml:space="preserve">   CONTENANT D'AUTRES ANTIBIOTIQUES</v>
      </c>
      <c r="C12416" s="4">
        <v>3218029.84</v>
      </c>
      <c r="D12416" s="4">
        <v>587958906</v>
      </c>
    </row>
    <row r="12417" spans="1:4" x14ac:dyDescent="0.25">
      <c r="A12417" t="str">
        <f>T("   300432")</f>
        <v xml:space="preserve">   300432</v>
      </c>
      <c r="B12417" t="str">
        <f>T("   CONTENANT DES HORMONES CORTICOSTEROIDES, LEURS DERIVES OU ANALOGUES STRUCTURELS")</f>
        <v xml:space="preserve">   CONTENANT DES HORMONES CORTICOSTEROIDES, LEURS DERIVES OU ANALOGUES STRUCTURELS</v>
      </c>
      <c r="C12417" s="4">
        <v>13116</v>
      </c>
      <c r="D12417" s="4">
        <v>37161291</v>
      </c>
    </row>
    <row r="12418" spans="1:4" x14ac:dyDescent="0.25">
      <c r="A12418" t="str">
        <f>T("   300439")</f>
        <v xml:space="preserve">   300439</v>
      </c>
      <c r="B12418" t="str">
        <f>T("   AUTRES")</f>
        <v xml:space="preserve">   AUTRES</v>
      </c>
      <c r="C12418" s="4">
        <v>581705.13</v>
      </c>
      <c r="D12418" s="4">
        <v>153155273</v>
      </c>
    </row>
    <row r="12419" spans="1:4" x14ac:dyDescent="0.25">
      <c r="A12419" t="str">
        <f>T("   300440")</f>
        <v xml:space="preserve">   300440</v>
      </c>
      <c r="B12419" t="str">
        <f>T("   CONTENANT DES ALCALOIDES OU LEURS DERIVES, MAIS NE CONTENANT NI HORMONES, NI AUTRES P")</f>
        <v xml:space="preserve">   CONTENANT DES ALCALOIDES OU LEURS DERIVES, MAIS NE CONTENANT NI HORMONES, NI AUTRES P</v>
      </c>
      <c r="C12419" s="4">
        <v>72</v>
      </c>
      <c r="D12419" s="4">
        <v>2289270</v>
      </c>
    </row>
    <row r="12420" spans="1:4" x14ac:dyDescent="0.25">
      <c r="A12420" t="str">
        <f>T("   300450")</f>
        <v xml:space="preserve">   300450</v>
      </c>
      <c r="B12420" t="str">
        <f>T("   AUTRES MEDICAMENTS CONTENANT DES VITAMINES OU D'AUTRES PRODUITS DU N° 29.36")</f>
        <v xml:space="preserve">   AUTRES MEDICAMENTS CONTENANT DES VITAMINES OU D'AUTRES PRODUITS DU N° 29.36</v>
      </c>
      <c r="C12420" s="4">
        <v>102329.88</v>
      </c>
      <c r="D12420" s="4">
        <v>321097416</v>
      </c>
    </row>
    <row r="12421" spans="1:4" x14ac:dyDescent="0.25">
      <c r="A12421" t="str">
        <f>T("   300490")</f>
        <v xml:space="preserve">   300490</v>
      </c>
      <c r="B12421" t="str">
        <f>T("   AUTRES")</f>
        <v xml:space="preserve">   AUTRES</v>
      </c>
      <c r="C12421" s="4">
        <v>3476882.53</v>
      </c>
      <c r="D12421" s="4">
        <v>32608471055</v>
      </c>
    </row>
    <row r="12422" spans="1:4" x14ac:dyDescent="0.25">
      <c r="A12422" t="str">
        <f>T("   300510")</f>
        <v xml:space="preserve">   300510</v>
      </c>
      <c r="B12422" t="str">
        <f>T("   PANSEMENTS ADHESIFS ET AUTRES ARTICLES AYANT UNE COUCHE ADHESIVE")</f>
        <v xml:space="preserve">   PANSEMENTS ADHESIFS ET AUTRES ARTICLES AYANT UNE COUCHE ADHESIVE</v>
      </c>
      <c r="C12422" s="4">
        <v>260399</v>
      </c>
      <c r="D12422" s="4">
        <v>161224328</v>
      </c>
    </row>
    <row r="12423" spans="1:4" x14ac:dyDescent="0.25">
      <c r="A12423" t="str">
        <f>T("   300590")</f>
        <v xml:space="preserve">   300590</v>
      </c>
      <c r="B12423" t="str">
        <f>T("   AUTRES")</f>
        <v xml:space="preserve">   AUTRES</v>
      </c>
      <c r="C12423" s="4">
        <v>35813251</v>
      </c>
      <c r="D12423" s="4">
        <v>327920968</v>
      </c>
    </row>
    <row r="12424" spans="1:4" x14ac:dyDescent="0.25">
      <c r="A12424" t="str">
        <f>T("   300610")</f>
        <v xml:space="preserve">   300610</v>
      </c>
      <c r="B12424" t="str">
        <f>T("   CATGUTS STERILES, LIGATURES STERILES SIMILAIRES POUR SUTURES CHIRURGICALES (Y COMPRIS")</f>
        <v xml:space="preserve">   CATGUTS STERILES, LIGATURES STERILES SIMILAIRES POUR SUTURES CHIRURGICALES (Y COMPRIS</v>
      </c>
      <c r="C12424" s="4">
        <v>2065.1</v>
      </c>
      <c r="D12424" s="4">
        <v>48349338</v>
      </c>
    </row>
    <row r="12425" spans="1:4" x14ac:dyDescent="0.25">
      <c r="A12425" t="str">
        <f>T("   300620")</f>
        <v xml:space="preserve">   300620</v>
      </c>
      <c r="B12425" t="str">
        <f>T("   REACTIFS DESTINES A LA DETERMINATION DES GROUPES OU DES FACTEURS SANGUINS")</f>
        <v xml:space="preserve">   REACTIFS DESTINES A LA DETERMINATION DES GROUPES OU DES FACTEURS SANGUINS</v>
      </c>
      <c r="C12425" s="4">
        <v>2140.6999999999998</v>
      </c>
      <c r="D12425" s="4">
        <v>21637531</v>
      </c>
    </row>
    <row r="12426" spans="1:4" x14ac:dyDescent="0.25">
      <c r="A12426" t="str">
        <f>T("   300630")</f>
        <v xml:space="preserve">   300630</v>
      </c>
      <c r="B12426" t="str">
        <f>T("   PREPARATIONS OPACIFIANTES POUR EXAMENS RADIOGRAPHIQUES; REACTIFS DE DIAGNOSTIC CONCUS")</f>
        <v xml:space="preserve">   PREPARATIONS OPACIFIANTES POUR EXAMENS RADIOGRAPHIQUES; REACTIFS DE DIAGNOSTIC CONCUS</v>
      </c>
      <c r="C12426" s="4">
        <v>4359.8</v>
      </c>
      <c r="D12426" s="4">
        <v>18228573</v>
      </c>
    </row>
    <row r="12427" spans="1:4" x14ac:dyDescent="0.25">
      <c r="A12427" t="str">
        <f>T("   300650")</f>
        <v xml:space="preserve">   300650</v>
      </c>
      <c r="B12427" t="str">
        <f>T("   TROUSSES ET BOITES DE PHARMACIE GARNIES, POUR SOINS DE PREMIERE URGENCE")</f>
        <v xml:space="preserve">   TROUSSES ET BOITES DE PHARMACIE GARNIES, POUR SOINS DE PREMIERE URGENCE</v>
      </c>
      <c r="C12427" s="4">
        <v>1042</v>
      </c>
      <c r="D12427" s="4">
        <v>474521</v>
      </c>
    </row>
    <row r="12428" spans="1:4" x14ac:dyDescent="0.25">
      <c r="A12428" t="str">
        <f>T("   300660")</f>
        <v xml:space="preserve">   300660</v>
      </c>
      <c r="B12428" t="str">
        <f>T("   PREPARATIONS CHIMIQUES CONTRACEPTIVES A BASE D’HORMONES, D’AUTRES PRODUITS DU N° 29.3")</f>
        <v xml:space="preserve">   PREPARATIONS CHIMIQUES CONTRACEPTIVES A BASE D’HORMONES, D’AUTRES PRODUITS DU N° 29.3</v>
      </c>
      <c r="C12428" s="4">
        <v>3444</v>
      </c>
      <c r="D12428" s="4">
        <v>52968378</v>
      </c>
    </row>
    <row r="12429" spans="1:4" x14ac:dyDescent="0.25">
      <c r="A12429" t="str">
        <f>T("   300670")</f>
        <v xml:space="preserve">   300670</v>
      </c>
      <c r="B12429" t="str">
        <f>T("   PREPARATIONS PRESENTEES SOUS FORME DE GEL CONCUES POUR ETRE UTILISEES EN MEDECINE HUM")</f>
        <v xml:space="preserve">   PREPARATIONS PRESENTEES SOUS FORME DE GEL CONCUES POUR ETRE UTILISEES EN MEDECINE HUM</v>
      </c>
      <c r="C12429" s="4">
        <v>750.9</v>
      </c>
      <c r="D12429" s="4">
        <v>8101765</v>
      </c>
    </row>
    <row r="12430" spans="1:4" x14ac:dyDescent="0.25">
      <c r="A12430" t="str">
        <f>T("   310100")</f>
        <v xml:space="preserve">   310100</v>
      </c>
      <c r="B12430" t="str">
        <f>T("   ENGRAIS D'ORIGINE ANIMALE OU VEGETALE, MEME MELANGES ENTRE EUX OU TRAITES CHIMIQUEMENT;")</f>
        <v xml:space="preserve">   ENGRAIS D'ORIGINE ANIMALE OU VEGETALE, MEME MELANGES ENTRE EUX OU TRAITES CHIMIQUEMENT;</v>
      </c>
      <c r="C12430" s="4">
        <v>42765</v>
      </c>
      <c r="D12430" s="4">
        <v>7674561</v>
      </c>
    </row>
    <row r="12431" spans="1:4" x14ac:dyDescent="0.25">
      <c r="A12431" t="str">
        <f>T("   310210")</f>
        <v xml:space="preserve">   310210</v>
      </c>
      <c r="B12431" t="str">
        <f>T("   UREE, MEME EN SOLUTION AQUEUSE")</f>
        <v xml:space="preserve">   UREE, MEME EN SOLUTION AQUEUSE</v>
      </c>
      <c r="C12431" s="4">
        <v>8251000</v>
      </c>
      <c r="D12431" s="4">
        <v>1636238055</v>
      </c>
    </row>
    <row r="12432" spans="1:4" x14ac:dyDescent="0.25">
      <c r="A12432" t="str">
        <f>T("   310229")</f>
        <v xml:space="preserve">   310229</v>
      </c>
      <c r="B12432" t="str">
        <f>T("   AUTRES")</f>
        <v xml:space="preserve">   AUTRES</v>
      </c>
      <c r="C12432" s="4">
        <v>1650</v>
      </c>
      <c r="D12432" s="4">
        <v>2230264</v>
      </c>
    </row>
    <row r="12433" spans="1:4" x14ac:dyDescent="0.25">
      <c r="A12433" t="str">
        <f>T("   310230")</f>
        <v xml:space="preserve">   310230</v>
      </c>
      <c r="B12433" t="str">
        <f>T("   NITRATE D'AMMONIUM, MEME EN SOLUTION AQUEUSE")</f>
        <v xml:space="preserve">   NITRATE D'AMMONIUM, MEME EN SOLUTION AQUEUSE</v>
      </c>
      <c r="C12433" s="4">
        <v>152100</v>
      </c>
      <c r="D12433" s="4">
        <v>65677340</v>
      </c>
    </row>
    <row r="12434" spans="1:4" x14ac:dyDescent="0.25">
      <c r="A12434" t="str">
        <f>T("   310420")</f>
        <v xml:space="preserve">   310420</v>
      </c>
      <c r="B12434" t="str">
        <f>T("   Chlorure de potassium")</f>
        <v xml:space="preserve">   Chlorure de potassium</v>
      </c>
      <c r="C12434" s="4">
        <v>1000000</v>
      </c>
      <c r="D12434" s="4">
        <v>186292640</v>
      </c>
    </row>
    <row r="12435" spans="1:4" x14ac:dyDescent="0.25">
      <c r="A12435" t="str">
        <f>T("   310510")</f>
        <v xml:space="preserve">   310510</v>
      </c>
      <c r="B12435" t="str">
        <f>T("   PRODUITS DU PRESENT CHAPITRE PRESENTES SOIT EN TABLETTES OU FORMES SIMILAIRES, SOIT E")</f>
        <v xml:space="preserve">   PRODUITS DU PRESENT CHAPITRE PRESENTES SOIT EN TABLETTES OU FORMES SIMILAIRES, SOIT E</v>
      </c>
      <c r="C12435" s="4">
        <v>171000</v>
      </c>
      <c r="D12435" s="4">
        <v>57714886</v>
      </c>
    </row>
    <row r="12436" spans="1:4" x14ac:dyDescent="0.25">
      <c r="A12436" t="str">
        <f>T("   310520")</f>
        <v xml:space="preserve">   310520</v>
      </c>
      <c r="B12436" t="str">
        <f>T("   ENGRAIS MINERAUX OU CHIMIQUES CONTENANT LES TROIS ELEMENTS FERTILISANTS : AZOTE, PHOS")</f>
        <v xml:space="preserve">   ENGRAIS MINERAUX OU CHIMIQUES CONTENANT LES TROIS ELEMENTS FERTILISANTS : AZOTE, PHOS</v>
      </c>
      <c r="C12436" s="4">
        <v>51900</v>
      </c>
      <c r="D12436" s="4">
        <v>2766509</v>
      </c>
    </row>
    <row r="12437" spans="1:4" x14ac:dyDescent="0.25">
      <c r="A12437" t="str">
        <f>T("   310540")</f>
        <v xml:space="preserve">   310540</v>
      </c>
      <c r="B12437" t="str">
        <f>T("   DIHYDROGENOORTHOPHOSPHATE D'AMMONIUM (PHOSPHATE MONOAMMONIQUE), MEME EN MELANGE AVEC")</f>
        <v xml:space="preserve">   DIHYDROGENOORTHOPHOSPHATE D'AMMONIUM (PHOSPHATE MONOAMMONIQUE), MEME EN MELANGE AVEC</v>
      </c>
      <c r="C12437" s="4">
        <v>563059</v>
      </c>
      <c r="D12437" s="4">
        <v>97010534</v>
      </c>
    </row>
    <row r="12438" spans="1:4" x14ac:dyDescent="0.25">
      <c r="A12438" t="str">
        <f>T("   310590")</f>
        <v xml:space="preserve">   310590</v>
      </c>
      <c r="B12438" t="str">
        <f>T("   AUTRES")</f>
        <v xml:space="preserve">   AUTRES</v>
      </c>
      <c r="C12438" s="4">
        <v>1897604</v>
      </c>
      <c r="D12438" s="4">
        <v>382658875</v>
      </c>
    </row>
    <row r="12439" spans="1:4" x14ac:dyDescent="0.25">
      <c r="A12439" t="str">
        <f>T("   320210")</f>
        <v xml:space="preserve">   320210</v>
      </c>
      <c r="B12439" t="str">
        <f>T("   Produits tannants organiques synthetiques")</f>
        <v xml:space="preserve">   Produits tannants organiques synthetiques</v>
      </c>
      <c r="C12439" s="4">
        <v>1107</v>
      </c>
      <c r="D12439" s="4">
        <v>3181405</v>
      </c>
    </row>
    <row r="12440" spans="1:4" x14ac:dyDescent="0.25">
      <c r="A12440" t="str">
        <f>T("   320300")</f>
        <v xml:space="preserve">   320300</v>
      </c>
      <c r="B12440" t="str">
        <f>T("   MATIERES COLORANTES D'ORIGINE VEGETALE OU ANIMALE (Y COMPRIS LES EXTRAITS TINCTORIAUX M")</f>
        <v xml:space="preserve">   MATIERES COLORANTES D'ORIGINE VEGETALE OU ANIMALE (Y COMPRIS LES EXTRAITS TINCTORIAUX M</v>
      </c>
      <c r="C12440" s="4">
        <v>1546</v>
      </c>
      <c r="D12440" s="4">
        <v>1807098</v>
      </c>
    </row>
    <row r="12441" spans="1:4" x14ac:dyDescent="0.25">
      <c r="A12441" t="str">
        <f>T("   320411")</f>
        <v xml:space="preserve">   320411</v>
      </c>
      <c r="B12441" t="str">
        <f>T("   Colorants disperses et preparations a base de ces colorants")</f>
        <v xml:space="preserve">   Colorants disperses et preparations a base de ces colorants</v>
      </c>
      <c r="C12441" s="4">
        <v>15430</v>
      </c>
      <c r="D12441" s="4">
        <v>84512631</v>
      </c>
    </row>
    <row r="12442" spans="1:4" x14ac:dyDescent="0.25">
      <c r="A12442" t="str">
        <f>T("   320412")</f>
        <v xml:space="preserve">   320412</v>
      </c>
      <c r="B12442" t="str">
        <f>T("   COLORANTS ACIDES, MEME METALLISES, ET PREPARATIONS A BASE DE CES COLORANTS; COLORANT")</f>
        <v xml:space="preserve">   COLORANTS ACIDES, MEME METALLISES, ET PREPARATIONS A BASE DE CES COLORANTS; COLORANT</v>
      </c>
      <c r="C12442" s="4">
        <v>296</v>
      </c>
      <c r="D12442" s="4">
        <v>641066</v>
      </c>
    </row>
    <row r="12443" spans="1:4" x14ac:dyDescent="0.25">
      <c r="A12443" t="str">
        <f>T("   320413")</f>
        <v xml:space="preserve">   320413</v>
      </c>
      <c r="B12443" t="str">
        <f>T("   Colorants basiques et preparations a base de ces colorants")</f>
        <v xml:space="preserve">   Colorants basiques et preparations a base de ces colorants</v>
      </c>
      <c r="C12443" s="4">
        <v>638</v>
      </c>
      <c r="D12443" s="4">
        <v>127000</v>
      </c>
    </row>
    <row r="12444" spans="1:4" x14ac:dyDescent="0.25">
      <c r="A12444" t="str">
        <f>T("   320414")</f>
        <v xml:space="preserve">   320414</v>
      </c>
      <c r="B12444" t="str">
        <f>T("   Colorants directs et preparations a base de ces colorants")</f>
        <v xml:space="preserve">   Colorants directs et preparations a base de ces colorants</v>
      </c>
      <c r="C12444" s="4">
        <v>510</v>
      </c>
      <c r="D12444" s="4">
        <v>189795</v>
      </c>
    </row>
    <row r="12445" spans="1:4" x14ac:dyDescent="0.25">
      <c r="A12445" t="str">
        <f>T("   320416")</f>
        <v xml:space="preserve">   320416</v>
      </c>
      <c r="B12445" t="str">
        <f>T("   Colorants reactifs et preparations a base de ces colorants")</f>
        <v xml:space="preserve">   Colorants reactifs et preparations a base de ces colorants</v>
      </c>
      <c r="C12445" s="4">
        <v>1200</v>
      </c>
      <c r="D12445" s="4">
        <v>279433</v>
      </c>
    </row>
    <row r="12446" spans="1:4" x14ac:dyDescent="0.25">
      <c r="A12446" t="str">
        <f>T("   320417")</f>
        <v xml:space="preserve">   320417</v>
      </c>
      <c r="B12446" t="str">
        <f>T("   Colorants pigmentaires et preparations a base de ces colorants")</f>
        <v xml:space="preserve">   Colorants pigmentaires et preparations a base de ces colorants</v>
      </c>
      <c r="C12446" s="4">
        <v>8923</v>
      </c>
      <c r="D12446" s="4">
        <v>16702593</v>
      </c>
    </row>
    <row r="12447" spans="1:4" x14ac:dyDescent="0.25">
      <c r="A12447" t="str">
        <f>T("   320419")</f>
        <v xml:space="preserve">   320419</v>
      </c>
      <c r="B12447" t="str">
        <f>T("   AUTRES, Y COMPRIS LES MELANGES DE MATIERES COLORANTES D'AU MOINS DEUX DES N°S 3204.1")</f>
        <v xml:space="preserve">   AUTRES, Y COMPRIS LES MELANGES DE MATIERES COLORANTES D'AU MOINS DEUX DES N°S 3204.1</v>
      </c>
      <c r="C12447" s="4">
        <v>40308</v>
      </c>
      <c r="D12447" s="4">
        <v>58843995</v>
      </c>
    </row>
    <row r="12448" spans="1:4" x14ac:dyDescent="0.25">
      <c r="A12448" t="str">
        <f>T("   320420")</f>
        <v xml:space="preserve">   320420</v>
      </c>
      <c r="B12448" t="str">
        <f>T("   PRODUITS ORGANIQUES SYNTHETIQUES DES TYPES UTILISES COMME AGENTS D'AVIVAGE FLUORESCEN")</f>
        <v xml:space="preserve">   PRODUITS ORGANIQUES SYNTHETIQUES DES TYPES UTILISES COMME AGENTS D'AVIVAGE FLUORESCEN</v>
      </c>
      <c r="C12448" s="4">
        <v>800</v>
      </c>
      <c r="D12448" s="4">
        <v>6275569</v>
      </c>
    </row>
    <row r="12449" spans="1:4" x14ac:dyDescent="0.25">
      <c r="A12449" t="str">
        <f>T("   320490")</f>
        <v xml:space="preserve">   320490</v>
      </c>
      <c r="B12449" t="str">
        <f>T("   AUTRES")</f>
        <v xml:space="preserve">   AUTRES</v>
      </c>
      <c r="C12449" s="4">
        <v>41830</v>
      </c>
      <c r="D12449" s="4">
        <v>47274726</v>
      </c>
    </row>
    <row r="12450" spans="1:4" x14ac:dyDescent="0.25">
      <c r="A12450" t="str">
        <f>T("   320611")</f>
        <v xml:space="preserve">   320611</v>
      </c>
      <c r="B12450" t="str">
        <f>T("   CONTENANT EN POIDS 80 % OU PLUS DE DIOXYDE DE TITANE, CALCULE SUR MATIERE SECHE")</f>
        <v xml:space="preserve">   CONTENANT EN POIDS 80 % OU PLUS DE DIOXYDE DE TITANE, CALCULE SUR MATIERE SECHE</v>
      </c>
      <c r="C12450" s="4">
        <v>116740</v>
      </c>
      <c r="D12450" s="4">
        <v>167963058</v>
      </c>
    </row>
    <row r="12451" spans="1:4" x14ac:dyDescent="0.25">
      <c r="A12451" t="str">
        <f>T("   320620")</f>
        <v xml:space="preserve">   320620</v>
      </c>
      <c r="B12451" t="str">
        <f>T("   PIGMENTS ET PREPARATIONS A BASE DE COMPOSES DU CHROME")</f>
        <v xml:space="preserve">   PIGMENTS ET PREPARATIONS A BASE DE COMPOSES DU CHROME</v>
      </c>
      <c r="C12451" s="4">
        <v>6229</v>
      </c>
      <c r="D12451" s="4">
        <v>23821291</v>
      </c>
    </row>
    <row r="12452" spans="1:4" x14ac:dyDescent="0.25">
      <c r="A12452" t="str">
        <f>T("   320641")</f>
        <v xml:space="preserve">   320641</v>
      </c>
      <c r="B12452" t="str">
        <f>T("   Outremer et ses preparations")</f>
        <v xml:space="preserve">   Outremer et ses preparations</v>
      </c>
      <c r="C12452" s="4">
        <v>52</v>
      </c>
      <c r="D12452" s="4">
        <v>213843</v>
      </c>
    </row>
    <row r="12453" spans="1:4" x14ac:dyDescent="0.25">
      <c r="A12453" t="str">
        <f>T("   320642")</f>
        <v xml:space="preserve">   320642</v>
      </c>
      <c r="B12453" t="str">
        <f>T("   LITHOPONE, AUTRES PIGMENTS ET PREPARATIONS A BASE DE SULFURE DE ZINC")</f>
        <v xml:space="preserve">   LITHOPONE, AUTRES PIGMENTS ET PREPARATIONS A BASE DE SULFURE DE ZINC</v>
      </c>
      <c r="C12453" s="4">
        <v>6645</v>
      </c>
      <c r="D12453" s="4">
        <v>24853012</v>
      </c>
    </row>
    <row r="12454" spans="1:4" x14ac:dyDescent="0.25">
      <c r="A12454" t="str">
        <f>T("   320649")</f>
        <v xml:space="preserve">   320649</v>
      </c>
      <c r="B12454" t="str">
        <f>T("   AUTRES")</f>
        <v xml:space="preserve">   AUTRES</v>
      </c>
      <c r="C12454" s="4">
        <v>2681</v>
      </c>
      <c r="D12454" s="4">
        <v>1611250</v>
      </c>
    </row>
    <row r="12455" spans="1:4" x14ac:dyDescent="0.25">
      <c r="A12455" t="str">
        <f>T("   320810")</f>
        <v xml:space="preserve">   320810</v>
      </c>
      <c r="B12455" t="str">
        <f>T("   A BASE DE POLYESTERS")</f>
        <v xml:space="preserve">   A BASE DE POLYESTERS</v>
      </c>
      <c r="C12455" s="4">
        <v>10488</v>
      </c>
      <c r="D12455" s="4">
        <v>4590500</v>
      </c>
    </row>
    <row r="12456" spans="1:4" x14ac:dyDescent="0.25">
      <c r="A12456" t="str">
        <f>T("   320820")</f>
        <v xml:space="preserve">   320820</v>
      </c>
      <c r="B12456" t="str">
        <f>T("   A BASE DE POLYMERES ACRYLIQUES OU VINYLIQUES")</f>
        <v xml:space="preserve">   A BASE DE POLYMERES ACRYLIQUES OU VINYLIQUES</v>
      </c>
      <c r="C12456" s="4">
        <v>2548684</v>
      </c>
      <c r="D12456" s="4">
        <v>533255923</v>
      </c>
    </row>
    <row r="12457" spans="1:4" x14ac:dyDescent="0.25">
      <c r="A12457" t="str">
        <f>T("   320890")</f>
        <v xml:space="preserve">   320890</v>
      </c>
      <c r="B12457" t="str">
        <f>T("   AUTRES")</f>
        <v xml:space="preserve">   AUTRES</v>
      </c>
      <c r="C12457" s="4">
        <v>275294</v>
      </c>
      <c r="D12457" s="4">
        <v>84616701</v>
      </c>
    </row>
    <row r="12458" spans="1:4" x14ac:dyDescent="0.25">
      <c r="A12458" t="str">
        <f>T("   320910")</f>
        <v xml:space="preserve">   320910</v>
      </c>
      <c r="B12458" t="str">
        <f>T("   A BASE DE POLYMERES ACRYLIQUES OU VINYLIQUES")</f>
        <v xml:space="preserve">   A BASE DE POLYMERES ACRYLIQUES OU VINYLIQUES</v>
      </c>
      <c r="C12458" s="4">
        <v>697792</v>
      </c>
      <c r="D12458" s="4">
        <v>130535832</v>
      </c>
    </row>
    <row r="12459" spans="1:4" x14ac:dyDescent="0.25">
      <c r="A12459" t="str">
        <f>T("   320990")</f>
        <v xml:space="preserve">   320990</v>
      </c>
      <c r="B12459" t="str">
        <f>T("   AUTRES")</f>
        <v xml:space="preserve">   AUTRES</v>
      </c>
      <c r="C12459" s="4">
        <v>28402.87</v>
      </c>
      <c r="D12459" s="4">
        <v>8939683</v>
      </c>
    </row>
    <row r="12460" spans="1:4" x14ac:dyDescent="0.25">
      <c r="A12460" t="str">
        <f>T("   321000")</f>
        <v xml:space="preserve">   321000</v>
      </c>
      <c r="B12460" t="str">
        <f>T("   AUTRES PEINTURES ET VERNIS; PIGMENTS A L'EAU PREPARES DES TYPES UTILISES POUR LE FINISS")</f>
        <v xml:space="preserve">   AUTRES PEINTURES ET VERNIS; PIGMENTS A L'EAU PREPARES DES TYPES UTILISES POUR LE FINISS</v>
      </c>
      <c r="C12460" s="4">
        <v>70940</v>
      </c>
      <c r="D12460" s="4">
        <v>21203762</v>
      </c>
    </row>
    <row r="12461" spans="1:4" x14ac:dyDescent="0.25">
      <c r="A12461" t="str">
        <f>T("   321100")</f>
        <v xml:space="preserve">   321100</v>
      </c>
      <c r="B12461" t="str">
        <f>T("   SICCATIFS PREPARES.")</f>
        <v xml:space="preserve">   SICCATIFS PREPARES.</v>
      </c>
      <c r="C12461" s="4">
        <v>1440</v>
      </c>
      <c r="D12461" s="4">
        <v>1370786</v>
      </c>
    </row>
    <row r="12462" spans="1:4" x14ac:dyDescent="0.25">
      <c r="A12462" t="str">
        <f>T("   321290")</f>
        <v xml:space="preserve">   321290</v>
      </c>
      <c r="B12462" t="str">
        <f>T("   AUTRES")</f>
        <v xml:space="preserve">   AUTRES</v>
      </c>
      <c r="C12462" s="4">
        <v>67922</v>
      </c>
      <c r="D12462" s="4">
        <v>15353438</v>
      </c>
    </row>
    <row r="12463" spans="1:4" x14ac:dyDescent="0.25">
      <c r="A12463" t="str">
        <f>T("   321310")</f>
        <v xml:space="preserve">   321310</v>
      </c>
      <c r="B12463" t="str">
        <f>T("   Couleurs en assortiments")</f>
        <v xml:space="preserve">   Couleurs en assortiments</v>
      </c>
      <c r="C12463" s="4">
        <v>784</v>
      </c>
      <c r="D12463" s="4">
        <v>451117</v>
      </c>
    </row>
    <row r="12464" spans="1:4" x14ac:dyDescent="0.25">
      <c r="A12464" t="str">
        <f>T("   321410")</f>
        <v xml:space="preserve">   321410</v>
      </c>
      <c r="B12464" t="str">
        <f>T("   MASTIC DE VITRIER, CIMENTS DE RESINE ET AUTRES MASTICS; ENDUITS UTILISES EN PEINTURE")</f>
        <v xml:space="preserve">   MASTIC DE VITRIER, CIMENTS DE RESINE ET AUTRES MASTICS; ENDUITS UTILISES EN PEINTURE</v>
      </c>
      <c r="C12464" s="4">
        <v>40606</v>
      </c>
      <c r="D12464" s="4">
        <v>23076185</v>
      </c>
    </row>
    <row r="12465" spans="1:4" x14ac:dyDescent="0.25">
      <c r="A12465" t="str">
        <f>T("   321490")</f>
        <v xml:space="preserve">   321490</v>
      </c>
      <c r="B12465" t="str">
        <f>T("   AUTRES")</f>
        <v xml:space="preserve">   AUTRES</v>
      </c>
      <c r="C12465" s="4">
        <v>228365</v>
      </c>
      <c r="D12465" s="4">
        <v>26385002</v>
      </c>
    </row>
    <row r="12466" spans="1:4" x14ac:dyDescent="0.25">
      <c r="A12466" t="str">
        <f>T("   321511")</f>
        <v xml:space="preserve">   321511</v>
      </c>
      <c r="B12466" t="str">
        <f>T("   NOIRES")</f>
        <v xml:space="preserve">   NOIRES</v>
      </c>
      <c r="C12466" s="4">
        <v>148</v>
      </c>
      <c r="D12466" s="4">
        <v>8972436</v>
      </c>
    </row>
    <row r="12467" spans="1:4" x14ac:dyDescent="0.25">
      <c r="A12467" t="str">
        <f>T("   321519")</f>
        <v xml:space="preserve">   321519</v>
      </c>
      <c r="B12467" t="str">
        <f>T("   AUTRES")</f>
        <v xml:space="preserve">   AUTRES</v>
      </c>
      <c r="C12467" s="4">
        <v>46444.5</v>
      </c>
      <c r="D12467" s="4">
        <v>86638562</v>
      </c>
    </row>
    <row r="12468" spans="1:4" x14ac:dyDescent="0.25">
      <c r="A12468" t="str">
        <f>T("   321590")</f>
        <v xml:space="preserve">   321590</v>
      </c>
      <c r="B12468" t="str">
        <f>T("   AUTRES")</f>
        <v xml:space="preserve">   AUTRES</v>
      </c>
      <c r="C12468" s="4">
        <v>39004.18</v>
      </c>
      <c r="D12468" s="4">
        <v>116880834</v>
      </c>
    </row>
    <row r="12469" spans="1:4" x14ac:dyDescent="0.25">
      <c r="A12469" t="str">
        <f>T("   330119")</f>
        <v xml:space="preserve">   330119</v>
      </c>
      <c r="B12469" t="str">
        <f>T("   AUTRES")</f>
        <v xml:space="preserve">   AUTRES</v>
      </c>
      <c r="C12469" s="4">
        <v>4791</v>
      </c>
      <c r="D12469" s="4">
        <v>6985891</v>
      </c>
    </row>
    <row r="12470" spans="1:4" x14ac:dyDescent="0.25">
      <c r="A12470" t="str">
        <f>T("   330124")</f>
        <v xml:space="preserve">   330124</v>
      </c>
      <c r="B12470" t="str">
        <f>T("   DE MENTHE POIVREE (MENTHA PIPERITA)")</f>
        <v xml:space="preserve">   DE MENTHE POIVREE (MENTHA PIPERITA)</v>
      </c>
      <c r="C12470" s="4">
        <v>40</v>
      </c>
      <c r="D12470" s="4">
        <v>95114</v>
      </c>
    </row>
    <row r="12471" spans="1:4" x14ac:dyDescent="0.25">
      <c r="A12471" t="str">
        <f>T("   330129")</f>
        <v xml:space="preserve">   330129</v>
      </c>
      <c r="B12471" t="str">
        <f>T("   AUTRES")</f>
        <v xml:space="preserve">   AUTRES</v>
      </c>
      <c r="C12471" s="4">
        <v>4664</v>
      </c>
      <c r="D12471" s="4">
        <v>1885682</v>
      </c>
    </row>
    <row r="12472" spans="1:4" x14ac:dyDescent="0.25">
      <c r="A12472" t="str">
        <f>T("   330190")</f>
        <v xml:space="preserve">   330190</v>
      </c>
      <c r="B12472" t="str">
        <f>T("   AUTRES")</f>
        <v xml:space="preserve">   AUTRES</v>
      </c>
      <c r="C12472" s="4">
        <v>75941</v>
      </c>
      <c r="D12472" s="4">
        <v>32533462</v>
      </c>
    </row>
    <row r="12473" spans="1:4" x14ac:dyDescent="0.25">
      <c r="A12473" t="str">
        <f>T("   330210")</f>
        <v xml:space="preserve">   330210</v>
      </c>
      <c r="B12473" t="str">
        <f>T("   DES TYPES UTILISES POUR LES INDUSTRIES ALIMENTAIRES OU DES BOISSONS")</f>
        <v xml:space="preserve">   DES TYPES UTILISES POUR LES INDUSTRIES ALIMENTAIRES OU DES BOISSONS</v>
      </c>
      <c r="C12473" s="4">
        <v>669300</v>
      </c>
      <c r="D12473" s="4">
        <v>4021581788</v>
      </c>
    </row>
    <row r="12474" spans="1:4" x14ac:dyDescent="0.25">
      <c r="A12474" t="str">
        <f>T("   330290")</f>
        <v xml:space="preserve">   330290</v>
      </c>
      <c r="B12474" t="str">
        <f>T("   AUTRES")</f>
        <v xml:space="preserve">   AUTRES</v>
      </c>
      <c r="C12474" s="4">
        <v>13214</v>
      </c>
      <c r="D12474" s="4">
        <v>23710674</v>
      </c>
    </row>
    <row r="12475" spans="1:4" x14ac:dyDescent="0.25">
      <c r="A12475" t="str">
        <f>T("   330300")</f>
        <v xml:space="preserve">   330300</v>
      </c>
      <c r="B12475" t="str">
        <f>T("   PARFUMS ET EAUX DE TOILETTE.")</f>
        <v xml:space="preserve">   PARFUMS ET EAUX DE TOILETTE.</v>
      </c>
      <c r="C12475" s="4">
        <v>174512.77</v>
      </c>
      <c r="D12475" s="4">
        <v>354466994</v>
      </c>
    </row>
    <row r="12476" spans="1:4" x14ac:dyDescent="0.25">
      <c r="A12476" t="str">
        <f>T("   330410")</f>
        <v xml:space="preserve">   330410</v>
      </c>
      <c r="B12476" t="str">
        <f>T("   Produits de maquillage pour les levres")</f>
        <v xml:space="preserve">   Produits de maquillage pour les levres</v>
      </c>
      <c r="C12476" s="4">
        <v>14177</v>
      </c>
      <c r="D12476" s="4">
        <v>3329351</v>
      </c>
    </row>
    <row r="12477" spans="1:4" x14ac:dyDescent="0.25">
      <c r="A12477" t="str">
        <f>T("   330420")</f>
        <v xml:space="preserve">   330420</v>
      </c>
      <c r="B12477" t="str">
        <f>T("   Produits de maquillage pour les yeux")</f>
        <v xml:space="preserve">   Produits de maquillage pour les yeux</v>
      </c>
      <c r="C12477" s="4">
        <v>2819</v>
      </c>
      <c r="D12477" s="4">
        <v>1044800</v>
      </c>
    </row>
    <row r="12478" spans="1:4" x14ac:dyDescent="0.25">
      <c r="A12478" t="str">
        <f>T("   330430")</f>
        <v xml:space="preserve">   330430</v>
      </c>
      <c r="B12478" t="str">
        <f>T("   Preparations pour manucures ou pedicures")</f>
        <v xml:space="preserve">   Preparations pour manucures ou pedicures</v>
      </c>
      <c r="C12478" s="4">
        <v>900</v>
      </c>
      <c r="D12478" s="4">
        <v>400000</v>
      </c>
    </row>
    <row r="12479" spans="1:4" x14ac:dyDescent="0.25">
      <c r="A12479" t="str">
        <f>T("   330491")</f>
        <v xml:space="preserve">   330491</v>
      </c>
      <c r="B12479" t="str">
        <f>T("   POUDRES, Y COMPRIS LES POUDRES COMPACTES")</f>
        <v xml:space="preserve">   POUDRES, Y COMPRIS LES POUDRES COMPACTES</v>
      </c>
      <c r="C12479" s="4">
        <v>26590</v>
      </c>
      <c r="D12479" s="4">
        <v>8462802</v>
      </c>
    </row>
    <row r="12480" spans="1:4" x14ac:dyDescent="0.25">
      <c r="A12480" t="str">
        <f>T("   330499")</f>
        <v xml:space="preserve">   330499</v>
      </c>
      <c r="B12480" t="str">
        <f>T("   AUTRES")</f>
        <v xml:space="preserve">   AUTRES</v>
      </c>
      <c r="C12480" s="4">
        <v>5662916.2999999998</v>
      </c>
      <c r="D12480" s="4">
        <v>2266492445</v>
      </c>
    </row>
    <row r="12481" spans="1:4" x14ac:dyDescent="0.25">
      <c r="A12481" t="str">
        <f>T("   330510")</f>
        <v xml:space="preserve">   330510</v>
      </c>
      <c r="B12481" t="str">
        <f>T("   Shampooings")</f>
        <v xml:space="preserve">   Shampooings</v>
      </c>
      <c r="C12481" s="4">
        <v>44420.4</v>
      </c>
      <c r="D12481" s="4">
        <v>23647437</v>
      </c>
    </row>
    <row r="12482" spans="1:4" x14ac:dyDescent="0.25">
      <c r="A12482" t="str">
        <f>T("   330520")</f>
        <v xml:space="preserve">   330520</v>
      </c>
      <c r="B12482" t="str">
        <f>T("   PREPARATIONS POUR L'ONDULATION OU LE DEFRISAGE PERMANENT")</f>
        <v xml:space="preserve">   PREPARATIONS POUR L'ONDULATION OU LE DEFRISAGE PERMANENT</v>
      </c>
      <c r="C12482" s="4">
        <v>13693</v>
      </c>
      <c r="D12482" s="4">
        <v>5665970</v>
      </c>
    </row>
    <row r="12483" spans="1:4" x14ac:dyDescent="0.25">
      <c r="A12483" t="str">
        <f>T("   330530")</f>
        <v xml:space="preserve">   330530</v>
      </c>
      <c r="B12483" t="str">
        <f>T("   Laques pour cheveux")</f>
        <v xml:space="preserve">   Laques pour cheveux</v>
      </c>
      <c r="C12483" s="4">
        <v>17100</v>
      </c>
      <c r="D12483" s="4">
        <v>2680253</v>
      </c>
    </row>
    <row r="12484" spans="1:4" x14ac:dyDescent="0.25">
      <c r="A12484" t="str">
        <f>T("   330590")</f>
        <v xml:space="preserve">   330590</v>
      </c>
      <c r="B12484" t="str">
        <f>T("   AUTRES")</f>
        <v xml:space="preserve">   AUTRES</v>
      </c>
      <c r="C12484" s="4">
        <v>52396</v>
      </c>
      <c r="D12484" s="4">
        <v>31902552</v>
      </c>
    </row>
    <row r="12485" spans="1:4" x14ac:dyDescent="0.25">
      <c r="A12485" t="str">
        <f>T("   330610")</f>
        <v xml:space="preserve">   330610</v>
      </c>
      <c r="B12485" t="str">
        <f>T("   Dentifrices")</f>
        <v xml:space="preserve">   Dentifrices</v>
      </c>
      <c r="C12485" s="4">
        <v>1735307.1</v>
      </c>
      <c r="D12485" s="4">
        <v>850659370</v>
      </c>
    </row>
    <row r="12486" spans="1:4" x14ac:dyDescent="0.25">
      <c r="A12486" t="str">
        <f>T("   330690")</f>
        <v xml:space="preserve">   330690</v>
      </c>
      <c r="B12486" t="str">
        <f>T("   AUTRES")</f>
        <v xml:space="preserve">   AUTRES</v>
      </c>
      <c r="C12486" s="4">
        <v>14396</v>
      </c>
      <c r="D12486" s="4">
        <v>10794230</v>
      </c>
    </row>
    <row r="12487" spans="1:4" x14ac:dyDescent="0.25">
      <c r="A12487" t="str">
        <f>T("   330710")</f>
        <v xml:space="preserve">   330710</v>
      </c>
      <c r="B12487" t="str">
        <f>T("   PREPARATIONS POUR LE PRERASAGE, LE RASAGE OU L'APRESRASAGE")</f>
        <v xml:space="preserve">   PREPARATIONS POUR LE PRERASAGE, LE RASAGE OU L'APRESRASAGE</v>
      </c>
      <c r="C12487" s="4">
        <v>3047</v>
      </c>
      <c r="D12487" s="4">
        <v>14412753</v>
      </c>
    </row>
    <row r="12488" spans="1:4" x14ac:dyDescent="0.25">
      <c r="A12488" t="str">
        <f>T("   330720")</f>
        <v xml:space="preserve">   330720</v>
      </c>
      <c r="B12488" t="str">
        <f>T("   Desodorisants corporels et antisudoraux")</f>
        <v xml:space="preserve">   Desodorisants corporels et antisudoraux</v>
      </c>
      <c r="C12488" s="4">
        <v>57139</v>
      </c>
      <c r="D12488" s="4">
        <v>88887528</v>
      </c>
    </row>
    <row r="12489" spans="1:4" x14ac:dyDescent="0.25">
      <c r="A12489" t="str">
        <f>T("   330730")</f>
        <v xml:space="preserve">   330730</v>
      </c>
      <c r="B12489" t="str">
        <f>T("   SELS PARFUMES ET AUTRES PREPARATIONS POUR BAINS")</f>
        <v xml:space="preserve">   SELS PARFUMES ET AUTRES PREPARATIONS POUR BAINS</v>
      </c>
      <c r="C12489" s="4">
        <v>5089</v>
      </c>
      <c r="D12489" s="4">
        <v>4577002</v>
      </c>
    </row>
    <row r="12490" spans="1:4" x14ac:dyDescent="0.25">
      <c r="A12490" t="str">
        <f>T("   330741")</f>
        <v xml:space="preserve">   330741</v>
      </c>
      <c r="B12490" t="str">
        <f>T("   «AGARBATTI» ET AUTRES PREPARATIONS ODORIFERANTES AGISSANT PAR COMBUSTION")</f>
        <v xml:space="preserve">   «AGARBATTI» ET AUTRES PREPARATIONS ODORIFERANTES AGISSANT PAR COMBUSTION</v>
      </c>
      <c r="C12490" s="4">
        <v>5770</v>
      </c>
      <c r="D12490" s="4">
        <v>2141054</v>
      </c>
    </row>
    <row r="12491" spans="1:4" x14ac:dyDescent="0.25">
      <c r="A12491" t="str">
        <f>T("   330749")</f>
        <v xml:space="preserve">   330749</v>
      </c>
      <c r="B12491" t="str">
        <f>T("   AUTRES")</f>
        <v xml:space="preserve">   AUTRES</v>
      </c>
      <c r="C12491" s="4">
        <v>90460.5</v>
      </c>
      <c r="D12491" s="4">
        <v>57806165</v>
      </c>
    </row>
    <row r="12492" spans="1:4" x14ac:dyDescent="0.25">
      <c r="A12492" t="str">
        <f>T("   330790")</f>
        <v xml:space="preserve">   330790</v>
      </c>
      <c r="B12492" t="str">
        <f>T("   AUTRES")</f>
        <v xml:space="preserve">   AUTRES</v>
      </c>
      <c r="C12492" s="4">
        <v>101453</v>
      </c>
      <c r="D12492" s="4">
        <v>48914570</v>
      </c>
    </row>
    <row r="12493" spans="1:4" x14ac:dyDescent="0.25">
      <c r="A12493" t="str">
        <f>T("   340111")</f>
        <v xml:space="preserve">   340111</v>
      </c>
      <c r="B12493" t="str">
        <f>T("   DE TOILETTE (Y COMPRIS CEUX A USAGES MEDICAUX)")</f>
        <v xml:space="preserve">   DE TOILETTE (Y COMPRIS CEUX A USAGES MEDICAUX)</v>
      </c>
      <c r="C12493" s="4">
        <v>5738964</v>
      </c>
      <c r="D12493" s="4">
        <v>1561307943</v>
      </c>
    </row>
    <row r="12494" spans="1:4" x14ac:dyDescent="0.25">
      <c r="A12494" t="str">
        <f>T("   340119")</f>
        <v xml:space="preserve">   340119</v>
      </c>
      <c r="B12494" t="str">
        <f>T("   AUTRES")</f>
        <v xml:space="preserve">   AUTRES</v>
      </c>
      <c r="C12494" s="4">
        <v>15475300</v>
      </c>
      <c r="D12494" s="4">
        <v>4624341136</v>
      </c>
    </row>
    <row r="12495" spans="1:4" x14ac:dyDescent="0.25">
      <c r="A12495" t="str">
        <f>T("   340120")</f>
        <v xml:space="preserve">   340120</v>
      </c>
      <c r="B12495" t="str">
        <f>T("   SAVONS SOUS AUTRES FORMES")</f>
        <v xml:space="preserve">   SAVONS SOUS AUTRES FORMES</v>
      </c>
      <c r="C12495" s="4">
        <v>3761034</v>
      </c>
      <c r="D12495" s="4">
        <v>1101083025</v>
      </c>
    </row>
    <row r="12496" spans="1:4" x14ac:dyDescent="0.25">
      <c r="A12496" t="str">
        <f>T("   340130")</f>
        <v xml:space="preserve">   340130</v>
      </c>
      <c r="B12496" t="str">
        <f>T("   PRODUITS ET PREPARATIONS ORGANIQUES TENSIOACTIFS DESTINES AU LAVAGE DE LA PEAU, SOUS")</f>
        <v xml:space="preserve">   PRODUITS ET PREPARATIONS ORGANIQUES TENSIOACTIFS DESTINES AU LAVAGE DE LA PEAU, SOUS</v>
      </c>
      <c r="C12496" s="4">
        <v>44546</v>
      </c>
      <c r="D12496" s="4">
        <v>111069302</v>
      </c>
    </row>
    <row r="12497" spans="1:4" x14ac:dyDescent="0.25">
      <c r="A12497" t="str">
        <f>T("   340212")</f>
        <v xml:space="preserve">   340212</v>
      </c>
      <c r="B12497" t="str">
        <f>T("   CATIONIQUES")</f>
        <v xml:space="preserve">   CATIONIQUES</v>
      </c>
      <c r="C12497" s="4">
        <v>15680</v>
      </c>
      <c r="D12497" s="4">
        <v>5050892</v>
      </c>
    </row>
    <row r="12498" spans="1:4" x14ac:dyDescent="0.25">
      <c r="A12498" t="str">
        <f>T("   340213")</f>
        <v xml:space="preserve">   340213</v>
      </c>
      <c r="B12498" t="str">
        <f>T("   NONIONIQUES")</f>
        <v xml:space="preserve">   NONIONIQUES</v>
      </c>
      <c r="C12498" s="4">
        <v>1000</v>
      </c>
      <c r="D12498" s="4">
        <v>2077595</v>
      </c>
    </row>
    <row r="12499" spans="1:4" x14ac:dyDescent="0.25">
      <c r="A12499" t="str">
        <f>T("   340219")</f>
        <v xml:space="preserve">   340219</v>
      </c>
      <c r="B12499" t="str">
        <f>T("   AUTRES")</f>
        <v xml:space="preserve">   AUTRES</v>
      </c>
      <c r="C12499" s="4">
        <v>591655</v>
      </c>
      <c r="D12499" s="4">
        <v>198193561</v>
      </c>
    </row>
    <row r="12500" spans="1:4" x14ac:dyDescent="0.25">
      <c r="A12500" t="str">
        <f>T("   340220")</f>
        <v xml:space="preserve">   340220</v>
      </c>
      <c r="B12500" t="str">
        <f>T("   PREPARATIONS CONDITIONNEES POUR LA VENTE AU DETAIL")</f>
        <v xml:space="preserve">   PREPARATIONS CONDITIONNEES POUR LA VENTE AU DETAIL</v>
      </c>
      <c r="C12500" s="4">
        <v>875080</v>
      </c>
      <c r="D12500" s="4">
        <v>544934812</v>
      </c>
    </row>
    <row r="12501" spans="1:4" x14ac:dyDescent="0.25">
      <c r="A12501" t="str">
        <f>T("   340290")</f>
        <v xml:space="preserve">   340290</v>
      </c>
      <c r="B12501" t="str">
        <f>T("   AUTRES")</f>
        <v xml:space="preserve">   AUTRES</v>
      </c>
      <c r="C12501" s="4">
        <v>2913523</v>
      </c>
      <c r="D12501" s="4">
        <v>1290049870</v>
      </c>
    </row>
    <row r="12502" spans="1:4" x14ac:dyDescent="0.25">
      <c r="A12502" t="str">
        <f>T("   340319")</f>
        <v xml:space="preserve">   340319</v>
      </c>
      <c r="B12502" t="str">
        <f>T("   AUTRES")</f>
        <v xml:space="preserve">   AUTRES</v>
      </c>
      <c r="C12502" s="4">
        <v>47155</v>
      </c>
      <c r="D12502" s="4">
        <v>63614059</v>
      </c>
    </row>
    <row r="12503" spans="1:4" x14ac:dyDescent="0.25">
      <c r="A12503" t="str">
        <f>T("   340399")</f>
        <v xml:space="preserve">   340399</v>
      </c>
      <c r="B12503" t="str">
        <f>T("   AUTRES")</f>
        <v xml:space="preserve">   AUTRES</v>
      </c>
      <c r="C12503" s="4">
        <v>80082</v>
      </c>
      <c r="D12503" s="4">
        <v>96551161</v>
      </c>
    </row>
    <row r="12504" spans="1:4" x14ac:dyDescent="0.25">
      <c r="A12504" t="str">
        <f>T("   340490")</f>
        <v xml:space="preserve">   340490</v>
      </c>
      <c r="B12504" t="str">
        <f>T("   AUTRES")</f>
        <v xml:space="preserve">   AUTRES</v>
      </c>
      <c r="C12504" s="4">
        <v>36529.769999999997</v>
      </c>
      <c r="D12504" s="4">
        <v>25359907</v>
      </c>
    </row>
    <row r="12505" spans="1:4" x14ac:dyDescent="0.25">
      <c r="A12505" t="str">
        <f>T("   340510")</f>
        <v xml:space="preserve">   340510</v>
      </c>
      <c r="B12505" t="str">
        <f>T("   CIRAGES, CREMES ET PREPARATIONS SIMILAIRES POUR CHAUSSURES OU POUR CUIR")</f>
        <v xml:space="preserve">   CIRAGES, CREMES ET PREPARATIONS SIMILAIRES POUR CHAUSSURES OU POUR CUIR</v>
      </c>
      <c r="C12505" s="4">
        <v>21749</v>
      </c>
      <c r="D12505" s="4">
        <v>3232995</v>
      </c>
    </row>
    <row r="12506" spans="1:4" x14ac:dyDescent="0.25">
      <c r="A12506" t="str">
        <f>T("   340520")</f>
        <v xml:space="preserve">   340520</v>
      </c>
      <c r="B12506" t="str">
        <f>T("   ENCAUSTIQUES ET PREPARATIONS SIMILAIRES POUR L'ENTRETIEN DES MEUBLES EN BOIS, DES PAR")</f>
        <v xml:space="preserve">   ENCAUSTIQUES ET PREPARATIONS SIMILAIRES POUR L'ENTRETIEN DES MEUBLES EN BOIS, DES PAR</v>
      </c>
      <c r="C12506" s="4">
        <v>8012</v>
      </c>
      <c r="D12506" s="4">
        <v>11753774</v>
      </c>
    </row>
    <row r="12507" spans="1:4" x14ac:dyDescent="0.25">
      <c r="A12507" t="str">
        <f>T("   340530")</f>
        <v xml:space="preserve">   340530</v>
      </c>
      <c r="B12507" t="str">
        <f>T("   BRILLANTS ET PREPARATIONS SIMILAIRES POUR CARROSSERIES, AUTRES QUE LES BRILLANTS POUR")</f>
        <v xml:space="preserve">   BRILLANTS ET PREPARATIONS SIMILAIRES POUR CARROSSERIES, AUTRES QUE LES BRILLANTS POUR</v>
      </c>
      <c r="C12507" s="4">
        <v>4163</v>
      </c>
      <c r="D12507" s="4">
        <v>4917500</v>
      </c>
    </row>
    <row r="12508" spans="1:4" x14ac:dyDescent="0.25">
      <c r="A12508" t="str">
        <f>T("   340540")</f>
        <v xml:space="preserve">   340540</v>
      </c>
      <c r="B12508" t="str">
        <f>T("   PATES, POUDRES ET AUTRES PREPARATIONS A RECURER")</f>
        <v xml:space="preserve">   PATES, POUDRES ET AUTRES PREPARATIONS A RECURER</v>
      </c>
      <c r="C12508" s="4">
        <v>15210</v>
      </c>
      <c r="D12508" s="4">
        <v>10248065</v>
      </c>
    </row>
    <row r="12509" spans="1:4" x14ac:dyDescent="0.25">
      <c r="A12509" t="str">
        <f>T("   340590")</f>
        <v xml:space="preserve">   340590</v>
      </c>
      <c r="B12509" t="str">
        <f>T("   AUTRES")</f>
        <v xml:space="preserve">   AUTRES</v>
      </c>
      <c r="C12509" s="4">
        <v>14627</v>
      </c>
      <c r="D12509" s="4">
        <v>25813580</v>
      </c>
    </row>
    <row r="12510" spans="1:4" x14ac:dyDescent="0.25">
      <c r="A12510" t="str">
        <f>T("   340600")</f>
        <v xml:space="preserve">   340600</v>
      </c>
      <c r="B12510" t="str">
        <f>T("   BOUGIES, CHANDELLES, CIERGES ET ARTICLES SIMILAIRES.")</f>
        <v xml:space="preserve">   BOUGIES, CHANDELLES, CIERGES ET ARTICLES SIMILAIRES.</v>
      </c>
      <c r="C12510" s="4">
        <v>1291219.5</v>
      </c>
      <c r="D12510" s="4">
        <v>325859293</v>
      </c>
    </row>
    <row r="12511" spans="1:4" x14ac:dyDescent="0.25">
      <c r="A12511" t="str">
        <f>T("   350190")</f>
        <v xml:space="preserve">   350190</v>
      </c>
      <c r="B12511" t="str">
        <f>T("   AUTRES")</f>
        <v xml:space="preserve">   AUTRES</v>
      </c>
      <c r="C12511" s="4">
        <v>67827</v>
      </c>
      <c r="D12511" s="4">
        <v>115232318</v>
      </c>
    </row>
    <row r="12512" spans="1:4" x14ac:dyDescent="0.25">
      <c r="A12512" t="str">
        <f>T("   350510")</f>
        <v xml:space="preserve">   350510</v>
      </c>
      <c r="B12512" t="str">
        <f>T("   Dextrine et autres amidons et fecules modifies")</f>
        <v xml:space="preserve">   Dextrine et autres amidons et fecules modifies</v>
      </c>
      <c r="C12512" s="4">
        <v>108016</v>
      </c>
      <c r="D12512" s="4">
        <v>84303575</v>
      </c>
    </row>
    <row r="12513" spans="1:4" x14ac:dyDescent="0.25">
      <c r="A12513" t="str">
        <f>T("   350520")</f>
        <v xml:space="preserve">   350520</v>
      </c>
      <c r="B12513" t="str">
        <f>T("   Colles")</f>
        <v xml:space="preserve">   Colles</v>
      </c>
      <c r="C12513" s="4">
        <v>55484</v>
      </c>
      <c r="D12513" s="4">
        <v>35913882</v>
      </c>
    </row>
    <row r="12514" spans="1:4" x14ac:dyDescent="0.25">
      <c r="A12514" t="str">
        <f>T("   350610")</f>
        <v xml:space="preserve">   350610</v>
      </c>
      <c r="B12514" t="str">
        <f>T("   PRODUITS DE TOUTE ESPECE A USAGE DE COLLES OU D'ADHESIFS, CONDITIONNES POUR LA VENTE")</f>
        <v xml:space="preserve">   PRODUITS DE TOUTE ESPECE A USAGE DE COLLES OU D'ADHESIFS, CONDITIONNES POUR LA VENTE</v>
      </c>
      <c r="C12514" s="4">
        <v>180847.5</v>
      </c>
      <c r="D12514" s="4">
        <v>106483888</v>
      </c>
    </row>
    <row r="12515" spans="1:4" x14ac:dyDescent="0.25">
      <c r="A12515" t="str">
        <f>T("   350691")</f>
        <v xml:space="preserve">   350691</v>
      </c>
      <c r="B12515" t="str">
        <f>T("   ADHESIFS A BASE DE POLYMERES DES N°S 39.01 A 39.13 OU DE CAOUTCHOUC")</f>
        <v xml:space="preserve">   ADHESIFS A BASE DE POLYMERES DES N°S 39.01 A 39.13 OU DE CAOUTCHOUC</v>
      </c>
      <c r="C12515" s="4">
        <v>57253</v>
      </c>
      <c r="D12515" s="4">
        <v>128624707</v>
      </c>
    </row>
    <row r="12516" spans="1:4" x14ac:dyDescent="0.25">
      <c r="A12516" t="str">
        <f>T("   350699")</f>
        <v xml:space="preserve">   350699</v>
      </c>
      <c r="B12516" t="str">
        <f>T("   AUTRES")</f>
        <v xml:space="preserve">   AUTRES</v>
      </c>
      <c r="C12516" s="4">
        <v>162106.9</v>
      </c>
      <c r="D12516" s="4">
        <v>72205430</v>
      </c>
    </row>
    <row r="12517" spans="1:4" x14ac:dyDescent="0.25">
      <c r="A12517" t="str">
        <f>T("   350790")</f>
        <v xml:space="preserve">   350790</v>
      </c>
      <c r="B12517" t="str">
        <f>T("   AUTRES")</f>
        <v xml:space="preserve">   AUTRES</v>
      </c>
      <c r="C12517" s="4">
        <v>7122</v>
      </c>
      <c r="D12517" s="4">
        <v>51052904</v>
      </c>
    </row>
    <row r="12518" spans="1:4" x14ac:dyDescent="0.25">
      <c r="A12518" t="str">
        <f>T("   360200")</f>
        <v xml:space="preserve">   360200</v>
      </c>
      <c r="B12518" t="str">
        <f>T("   EXPLOSIFS PREPARES, AUTRES QUE LES POUDRES PROPULSIVES.")</f>
        <v xml:space="preserve">   EXPLOSIFS PREPARES, AUTRES QUE LES POUDRES PROPULSIVES.</v>
      </c>
      <c r="C12518" s="4">
        <v>100034</v>
      </c>
      <c r="D12518" s="4">
        <v>210853896</v>
      </c>
    </row>
    <row r="12519" spans="1:4" x14ac:dyDescent="0.25">
      <c r="A12519" t="str">
        <f>T("   360300")</f>
        <v xml:space="preserve">   360300</v>
      </c>
      <c r="B12519" t="str">
        <f>T("   MECHES DE SURETE; CORDEAUX DETONANTS; AMORCES ET CAPSULES FULMINANTES; ALLUMEURS; DETON")</f>
        <v xml:space="preserve">   MECHES DE SURETE; CORDEAUX DETONANTS; AMORCES ET CAPSULES FULMINANTES; ALLUMEURS; DETON</v>
      </c>
      <c r="C12519" s="4">
        <v>5149.5</v>
      </c>
      <c r="D12519" s="4">
        <v>45533925</v>
      </c>
    </row>
    <row r="12520" spans="1:4" x14ac:dyDescent="0.25">
      <c r="A12520" t="str">
        <f>T("   360490")</f>
        <v xml:space="preserve">   360490</v>
      </c>
      <c r="B12520" t="str">
        <f>T("   AUTRES")</f>
        <v xml:space="preserve">   AUTRES</v>
      </c>
      <c r="C12520" s="4">
        <v>400</v>
      </c>
      <c r="D12520" s="4">
        <v>300000</v>
      </c>
    </row>
    <row r="12521" spans="1:4" x14ac:dyDescent="0.25">
      <c r="A12521" t="str">
        <f>T("   360500")</f>
        <v xml:space="preserve">   360500</v>
      </c>
      <c r="B12521" t="str">
        <f>T("   ALLUMETTES, AUTRES QUE LES ARTICLES DE PYROTECHNIE DU N° 36.04.")</f>
        <v xml:space="preserve">   ALLUMETTES, AUTRES QUE LES ARTICLES DE PYROTECHNIE DU N° 36.04.</v>
      </c>
      <c r="C12521" s="4">
        <v>736887</v>
      </c>
      <c r="D12521" s="4">
        <v>257421923</v>
      </c>
    </row>
    <row r="12522" spans="1:4" x14ac:dyDescent="0.25">
      <c r="A12522" t="str">
        <f>T("   360690")</f>
        <v xml:space="preserve">   360690</v>
      </c>
      <c r="B12522" t="str">
        <f>T("   AUTRES")</f>
        <v xml:space="preserve">   AUTRES</v>
      </c>
      <c r="C12522" s="4">
        <v>11584</v>
      </c>
      <c r="D12522" s="4">
        <v>1889563</v>
      </c>
    </row>
    <row r="12523" spans="1:4" x14ac:dyDescent="0.25">
      <c r="A12523" t="str">
        <f>T("   370110")</f>
        <v xml:space="preserve">   370110</v>
      </c>
      <c r="B12523" t="str">
        <f>T("   POUR RAYONS X")</f>
        <v xml:space="preserve">   POUR RAYONS X</v>
      </c>
      <c r="C12523" s="4">
        <v>10607</v>
      </c>
      <c r="D12523" s="4">
        <v>97952151</v>
      </c>
    </row>
    <row r="12524" spans="1:4" x14ac:dyDescent="0.25">
      <c r="A12524" t="str">
        <f>T("   370120")</f>
        <v xml:space="preserve">   370120</v>
      </c>
      <c r="B12524" t="str">
        <f>T("   FILMS A DEVELOPPEMENT ET TIRAGE INSTANTANES")</f>
        <v xml:space="preserve">   FILMS A DEVELOPPEMENT ET TIRAGE INSTANTANES</v>
      </c>
      <c r="C12524" s="4">
        <v>4721</v>
      </c>
      <c r="D12524" s="4">
        <v>2164675</v>
      </c>
    </row>
    <row r="12525" spans="1:4" x14ac:dyDescent="0.25">
      <c r="A12525" t="str">
        <f>T("   370239")</f>
        <v xml:space="preserve">   370239</v>
      </c>
      <c r="B12525" t="str">
        <f>T("   AUTRES")</f>
        <v xml:space="preserve">   AUTRES</v>
      </c>
      <c r="C12525" s="4">
        <v>538</v>
      </c>
      <c r="D12525" s="4">
        <v>182400</v>
      </c>
    </row>
    <row r="12526" spans="1:4" x14ac:dyDescent="0.25">
      <c r="A12526" t="str">
        <f>T("   370244")</f>
        <v xml:space="preserve">   370244</v>
      </c>
      <c r="B12526" t="str">
        <f>T("   D'UNE LARGEUR EXCEDANT 105 MM MAIS N'EXCEDANT PAS 610 MM")</f>
        <v xml:space="preserve">   D'UNE LARGEUR EXCEDANT 105 MM MAIS N'EXCEDANT PAS 610 MM</v>
      </c>
      <c r="C12526" s="4">
        <v>322</v>
      </c>
      <c r="D12526" s="4">
        <v>371929</v>
      </c>
    </row>
    <row r="12527" spans="1:4" x14ac:dyDescent="0.25">
      <c r="A12527" t="str">
        <f>T("   370310")</f>
        <v xml:space="preserve">   370310</v>
      </c>
      <c r="B12527" t="str">
        <f>T("   EN ROULEAUX, D'UNE LARGEUR EXCEDANT 610 MM")</f>
        <v xml:space="preserve">   EN ROULEAUX, D'UNE LARGEUR EXCEDANT 610 MM</v>
      </c>
      <c r="C12527" s="4">
        <v>132</v>
      </c>
      <c r="D12527" s="4">
        <v>433170</v>
      </c>
    </row>
    <row r="12528" spans="1:4" x14ac:dyDescent="0.25">
      <c r="A12528" t="str">
        <f>T("   370320")</f>
        <v xml:space="preserve">   370320</v>
      </c>
      <c r="B12528" t="str">
        <f>T("   AUTRES, POUR LA PHOTOGRAPHIE EN COULEURS (POLYCHROME)")</f>
        <v xml:space="preserve">   AUTRES, POUR LA PHOTOGRAPHIE EN COULEURS (POLYCHROME)</v>
      </c>
      <c r="C12528" s="4">
        <v>73632</v>
      </c>
      <c r="D12528" s="4">
        <v>13849537</v>
      </c>
    </row>
    <row r="12529" spans="1:4" x14ac:dyDescent="0.25">
      <c r="A12529" t="str">
        <f>T("   370390")</f>
        <v xml:space="preserve">   370390</v>
      </c>
      <c r="B12529" t="str">
        <f>T("   AUTRES")</f>
        <v xml:space="preserve">   AUTRES</v>
      </c>
      <c r="C12529" s="4">
        <v>6433</v>
      </c>
      <c r="D12529" s="4">
        <v>802465</v>
      </c>
    </row>
    <row r="12530" spans="1:4" x14ac:dyDescent="0.25">
      <c r="A12530" t="str">
        <f>T("   370400")</f>
        <v xml:space="preserve">   370400</v>
      </c>
      <c r="B12530" t="str">
        <f>T("   PLAQUES, PELLICULES, FILMS, PAPIERS, CARTONS ET TEXTILES, PHOTOGRAPHIQUES, IMPRESSIONNE")</f>
        <v xml:space="preserve">   PLAQUES, PELLICULES, FILMS, PAPIERS, CARTONS ET TEXTILES, PHOTOGRAPHIQUES, IMPRESSIONNE</v>
      </c>
      <c r="C12530" s="4">
        <v>4862</v>
      </c>
      <c r="D12530" s="4">
        <v>2680422</v>
      </c>
    </row>
    <row r="12531" spans="1:4" x14ac:dyDescent="0.25">
      <c r="A12531" t="str">
        <f>T("   370590")</f>
        <v xml:space="preserve">   370590</v>
      </c>
      <c r="B12531" t="str">
        <f>T("   AUTRES")</f>
        <v xml:space="preserve">   AUTRES</v>
      </c>
      <c r="C12531" s="4">
        <v>200</v>
      </c>
      <c r="D12531" s="4">
        <v>30000</v>
      </c>
    </row>
    <row r="12532" spans="1:4" x14ac:dyDescent="0.25">
      <c r="A12532" t="str">
        <f>T("   370790")</f>
        <v xml:space="preserve">   370790</v>
      </c>
      <c r="B12532" t="str">
        <f>T("   AUTRES")</f>
        <v xml:space="preserve">   AUTRES</v>
      </c>
      <c r="C12532" s="4">
        <v>61821</v>
      </c>
      <c r="D12532" s="4">
        <v>31059986</v>
      </c>
    </row>
    <row r="12533" spans="1:4" x14ac:dyDescent="0.25">
      <c r="A12533" t="str">
        <f>T("   380190")</f>
        <v xml:space="preserve">   380190</v>
      </c>
      <c r="B12533" t="str">
        <f>T("   AUTRES")</f>
        <v xml:space="preserve">   AUTRES</v>
      </c>
      <c r="C12533" s="4">
        <v>4400</v>
      </c>
      <c r="D12533" s="4">
        <v>538181</v>
      </c>
    </row>
    <row r="12534" spans="1:4" x14ac:dyDescent="0.25">
      <c r="A12534" t="str">
        <f>T("   380210")</f>
        <v xml:space="preserve">   380210</v>
      </c>
      <c r="B12534" t="str">
        <f>T("   Charbons actives")</f>
        <v xml:space="preserve">   Charbons actives</v>
      </c>
      <c r="C12534" s="4">
        <v>9558</v>
      </c>
      <c r="D12534" s="4">
        <v>25637388</v>
      </c>
    </row>
    <row r="12535" spans="1:4" x14ac:dyDescent="0.25">
      <c r="A12535" t="str">
        <f>T("   380290")</f>
        <v xml:space="preserve">   380290</v>
      </c>
      <c r="B12535" t="str">
        <f>T("   AUTRES")</f>
        <v xml:space="preserve">   AUTRES</v>
      </c>
      <c r="C12535" s="4">
        <v>42417</v>
      </c>
      <c r="D12535" s="4">
        <v>20702179</v>
      </c>
    </row>
    <row r="12536" spans="1:4" x14ac:dyDescent="0.25">
      <c r="A12536" t="str">
        <f>T("   380510")</f>
        <v xml:space="preserve">   380510</v>
      </c>
      <c r="B12536" t="str">
        <f>T("   ESSENCES DE TEREBENTHINE, DE BOIS DE PIN OU DE PAPETERIE AU SULFATE")</f>
        <v xml:space="preserve">   ESSENCES DE TEREBENTHINE, DE BOIS DE PIN OU DE PAPETERIE AU SULFATE</v>
      </c>
      <c r="C12536" s="4">
        <v>280</v>
      </c>
      <c r="D12536" s="4">
        <v>43639</v>
      </c>
    </row>
    <row r="12537" spans="1:4" x14ac:dyDescent="0.25">
      <c r="A12537" t="str">
        <f>T("   380620")</f>
        <v xml:space="preserve">   380620</v>
      </c>
      <c r="B12537" t="str">
        <f>T("   SELS DE COLOPHANES, D'ACIDES RESINIQUES OU DE DERIVES DE COLOPHANES OU D'ACIDES RESIN")</f>
        <v xml:space="preserve">   SELS DE COLOPHANES, D'ACIDES RESINIQUES OU DE DERIVES DE COLOPHANES OU D'ACIDES RESIN</v>
      </c>
      <c r="C12537" s="4">
        <v>70</v>
      </c>
      <c r="D12537" s="4">
        <v>43638</v>
      </c>
    </row>
    <row r="12538" spans="1:4" x14ac:dyDescent="0.25">
      <c r="A12538" t="str">
        <f>T("   380810")</f>
        <v xml:space="preserve">   380810</v>
      </c>
      <c r="B12538" t="str">
        <f>T("   Insecticides")</f>
        <v xml:space="preserve">   Insecticides</v>
      </c>
      <c r="C12538" s="4">
        <v>116620</v>
      </c>
      <c r="D12538" s="4">
        <v>17760852</v>
      </c>
    </row>
    <row r="12539" spans="1:4" x14ac:dyDescent="0.25">
      <c r="A12539" t="str">
        <f>T("   380850")</f>
        <v xml:space="preserve">   380850</v>
      </c>
      <c r="B12539" t="str">
        <f>T("   MARCHANDISES MENTIONNEES DANS LA NOTE 1 DE SOUSPOSITIONS DU PRESENT CHAPITRE")</f>
        <v xml:space="preserve">   MARCHANDISES MENTIONNEES DANS LA NOTE 1 DE SOUSPOSITIONS DU PRESENT CHAPITRE</v>
      </c>
      <c r="C12539" s="4">
        <v>3094267.68</v>
      </c>
      <c r="D12539" s="4">
        <v>2038673656</v>
      </c>
    </row>
    <row r="12540" spans="1:4" x14ac:dyDescent="0.25">
      <c r="A12540" t="str">
        <f>T("   380890")</f>
        <v xml:space="preserve">   380890</v>
      </c>
      <c r="B12540" t="str">
        <f>T("   AUTRES PRODUITS DU N 38.08")</f>
        <v xml:space="preserve">   AUTRES PRODUITS DU N 38.08</v>
      </c>
      <c r="C12540" s="4">
        <v>5100</v>
      </c>
      <c r="D12540" s="4">
        <v>1667037</v>
      </c>
    </row>
    <row r="12541" spans="1:4" x14ac:dyDescent="0.25">
      <c r="A12541" t="str">
        <f>T("   380891")</f>
        <v xml:space="preserve">   380891</v>
      </c>
      <c r="B12541" t="str">
        <f>T("   INSECTICIDES")</f>
        <v xml:space="preserve">   INSECTICIDES</v>
      </c>
      <c r="C12541" s="4">
        <v>466826.1</v>
      </c>
      <c r="D12541" s="4">
        <v>236435819</v>
      </c>
    </row>
    <row r="12542" spans="1:4" x14ac:dyDescent="0.25">
      <c r="A12542" t="str">
        <f>T("   380893")</f>
        <v xml:space="preserve">   380893</v>
      </c>
      <c r="B12542" t="str">
        <f>T("   HERBICIDES, INHIBITEURS DE GERMINATION ET REGULATEURS DE CROISSANCE POUR PLANTES")</f>
        <v xml:space="preserve">   HERBICIDES, INHIBITEURS DE GERMINATION ET REGULATEURS DE CROISSANCE POUR PLANTES</v>
      </c>
      <c r="C12542" s="4">
        <v>148800</v>
      </c>
      <c r="D12542" s="4">
        <v>264037151</v>
      </c>
    </row>
    <row r="12543" spans="1:4" x14ac:dyDescent="0.25">
      <c r="A12543" t="str">
        <f>T("   380894")</f>
        <v xml:space="preserve">   380894</v>
      </c>
      <c r="B12543" t="str">
        <f>T("   DESINFECTANTS")</f>
        <v xml:space="preserve">   DESINFECTANTS</v>
      </c>
      <c r="C12543" s="4">
        <v>83416</v>
      </c>
      <c r="D12543" s="4">
        <v>148590049</v>
      </c>
    </row>
    <row r="12544" spans="1:4" x14ac:dyDescent="0.25">
      <c r="A12544" t="str">
        <f>T("   380899")</f>
        <v xml:space="preserve">   380899</v>
      </c>
      <c r="B12544" t="str">
        <f>T("   AUTRES")</f>
        <v xml:space="preserve">   AUTRES</v>
      </c>
      <c r="C12544" s="4">
        <v>10017.08</v>
      </c>
      <c r="D12544" s="4">
        <v>12405182</v>
      </c>
    </row>
    <row r="12545" spans="1:4" x14ac:dyDescent="0.25">
      <c r="A12545" t="str">
        <f>T("   380910")</f>
        <v xml:space="preserve">   380910</v>
      </c>
      <c r="B12545" t="str">
        <f>T("   A BASE DE MATIERES AMYLACEES")</f>
        <v xml:space="preserve">   A BASE DE MATIERES AMYLACEES</v>
      </c>
      <c r="C12545" s="4">
        <v>443</v>
      </c>
      <c r="D12545" s="4">
        <v>350283</v>
      </c>
    </row>
    <row r="12546" spans="1:4" x14ac:dyDescent="0.25">
      <c r="A12546" t="str">
        <f>T("   380991")</f>
        <v xml:space="preserve">   380991</v>
      </c>
      <c r="B12546" t="str">
        <f>T("   DES TYPES UTILISES DANS L'INDUSTRIE TEXTILE OU DANS LES INDUSTRIES SIMILAIRES")</f>
        <v xml:space="preserve">   DES TYPES UTILISES DANS L'INDUSTRIE TEXTILE OU DANS LES INDUSTRIES SIMILAIRES</v>
      </c>
      <c r="C12546" s="4">
        <v>4479</v>
      </c>
      <c r="D12546" s="4">
        <v>4859712</v>
      </c>
    </row>
    <row r="12547" spans="1:4" x14ac:dyDescent="0.25">
      <c r="A12547" t="str">
        <f>T("   380999")</f>
        <v xml:space="preserve">   380999</v>
      </c>
      <c r="B12547" t="str">
        <f>T("   AUTRES PREPARATIONS CHIMIQUES D'APPRET,FINISSAGE,FIXATION DES COLORANTS")</f>
        <v xml:space="preserve">   AUTRES PREPARATIONS CHIMIQUES D'APPRET,FINISSAGE,FIXATION DES COLORANTS</v>
      </c>
      <c r="C12547" s="4">
        <v>4000</v>
      </c>
      <c r="D12547" s="4">
        <v>600000</v>
      </c>
    </row>
    <row r="12548" spans="1:4" x14ac:dyDescent="0.25">
      <c r="A12548" t="str">
        <f>T("   381090")</f>
        <v xml:space="preserve">   381090</v>
      </c>
      <c r="B12548" t="str">
        <f>T("   AUTRES")</f>
        <v xml:space="preserve">   AUTRES</v>
      </c>
      <c r="C12548" s="4">
        <v>320334</v>
      </c>
      <c r="D12548" s="4">
        <v>51506006</v>
      </c>
    </row>
    <row r="12549" spans="1:4" x14ac:dyDescent="0.25">
      <c r="A12549" t="str">
        <f>T("   381119")</f>
        <v xml:space="preserve">   381119</v>
      </c>
      <c r="B12549" t="str">
        <f>T("   AUTRES")</f>
        <v xml:space="preserve">   AUTRES</v>
      </c>
      <c r="C12549" s="4">
        <v>297</v>
      </c>
      <c r="D12549" s="4">
        <v>1099389</v>
      </c>
    </row>
    <row r="12550" spans="1:4" x14ac:dyDescent="0.25">
      <c r="A12550" t="str">
        <f>T("   381121")</f>
        <v xml:space="preserve">   381121</v>
      </c>
      <c r="B12550" t="str">
        <f>T("   CONTENANT DES HUILES DE PETROLE OU DE MINERAUX BITUMINEUX")</f>
        <v xml:space="preserve">   CONTENANT DES HUILES DE PETROLE OU DE MINERAUX BITUMINEUX</v>
      </c>
      <c r="C12550" s="4">
        <v>3294</v>
      </c>
      <c r="D12550" s="4">
        <v>3721917</v>
      </c>
    </row>
    <row r="12551" spans="1:4" x14ac:dyDescent="0.25">
      <c r="A12551" t="str">
        <f>T("   381190")</f>
        <v xml:space="preserve">   381190</v>
      </c>
      <c r="B12551" t="str">
        <f>T("   AUTRES")</f>
        <v xml:space="preserve">   AUTRES</v>
      </c>
      <c r="C12551" s="4">
        <v>3501</v>
      </c>
      <c r="D12551" s="4">
        <v>10454116</v>
      </c>
    </row>
    <row r="12552" spans="1:4" x14ac:dyDescent="0.25">
      <c r="A12552" t="str">
        <f>T("   381220")</f>
        <v xml:space="preserve">   381220</v>
      </c>
      <c r="B12552" t="str">
        <f>T("   Plastifiants composites pour caoutchouc ou matieres plastiques")</f>
        <v xml:space="preserve">   Plastifiants composites pour caoutchouc ou matieres plastiques</v>
      </c>
      <c r="C12552" s="4">
        <v>35065</v>
      </c>
      <c r="D12552" s="4">
        <v>24539121</v>
      </c>
    </row>
    <row r="12553" spans="1:4" x14ac:dyDescent="0.25">
      <c r="A12553" t="str">
        <f>T("   381230")</f>
        <v xml:space="preserve">   381230</v>
      </c>
      <c r="B12553" t="str">
        <f>T("   PREPARATIONS ANTIOXYDANTES ET AUTRES STABILISATEURS COMPOSITES POUR CAOUTCHOUC OU MAT")</f>
        <v xml:space="preserve">   PREPARATIONS ANTIOXYDANTES ET AUTRES STABILISATEURS COMPOSITES POUR CAOUTCHOUC OU MAT</v>
      </c>
      <c r="C12553" s="4">
        <v>48599.46</v>
      </c>
      <c r="D12553" s="4">
        <v>32097134</v>
      </c>
    </row>
    <row r="12554" spans="1:4" x14ac:dyDescent="0.25">
      <c r="A12554" t="str">
        <f>T("   381400")</f>
        <v xml:space="preserve">   381400</v>
      </c>
      <c r="B12554" t="str">
        <f>T("   SOLVANTS ET DILUANTS ORGANIQUES COMPOSITES, NON DENOMMES NI COMPRIS AILLEURS; PREPARATI")</f>
        <v xml:space="preserve">   SOLVANTS ET DILUANTS ORGANIQUES COMPOSITES, NON DENOMMES NI COMPRIS AILLEURS; PREPARATI</v>
      </c>
      <c r="C12554" s="4">
        <v>984214</v>
      </c>
      <c r="D12554" s="4">
        <v>264041943</v>
      </c>
    </row>
    <row r="12555" spans="1:4" x14ac:dyDescent="0.25">
      <c r="A12555" t="str">
        <f>T("   381600")</f>
        <v xml:space="preserve">   381600</v>
      </c>
      <c r="B12555" t="str">
        <f>T("   CIMENTS, MORTIERS, BETONS ET COMPOSITIONS SIMILAIRES REFRACTAIRES, AUTRES QUE LES PRODU")</f>
        <v xml:space="preserve">   CIMENTS, MORTIERS, BETONS ET COMPOSITIONS SIMILAIRES REFRACTAIRES, AUTRES QUE LES PRODU</v>
      </c>
      <c r="C12555" s="4">
        <v>112770</v>
      </c>
      <c r="D12555" s="4">
        <v>114926981</v>
      </c>
    </row>
    <row r="12556" spans="1:4" x14ac:dyDescent="0.25">
      <c r="A12556" t="str">
        <f>T("   381900")</f>
        <v xml:space="preserve">   381900</v>
      </c>
      <c r="B12556" t="str">
        <f>T("   LIQUIDES POUR FREINS HYDRAULIQUES ET AUTRES LIQUIDES PREPARES POUR TRANSMISSIONS HYDRAU")</f>
        <v xml:space="preserve">   LIQUIDES POUR FREINS HYDRAULIQUES ET AUTRES LIQUIDES PREPARES POUR TRANSMISSIONS HYDRAU</v>
      </c>
      <c r="C12556" s="4">
        <v>3000</v>
      </c>
      <c r="D12556" s="4">
        <v>900000</v>
      </c>
    </row>
    <row r="12557" spans="1:4" x14ac:dyDescent="0.25">
      <c r="A12557" t="str">
        <f>T("   382000")</f>
        <v xml:space="preserve">   382000</v>
      </c>
      <c r="B12557" t="str">
        <f>T("   PREPARATIONS ANTIGEL ET LIQUIDES PREPARES POUR DEGIVRAGE.")</f>
        <v xml:space="preserve">   PREPARATIONS ANTIGEL ET LIQUIDES PREPARES POUR DEGIVRAGE.</v>
      </c>
      <c r="C12557" s="4">
        <v>36116.129999999997</v>
      </c>
      <c r="D12557" s="4">
        <v>30899638</v>
      </c>
    </row>
    <row r="12558" spans="1:4" x14ac:dyDescent="0.25">
      <c r="A12558" t="str">
        <f>T("   382100")</f>
        <v xml:space="preserve">   382100</v>
      </c>
      <c r="B12558" t="str">
        <f>T("   MILIEUX DE CULTURE PREPARES POUR LE DEVELOPPEMENT ET L'ENTRETIEN DES MICROORGANISMES (")</f>
        <v xml:space="preserve">   MILIEUX DE CULTURE PREPARES POUR LE DEVELOPPEMENT ET L'ENTRETIEN DES MICROORGANISMES (</v>
      </c>
      <c r="C12558" s="4">
        <v>1056.07</v>
      </c>
      <c r="D12558" s="4">
        <v>32966795</v>
      </c>
    </row>
    <row r="12559" spans="1:4" x14ac:dyDescent="0.25">
      <c r="A12559" t="str">
        <f>T("   382200")</f>
        <v xml:space="preserve">   382200</v>
      </c>
      <c r="B12559" t="str">
        <f>T("   REACTIFS DE DIAGNOSTIC OU DE LABORATOIRE SUR TOUT SUPPORT ET REACTIFS DE DIAGNOSTIC OU")</f>
        <v xml:space="preserve">   REACTIFS DE DIAGNOSTIC OU DE LABORATOIRE SUR TOUT SUPPORT ET REACTIFS DE DIAGNOSTIC OU</v>
      </c>
      <c r="C12559" s="4">
        <v>52170.57</v>
      </c>
      <c r="D12559" s="4">
        <v>748725968</v>
      </c>
    </row>
    <row r="12560" spans="1:4" x14ac:dyDescent="0.25">
      <c r="A12560" t="str">
        <f>T("   382319")</f>
        <v xml:space="preserve">   382319</v>
      </c>
      <c r="B12560" t="str">
        <f>T("   AUTRES")</f>
        <v xml:space="preserve">   AUTRES</v>
      </c>
      <c r="C12560" s="4">
        <v>84022</v>
      </c>
      <c r="D12560" s="4">
        <v>16323432</v>
      </c>
    </row>
    <row r="12561" spans="1:4" x14ac:dyDescent="0.25">
      <c r="A12561" t="str">
        <f>T("   382440")</f>
        <v xml:space="preserve">   382440</v>
      </c>
      <c r="B12561" t="str">
        <f>T("   ADDITIFS PREPARES POUR CIMENTS, MORTIERS OU BETONS")</f>
        <v xml:space="preserve">   ADDITIFS PREPARES POUR CIMENTS, MORTIERS OU BETONS</v>
      </c>
      <c r="C12561" s="4">
        <v>610961</v>
      </c>
      <c r="D12561" s="4">
        <v>434538394</v>
      </c>
    </row>
    <row r="12562" spans="1:4" x14ac:dyDescent="0.25">
      <c r="A12562" t="str">
        <f>T("   382450")</f>
        <v xml:space="preserve">   382450</v>
      </c>
      <c r="B12562" t="str">
        <f>T("   MORTIERS ET BETONS, NON REFRACTAIRES")</f>
        <v xml:space="preserve">   MORTIERS ET BETONS, NON REFRACTAIRES</v>
      </c>
      <c r="C12562" s="4">
        <v>52105</v>
      </c>
      <c r="D12562" s="4">
        <v>11643699</v>
      </c>
    </row>
    <row r="12563" spans="1:4" x14ac:dyDescent="0.25">
      <c r="A12563" t="str">
        <f>T("   382471")</f>
        <v xml:space="preserve">   382471</v>
      </c>
      <c r="B12563" t="str">
        <f>T("   CONTENANT DES CHLOROFLUOROCARBURES (CFC), MEME CONTENANT DES HYDROCHLOROFLUOROCARBUR")</f>
        <v xml:space="preserve">   CONTENANT DES CHLOROFLUOROCARBURES (CFC), MEME CONTENANT DES HYDROCHLOROFLUOROCARBUR</v>
      </c>
      <c r="C12563" s="4">
        <v>3940</v>
      </c>
      <c r="D12563" s="4">
        <v>7165706</v>
      </c>
    </row>
    <row r="12564" spans="1:4" x14ac:dyDescent="0.25">
      <c r="A12564" t="str">
        <f>T("   382479")</f>
        <v xml:space="preserve">   382479</v>
      </c>
      <c r="B12564" t="str">
        <f>T("   AUTRES")</f>
        <v xml:space="preserve">   AUTRES</v>
      </c>
      <c r="C12564" s="4">
        <v>41768</v>
      </c>
      <c r="D12564" s="4">
        <v>50171083</v>
      </c>
    </row>
    <row r="12565" spans="1:4" x14ac:dyDescent="0.25">
      <c r="A12565" t="str">
        <f>T("   382490")</f>
        <v xml:space="preserve">   382490</v>
      </c>
      <c r="B12565" t="str">
        <f>T("   AUTRES")</f>
        <v xml:space="preserve">   AUTRES</v>
      </c>
      <c r="C12565" s="4">
        <v>85561</v>
      </c>
      <c r="D12565" s="4">
        <v>231496575</v>
      </c>
    </row>
    <row r="12566" spans="1:4" x14ac:dyDescent="0.25">
      <c r="A12566" t="str">
        <f>T("   382569")</f>
        <v xml:space="preserve">   382569</v>
      </c>
      <c r="B12566" t="str">
        <f>T("   AUTRES")</f>
        <v xml:space="preserve">   AUTRES</v>
      </c>
      <c r="C12566" s="4">
        <v>2116</v>
      </c>
      <c r="D12566" s="4">
        <v>3308324</v>
      </c>
    </row>
    <row r="12567" spans="1:4" x14ac:dyDescent="0.25">
      <c r="A12567" t="str">
        <f>T("   390110")</f>
        <v xml:space="preserve">   390110</v>
      </c>
      <c r="B12567" t="str">
        <f>T("   POLYETHYLENE D'UNE DENSITE INFERIEURE A 0,94")</f>
        <v xml:space="preserve">   POLYETHYLENE D'UNE DENSITE INFERIEURE A 0,94</v>
      </c>
      <c r="C12567" s="4">
        <v>179125</v>
      </c>
      <c r="D12567" s="4">
        <v>136717858</v>
      </c>
    </row>
    <row r="12568" spans="1:4" x14ac:dyDescent="0.25">
      <c r="A12568" t="str">
        <f>T("   390120")</f>
        <v xml:space="preserve">   390120</v>
      </c>
      <c r="B12568" t="str">
        <f>T("   POLYETHYLENE D'UNE DENSITE EGALE OU SUPERIEURE A 0,94")</f>
        <v xml:space="preserve">   POLYETHYLENE D'UNE DENSITE EGALE OU SUPERIEURE A 0,94</v>
      </c>
      <c r="C12568" s="4">
        <v>331253</v>
      </c>
      <c r="D12568" s="4">
        <v>222359306</v>
      </c>
    </row>
    <row r="12569" spans="1:4" x14ac:dyDescent="0.25">
      <c r="A12569" t="str">
        <f>T("   390190")</f>
        <v xml:space="preserve">   390190</v>
      </c>
      <c r="B12569" t="str">
        <f>T("   AUTRES")</f>
        <v xml:space="preserve">   AUTRES</v>
      </c>
      <c r="C12569" s="4">
        <v>616013</v>
      </c>
      <c r="D12569" s="4">
        <v>367280854</v>
      </c>
    </row>
    <row r="12570" spans="1:4" x14ac:dyDescent="0.25">
      <c r="A12570" t="str">
        <f>T("   390210")</f>
        <v xml:space="preserve">   390210</v>
      </c>
      <c r="B12570" t="str">
        <f>T("   POLYPROPYLENE")</f>
        <v xml:space="preserve">   POLYPROPYLENE</v>
      </c>
      <c r="C12570" s="4">
        <v>1205458</v>
      </c>
      <c r="D12570" s="4">
        <v>597043206</v>
      </c>
    </row>
    <row r="12571" spans="1:4" x14ac:dyDescent="0.25">
      <c r="A12571" t="str">
        <f>T("   390230")</f>
        <v xml:space="preserve">   390230</v>
      </c>
      <c r="B12571" t="str">
        <f>T("   COPOLYMERES DE PROPYLENE")</f>
        <v xml:space="preserve">   COPOLYMERES DE PROPYLENE</v>
      </c>
      <c r="C12571" s="4">
        <v>25470</v>
      </c>
      <c r="D12571" s="4">
        <v>21965917</v>
      </c>
    </row>
    <row r="12572" spans="1:4" x14ac:dyDescent="0.25">
      <c r="A12572" t="str">
        <f>T("   390290")</f>
        <v xml:space="preserve">   390290</v>
      </c>
      <c r="B12572" t="str">
        <f>T("   AUTRES")</f>
        <v xml:space="preserve">   AUTRES</v>
      </c>
      <c r="C12572" s="4">
        <v>49134</v>
      </c>
      <c r="D12572" s="4">
        <v>43036797</v>
      </c>
    </row>
    <row r="12573" spans="1:4" x14ac:dyDescent="0.25">
      <c r="A12573" t="str">
        <f>T("   390311")</f>
        <v xml:space="preserve">   390311</v>
      </c>
      <c r="B12573" t="str">
        <f>T("   EXPANSIBLE")</f>
        <v xml:space="preserve">   EXPANSIBLE</v>
      </c>
      <c r="C12573" s="4">
        <v>14112</v>
      </c>
      <c r="D12573" s="4">
        <v>30141217</v>
      </c>
    </row>
    <row r="12574" spans="1:4" x14ac:dyDescent="0.25">
      <c r="A12574" t="str">
        <f>T("   390319")</f>
        <v xml:space="preserve">   390319</v>
      </c>
      <c r="B12574" t="str">
        <f>T("   AUTRES")</f>
        <v xml:space="preserve">   AUTRES</v>
      </c>
      <c r="C12574" s="4">
        <v>148319</v>
      </c>
      <c r="D12574" s="4">
        <v>150004613</v>
      </c>
    </row>
    <row r="12575" spans="1:4" x14ac:dyDescent="0.25">
      <c r="A12575" t="str">
        <f>T("   390330")</f>
        <v xml:space="preserve">   390330</v>
      </c>
      <c r="B12575" t="str">
        <f>T("   COPOLYMERES D'ACRYLONITRILEBUTADIENESTYRENE (ABS)")</f>
        <v xml:space="preserve">   COPOLYMERES D'ACRYLONITRILEBUTADIENESTYRENE (ABS)</v>
      </c>
      <c r="C12575" s="4">
        <v>1500</v>
      </c>
      <c r="D12575" s="4">
        <v>1954276</v>
      </c>
    </row>
    <row r="12576" spans="1:4" x14ac:dyDescent="0.25">
      <c r="A12576" t="str">
        <f>T("   390390")</f>
        <v xml:space="preserve">   390390</v>
      </c>
      <c r="B12576" t="str">
        <f>T("   AUTRES")</f>
        <v xml:space="preserve">   AUTRES</v>
      </c>
      <c r="C12576" s="4">
        <v>120175</v>
      </c>
      <c r="D12576" s="4">
        <v>111884659</v>
      </c>
    </row>
    <row r="12577" spans="1:4" x14ac:dyDescent="0.25">
      <c r="A12577" t="str">
        <f>T("   390410")</f>
        <v xml:space="preserve">   390410</v>
      </c>
      <c r="B12577" t="str">
        <f>T("   POLY(CHLORURE DE VINYLE), NON MELANGE A D'AUTRES SUBSTANCES")</f>
        <v xml:space="preserve">   POLY(CHLORURE DE VINYLE), NON MELANGE A D'AUTRES SUBSTANCES</v>
      </c>
      <c r="C12577" s="4">
        <v>1021763</v>
      </c>
      <c r="D12577" s="4">
        <v>300220909</v>
      </c>
    </row>
    <row r="12578" spans="1:4" x14ac:dyDescent="0.25">
      <c r="A12578" t="str">
        <f>T("   390422")</f>
        <v xml:space="preserve">   390422</v>
      </c>
      <c r="B12578" t="str">
        <f>T("   PLASTIFIE")</f>
        <v xml:space="preserve">   PLASTIFIE</v>
      </c>
      <c r="C12578" s="4">
        <v>48600</v>
      </c>
      <c r="D12578" s="4">
        <v>23153158</v>
      </c>
    </row>
    <row r="12579" spans="1:4" x14ac:dyDescent="0.25">
      <c r="A12579" t="str">
        <f>T("   390440")</f>
        <v xml:space="preserve">   390440</v>
      </c>
      <c r="B12579" t="str">
        <f>T("   AUTRES COPOLYMERES DU CHLORURE DE VINYLE")</f>
        <v xml:space="preserve">   AUTRES COPOLYMERES DU CHLORURE DE VINYLE</v>
      </c>
      <c r="C12579" s="4">
        <v>2140</v>
      </c>
      <c r="D12579" s="4">
        <v>4014477</v>
      </c>
    </row>
    <row r="12580" spans="1:4" x14ac:dyDescent="0.25">
      <c r="A12580" t="str">
        <f>T("   390450")</f>
        <v xml:space="preserve">   390450</v>
      </c>
      <c r="B12580" t="str">
        <f>T("   POLYMERES DU CHLORURE DE VINYLIDENE")</f>
        <v xml:space="preserve">   POLYMERES DU CHLORURE DE VINYLIDENE</v>
      </c>
      <c r="C12580" s="4">
        <v>792496</v>
      </c>
      <c r="D12580" s="4">
        <v>395130188</v>
      </c>
    </row>
    <row r="12581" spans="1:4" x14ac:dyDescent="0.25">
      <c r="A12581" t="str">
        <f>T("   390490")</f>
        <v xml:space="preserve">   390490</v>
      </c>
      <c r="B12581" t="str">
        <f>T("   AUTRES")</f>
        <v xml:space="preserve">   AUTRES</v>
      </c>
      <c r="C12581" s="4">
        <v>1017</v>
      </c>
      <c r="D12581" s="4">
        <v>1864239</v>
      </c>
    </row>
    <row r="12582" spans="1:4" x14ac:dyDescent="0.25">
      <c r="A12582" t="str">
        <f>T("   390512")</f>
        <v xml:space="preserve">   390512</v>
      </c>
      <c r="B12582" t="str">
        <f>T("   EN DISPERSION AQUEUSE")</f>
        <v xml:space="preserve">   EN DISPERSION AQUEUSE</v>
      </c>
      <c r="C12582" s="4">
        <v>56435</v>
      </c>
      <c r="D12582" s="4">
        <v>43619279</v>
      </c>
    </row>
    <row r="12583" spans="1:4" x14ac:dyDescent="0.25">
      <c r="A12583" t="str">
        <f>T("   390519")</f>
        <v xml:space="preserve">   390519</v>
      </c>
      <c r="B12583" t="str">
        <f>T("   AUTRES")</f>
        <v xml:space="preserve">   AUTRES</v>
      </c>
      <c r="C12583" s="4">
        <v>6801</v>
      </c>
      <c r="D12583" s="4">
        <v>5610675</v>
      </c>
    </row>
    <row r="12584" spans="1:4" x14ac:dyDescent="0.25">
      <c r="A12584" t="str">
        <f>T("   390521")</f>
        <v xml:space="preserve">   390521</v>
      </c>
      <c r="B12584" t="str">
        <f>T("   EN DISPERSION AQUEUSE")</f>
        <v xml:space="preserve">   EN DISPERSION AQUEUSE</v>
      </c>
      <c r="C12584" s="4">
        <v>137900</v>
      </c>
      <c r="D12584" s="4">
        <v>127649856</v>
      </c>
    </row>
    <row r="12585" spans="1:4" x14ac:dyDescent="0.25">
      <c r="A12585" t="str">
        <f>T("   390529")</f>
        <v xml:space="preserve">   390529</v>
      </c>
      <c r="B12585" t="str">
        <f>T("   AUTRES")</f>
        <v xml:space="preserve">   AUTRES</v>
      </c>
      <c r="C12585" s="4">
        <v>20220</v>
      </c>
      <c r="D12585" s="4">
        <v>11445190</v>
      </c>
    </row>
    <row r="12586" spans="1:4" x14ac:dyDescent="0.25">
      <c r="A12586" t="str">
        <f>T("   390530")</f>
        <v xml:space="preserve">   390530</v>
      </c>
      <c r="B12586" t="str">
        <f>T("   POLY(ALCOOL VINYLIQUE), MEME CONTENANT DES GROUPES ACETATE NON HYDROLYSES")</f>
        <v xml:space="preserve">   POLY(ALCOOL VINYLIQUE), MEME CONTENANT DES GROUPES ACETATE NON HYDROLYSES</v>
      </c>
      <c r="C12586" s="4">
        <v>23240</v>
      </c>
      <c r="D12586" s="4">
        <v>25400740</v>
      </c>
    </row>
    <row r="12587" spans="1:4" x14ac:dyDescent="0.25">
      <c r="A12587" t="str">
        <f>T("   390599")</f>
        <v xml:space="preserve">   390599</v>
      </c>
      <c r="B12587" t="str">
        <f>T("   AUTRES")</f>
        <v xml:space="preserve">   AUTRES</v>
      </c>
      <c r="C12587" s="4">
        <v>600</v>
      </c>
      <c r="D12587" s="4">
        <v>816480</v>
      </c>
    </row>
    <row r="12588" spans="1:4" x14ac:dyDescent="0.25">
      <c r="A12588" t="str">
        <f>T("   390690")</f>
        <v xml:space="preserve">   390690</v>
      </c>
      <c r="B12588" t="str">
        <f>T("   AUTRES")</f>
        <v xml:space="preserve">   AUTRES</v>
      </c>
      <c r="C12588" s="4">
        <v>94095</v>
      </c>
      <c r="D12588" s="4">
        <v>103490642</v>
      </c>
    </row>
    <row r="12589" spans="1:4" x14ac:dyDescent="0.25">
      <c r="A12589" t="str">
        <f>T("   390720")</f>
        <v xml:space="preserve">   390720</v>
      </c>
      <c r="B12589" t="str">
        <f>T("   AUTRES POLYETHERS")</f>
        <v xml:space="preserve">   AUTRES POLYETHERS</v>
      </c>
      <c r="C12589" s="4">
        <v>884920</v>
      </c>
      <c r="D12589" s="4">
        <v>1094368242</v>
      </c>
    </row>
    <row r="12590" spans="1:4" x14ac:dyDescent="0.25">
      <c r="A12590" t="str">
        <f>T("   390730")</f>
        <v xml:space="preserve">   390730</v>
      </c>
      <c r="B12590" t="str">
        <f>T("   RESINES EPOXYDES")</f>
        <v xml:space="preserve">   RESINES EPOXYDES</v>
      </c>
      <c r="C12590" s="4">
        <v>319</v>
      </c>
      <c r="D12590" s="4">
        <v>1113165</v>
      </c>
    </row>
    <row r="12591" spans="1:4" x14ac:dyDescent="0.25">
      <c r="A12591" t="str">
        <f>T("   390750")</f>
        <v xml:space="preserve">   390750</v>
      </c>
      <c r="B12591" t="str">
        <f>T("   RESINES ALKYDES")</f>
        <v xml:space="preserve">   RESINES ALKYDES</v>
      </c>
      <c r="C12591" s="4">
        <v>519646</v>
      </c>
      <c r="D12591" s="4">
        <v>479508040</v>
      </c>
    </row>
    <row r="12592" spans="1:4" x14ac:dyDescent="0.25">
      <c r="A12592" t="str">
        <f>T("   390760")</f>
        <v xml:space="preserve">   390760</v>
      </c>
      <c r="B12592" t="str">
        <f>T("   POLY(ETHYLENE TEREPHTALATE)")</f>
        <v xml:space="preserve">   POLY(ETHYLENE TEREPHTALATE)</v>
      </c>
      <c r="C12592" s="4">
        <v>1200</v>
      </c>
      <c r="D12592" s="4">
        <v>162000</v>
      </c>
    </row>
    <row r="12593" spans="1:4" x14ac:dyDescent="0.25">
      <c r="A12593" t="str">
        <f>T("   390791")</f>
        <v xml:space="preserve">   390791</v>
      </c>
      <c r="B12593" t="str">
        <f>T("   NON SATURES")</f>
        <v xml:space="preserve">   NON SATURES</v>
      </c>
      <c r="C12593" s="4">
        <v>274</v>
      </c>
      <c r="D12593" s="4">
        <v>285067</v>
      </c>
    </row>
    <row r="12594" spans="1:4" x14ac:dyDescent="0.25">
      <c r="A12594" t="str">
        <f>T("   390799")</f>
        <v xml:space="preserve">   390799</v>
      </c>
      <c r="B12594" t="str">
        <f>T("   AUTRES")</f>
        <v xml:space="preserve">   AUTRES</v>
      </c>
      <c r="C12594" s="4">
        <v>1348537</v>
      </c>
      <c r="D12594" s="4">
        <v>1043376773</v>
      </c>
    </row>
    <row r="12595" spans="1:4" x14ac:dyDescent="0.25">
      <c r="A12595" t="str">
        <f>T("   390930")</f>
        <v xml:space="preserve">   390930</v>
      </c>
      <c r="B12595" t="str">
        <f>T("   AUTRES RESINES AMINIQUES")</f>
        <v xml:space="preserve">   AUTRES RESINES AMINIQUES</v>
      </c>
      <c r="C12595" s="4">
        <v>785867</v>
      </c>
      <c r="D12595" s="4">
        <v>402937358</v>
      </c>
    </row>
    <row r="12596" spans="1:4" x14ac:dyDescent="0.25">
      <c r="A12596" t="str">
        <f>T("   390950")</f>
        <v xml:space="preserve">   390950</v>
      </c>
      <c r="B12596" t="str">
        <f>T("   POLYURETHANNES")</f>
        <v xml:space="preserve">   POLYURETHANNES</v>
      </c>
      <c r="C12596" s="4">
        <v>20550</v>
      </c>
      <c r="D12596" s="4">
        <v>26704518</v>
      </c>
    </row>
    <row r="12597" spans="1:4" x14ac:dyDescent="0.25">
      <c r="A12597" t="str">
        <f>T("   391000")</f>
        <v xml:space="preserve">   391000</v>
      </c>
      <c r="B12597" t="str">
        <f>T("   SILICONES SOUS FORMES PRIMAIRES.")</f>
        <v xml:space="preserve">   SILICONES SOUS FORMES PRIMAIRES.</v>
      </c>
      <c r="C12597" s="4">
        <v>19151</v>
      </c>
      <c r="D12597" s="4">
        <v>103027521</v>
      </c>
    </row>
    <row r="12598" spans="1:4" x14ac:dyDescent="0.25">
      <c r="A12598" t="str">
        <f>T("   391110")</f>
        <v xml:space="preserve">   391110</v>
      </c>
      <c r="B12598" t="str">
        <f>T("   RESINES DE PETROLE, RESINES DE COUMARONE, RESINES D'INDENE, RESINES DE COUMARONEINDE")</f>
        <v xml:space="preserve">   RESINES DE PETROLE, RESINES DE COUMARONE, RESINES D'INDENE, RESINES DE COUMARONEINDE</v>
      </c>
      <c r="C12598" s="4">
        <v>2500</v>
      </c>
      <c r="D12598" s="4">
        <v>9267875</v>
      </c>
    </row>
    <row r="12599" spans="1:4" x14ac:dyDescent="0.25">
      <c r="A12599" t="str">
        <f>T("   391190")</f>
        <v xml:space="preserve">   391190</v>
      </c>
      <c r="B12599" t="str">
        <f>T("   AUTRES")</f>
        <v xml:space="preserve">   AUTRES</v>
      </c>
      <c r="C12599" s="4">
        <v>12771</v>
      </c>
      <c r="D12599" s="4">
        <v>47822525</v>
      </c>
    </row>
    <row r="12600" spans="1:4" x14ac:dyDescent="0.25">
      <c r="A12600" t="str">
        <f>T("   391220")</f>
        <v xml:space="preserve">   391220</v>
      </c>
      <c r="B12600" t="str">
        <f>T("   NITRATES DE CELLULOSE (Y COMPRIS LES COLLODIONS)")</f>
        <v xml:space="preserve">   NITRATES DE CELLULOSE (Y COMPRIS LES COLLODIONS)</v>
      </c>
      <c r="C12600" s="4">
        <v>9460</v>
      </c>
      <c r="D12600" s="4">
        <v>20991375</v>
      </c>
    </row>
    <row r="12601" spans="1:4" x14ac:dyDescent="0.25">
      <c r="A12601" t="str">
        <f>T("   391231")</f>
        <v xml:space="preserve">   391231</v>
      </c>
      <c r="B12601" t="str">
        <f>T("   CARBOXYMETHYLCELLULOSE ET SES SELS")</f>
        <v xml:space="preserve">   CARBOXYMETHYLCELLULOSE ET SES SELS</v>
      </c>
      <c r="C12601" s="4">
        <v>3600</v>
      </c>
      <c r="D12601" s="4">
        <v>14383405</v>
      </c>
    </row>
    <row r="12602" spans="1:4" x14ac:dyDescent="0.25">
      <c r="A12602" t="str">
        <f>T("   391239")</f>
        <v xml:space="preserve">   391239</v>
      </c>
      <c r="B12602" t="str">
        <f>T("   AUTRES")</f>
        <v xml:space="preserve">   AUTRES</v>
      </c>
      <c r="C12602" s="4">
        <v>20752</v>
      </c>
      <c r="D12602" s="4">
        <v>67680286</v>
      </c>
    </row>
    <row r="12603" spans="1:4" x14ac:dyDescent="0.25">
      <c r="A12603" t="str">
        <f>T("   391290")</f>
        <v xml:space="preserve">   391290</v>
      </c>
      <c r="B12603" t="str">
        <f>T("   AUTRES")</f>
        <v xml:space="preserve">   AUTRES</v>
      </c>
      <c r="C12603" s="4">
        <v>6590</v>
      </c>
      <c r="D12603" s="4">
        <v>6647297</v>
      </c>
    </row>
    <row r="12604" spans="1:4" x14ac:dyDescent="0.25">
      <c r="A12604" t="str">
        <f>T("   391390")</f>
        <v xml:space="preserve">   391390</v>
      </c>
      <c r="B12604" t="str">
        <f>T("   AUTRES")</f>
        <v xml:space="preserve">   AUTRES</v>
      </c>
      <c r="C12604" s="4">
        <v>10</v>
      </c>
      <c r="D12604" s="4">
        <v>236342</v>
      </c>
    </row>
    <row r="12605" spans="1:4" x14ac:dyDescent="0.25">
      <c r="A12605" t="str">
        <f>T("   391400")</f>
        <v xml:space="preserve">   391400</v>
      </c>
      <c r="B12605" t="str">
        <f>T("   ECHANGEURS D'IONS A BASE DE POLYMERES DES N°S 39.01 A 39.13, SOUS FORMES PRIMAIRES.")</f>
        <v xml:space="preserve">   ECHANGEURS D'IONS A BASE DE POLYMERES DES N°S 39.01 A 39.13, SOUS FORMES PRIMAIRES.</v>
      </c>
      <c r="C12605" s="4">
        <v>2076</v>
      </c>
      <c r="D12605" s="4">
        <v>4355975</v>
      </c>
    </row>
    <row r="12606" spans="1:4" x14ac:dyDescent="0.25">
      <c r="A12606" t="str">
        <f>T("   391690")</f>
        <v xml:space="preserve">   391690</v>
      </c>
      <c r="B12606" t="str">
        <f>T("   EN AUTRES MATIERES PLASTIQUES")</f>
        <v xml:space="preserve">   EN AUTRES MATIERES PLASTIQUES</v>
      </c>
      <c r="C12606" s="4">
        <v>413</v>
      </c>
      <c r="D12606" s="4">
        <v>1947909</v>
      </c>
    </row>
    <row r="12607" spans="1:4" x14ac:dyDescent="0.25">
      <c r="A12607" t="str">
        <f>T("   391710")</f>
        <v xml:space="preserve">   391710</v>
      </c>
      <c r="B12607" t="str">
        <f>T("   BOYAUX ARTIFICIELS EN PROTEINES DURCIES OU EN MATIERES PLASTIQUES CELLULOSIQUES")</f>
        <v xml:space="preserve">   BOYAUX ARTIFICIELS EN PROTEINES DURCIES OU EN MATIERES PLASTIQUES CELLULOSIQUES</v>
      </c>
      <c r="C12607" s="4">
        <v>351</v>
      </c>
      <c r="D12607" s="4">
        <v>4574113</v>
      </c>
    </row>
    <row r="12608" spans="1:4" x14ac:dyDescent="0.25">
      <c r="A12608" t="str">
        <f>T("   391721")</f>
        <v xml:space="preserve">   391721</v>
      </c>
      <c r="B12608" t="str">
        <f>T("   EN POLYMERES DE L'ETHYLENE")</f>
        <v xml:space="preserve">   EN POLYMERES DE L'ETHYLENE</v>
      </c>
      <c r="C12608" s="4">
        <v>189927</v>
      </c>
      <c r="D12608" s="4">
        <v>128548865</v>
      </c>
    </row>
    <row r="12609" spans="1:4" x14ac:dyDescent="0.25">
      <c r="A12609" t="str">
        <f>T("   391722")</f>
        <v xml:space="preserve">   391722</v>
      </c>
      <c r="B12609" t="str">
        <f>T("   EN POLYMERES DU PROPYLENE")</f>
        <v xml:space="preserve">   EN POLYMERES DU PROPYLENE</v>
      </c>
      <c r="C12609" s="4">
        <v>10219</v>
      </c>
      <c r="D12609" s="4">
        <v>5620748</v>
      </c>
    </row>
    <row r="12610" spans="1:4" x14ac:dyDescent="0.25">
      <c r="A12610" t="str">
        <f>T("   391723")</f>
        <v xml:space="preserve">   391723</v>
      </c>
      <c r="B12610" t="str">
        <f>T("   EN POLYMERES DU CHLORURE DE VINYLE")</f>
        <v xml:space="preserve">   EN POLYMERES DU CHLORURE DE VINYLE</v>
      </c>
      <c r="C12610" s="4">
        <v>1187016</v>
      </c>
      <c r="D12610" s="4">
        <v>1091684100</v>
      </c>
    </row>
    <row r="12611" spans="1:4" x14ac:dyDescent="0.25">
      <c r="A12611" t="str">
        <f>T("   391729")</f>
        <v xml:space="preserve">   391729</v>
      </c>
      <c r="B12611" t="str">
        <f>T("   EN AUTRES MATIERES PLASTIQUES")</f>
        <v xml:space="preserve">   EN AUTRES MATIERES PLASTIQUES</v>
      </c>
      <c r="C12611" s="4">
        <v>335800</v>
      </c>
      <c r="D12611" s="4">
        <v>365117297</v>
      </c>
    </row>
    <row r="12612" spans="1:4" x14ac:dyDescent="0.25">
      <c r="A12612" t="str">
        <f>T("   391731")</f>
        <v xml:space="preserve">   391731</v>
      </c>
      <c r="B12612" t="str">
        <f>T("   TUBES ET TUYAUX SOUPLES POUVANT SUPPORTER AU MINIMUM UNE PRESSION DE 27,6 MPA")</f>
        <v xml:space="preserve">   TUBES ET TUYAUX SOUPLES POUVANT SUPPORTER AU MINIMUM UNE PRESSION DE 27,6 MPA</v>
      </c>
      <c r="C12612" s="4">
        <v>37049</v>
      </c>
      <c r="D12612" s="4">
        <v>20932779</v>
      </c>
    </row>
    <row r="12613" spans="1:4" x14ac:dyDescent="0.25">
      <c r="A12613" t="str">
        <f>T("   391732")</f>
        <v xml:space="preserve">   391732</v>
      </c>
      <c r="B12613" t="str">
        <f>T("   AUTRES, NON RENFORCES D'AUTRES MATIERES NI AUTREMENT ASSOCIES A D'AUTRES MATIERES, S")</f>
        <v xml:space="preserve">   AUTRES, NON RENFORCES D'AUTRES MATIERES NI AUTREMENT ASSOCIES A D'AUTRES MATIERES, S</v>
      </c>
      <c r="C12613" s="4">
        <v>9665</v>
      </c>
      <c r="D12613" s="4">
        <v>15809908</v>
      </c>
    </row>
    <row r="12614" spans="1:4" x14ac:dyDescent="0.25">
      <c r="A12614" t="str">
        <f>T("   391733")</f>
        <v xml:space="preserve">   391733</v>
      </c>
      <c r="B12614" t="str">
        <f>T("   AUTRES, NON RENFORCES D'AUTRES MATIERES NI AUTREMENT ASSOCIES A D'AUTRES MATIERES, A")</f>
        <v xml:space="preserve">   AUTRES, NON RENFORCES D'AUTRES MATIERES NI AUTREMENT ASSOCIES A D'AUTRES MATIERES, A</v>
      </c>
      <c r="C12614" s="4">
        <v>131</v>
      </c>
      <c r="D12614" s="4">
        <v>2606731</v>
      </c>
    </row>
    <row r="12615" spans="1:4" x14ac:dyDescent="0.25">
      <c r="A12615" t="str">
        <f>T("   391739")</f>
        <v xml:space="preserve">   391739</v>
      </c>
      <c r="B12615" t="str">
        <f>T("   AUTRES")</f>
        <v xml:space="preserve">   AUTRES</v>
      </c>
      <c r="C12615" s="4">
        <v>89364</v>
      </c>
      <c r="D12615" s="4">
        <v>97395818</v>
      </c>
    </row>
    <row r="12616" spans="1:4" x14ac:dyDescent="0.25">
      <c r="A12616" t="str">
        <f>T("   391740")</f>
        <v xml:space="preserve">   391740</v>
      </c>
      <c r="B12616" t="str">
        <f>T("   ACCESSOIRES")</f>
        <v xml:space="preserve">   ACCESSOIRES</v>
      </c>
      <c r="C12616" s="4">
        <v>257238.9</v>
      </c>
      <c r="D12616" s="4">
        <v>144804212</v>
      </c>
    </row>
    <row r="12617" spans="1:4" x14ac:dyDescent="0.25">
      <c r="A12617" t="str">
        <f>T("   391810")</f>
        <v xml:space="preserve">   391810</v>
      </c>
      <c r="B12617" t="str">
        <f>T("   EN POLYMERES DU CHLORURE DE VINYLE")</f>
        <v xml:space="preserve">   EN POLYMERES DU CHLORURE DE VINYLE</v>
      </c>
      <c r="C12617" s="4">
        <v>2904</v>
      </c>
      <c r="D12617" s="4">
        <v>823230</v>
      </c>
    </row>
    <row r="12618" spans="1:4" x14ac:dyDescent="0.25">
      <c r="A12618" t="str">
        <f>T("   391890")</f>
        <v xml:space="preserve">   391890</v>
      </c>
      <c r="B12618" t="str">
        <f>T("   EN AUTRES MATIERES PLASTIQUES")</f>
        <v xml:space="preserve">   EN AUTRES MATIERES PLASTIQUES</v>
      </c>
      <c r="C12618" s="4">
        <v>56559</v>
      </c>
      <c r="D12618" s="4">
        <v>26847489</v>
      </c>
    </row>
    <row r="12619" spans="1:4" x14ac:dyDescent="0.25">
      <c r="A12619" t="str">
        <f>T("   391910")</f>
        <v xml:space="preserve">   391910</v>
      </c>
      <c r="B12619" t="str">
        <f>T("   EN ROULEAUX D'UNE LARGEUR N'EXCEDANT PAS 20 CM")</f>
        <v xml:space="preserve">   EN ROULEAUX D'UNE LARGEUR N'EXCEDANT PAS 20 CM</v>
      </c>
      <c r="C12619" s="4">
        <v>37335</v>
      </c>
      <c r="D12619" s="4">
        <v>87379686</v>
      </c>
    </row>
    <row r="12620" spans="1:4" x14ac:dyDescent="0.25">
      <c r="A12620" t="str">
        <f>T("   391990")</f>
        <v xml:space="preserve">   391990</v>
      </c>
      <c r="B12620" t="str">
        <f>T("   AUTRES")</f>
        <v xml:space="preserve">   AUTRES</v>
      </c>
      <c r="C12620" s="4">
        <v>366809.92</v>
      </c>
      <c r="D12620" s="4">
        <v>184429491</v>
      </c>
    </row>
    <row r="12621" spans="1:4" x14ac:dyDescent="0.25">
      <c r="A12621" t="str">
        <f>T("   392010")</f>
        <v xml:space="preserve">   392010</v>
      </c>
      <c r="B12621" t="str">
        <f>T("   EN POLYMERES DE L'ETHYLENE")</f>
        <v xml:space="preserve">   EN POLYMERES DE L'ETHYLENE</v>
      </c>
      <c r="C12621" s="4">
        <v>115119</v>
      </c>
      <c r="D12621" s="4">
        <v>298893455</v>
      </c>
    </row>
    <row r="12622" spans="1:4" x14ac:dyDescent="0.25">
      <c r="A12622" t="str">
        <f>T("   392020")</f>
        <v xml:space="preserve">   392020</v>
      </c>
      <c r="B12622" t="str">
        <f>T("   EN POLYMERES DU PROPYLENE")</f>
        <v xml:space="preserve">   EN POLYMERES DU PROPYLENE</v>
      </c>
      <c r="C12622" s="4">
        <v>144644</v>
      </c>
      <c r="D12622" s="4">
        <v>275349520</v>
      </c>
    </row>
    <row r="12623" spans="1:4" x14ac:dyDescent="0.25">
      <c r="A12623" t="str">
        <f>T("   392043")</f>
        <v xml:space="preserve">   392043</v>
      </c>
      <c r="B12623" t="str">
        <f>T("   CONTENANT EN POIDS AU MOINS 6 % DE PLASTIFIANTS")</f>
        <v xml:space="preserve">   CONTENANT EN POIDS AU MOINS 6 % DE PLASTIFIANTS</v>
      </c>
      <c r="C12623" s="4">
        <v>1121</v>
      </c>
      <c r="D12623" s="4">
        <v>1388011</v>
      </c>
    </row>
    <row r="12624" spans="1:4" x14ac:dyDescent="0.25">
      <c r="A12624" t="str">
        <f>T("   392049")</f>
        <v xml:space="preserve">   392049</v>
      </c>
      <c r="B12624" t="str">
        <f>T("   AUTRES")</f>
        <v xml:space="preserve">   AUTRES</v>
      </c>
      <c r="C12624" s="4">
        <v>23378</v>
      </c>
      <c r="D12624" s="4">
        <v>13506798</v>
      </c>
    </row>
    <row r="12625" spans="1:4" x14ac:dyDescent="0.25">
      <c r="A12625" t="str">
        <f>T("   392059")</f>
        <v xml:space="preserve">   392059</v>
      </c>
      <c r="B12625" t="str">
        <f>T("   AUTRES")</f>
        <v xml:space="preserve">   AUTRES</v>
      </c>
      <c r="C12625" s="4">
        <v>20520</v>
      </c>
      <c r="D12625" s="4">
        <v>22172105</v>
      </c>
    </row>
    <row r="12626" spans="1:4" x14ac:dyDescent="0.25">
      <c r="A12626" t="str">
        <f>T("   392062")</f>
        <v xml:space="preserve">   392062</v>
      </c>
      <c r="B12626" t="str">
        <f>T("   EN POLY(ETHYLENE TEREPHTALATE)")</f>
        <v xml:space="preserve">   EN POLY(ETHYLENE TEREPHTALATE)</v>
      </c>
      <c r="C12626" s="4">
        <v>350</v>
      </c>
      <c r="D12626" s="4">
        <v>58179</v>
      </c>
    </row>
    <row r="12627" spans="1:4" x14ac:dyDescent="0.25">
      <c r="A12627" t="str">
        <f>T("   392099")</f>
        <v xml:space="preserve">   392099</v>
      </c>
      <c r="B12627" t="str">
        <f>T("   EN AUTRES MATIERES PLASTIQUES")</f>
        <v xml:space="preserve">   EN AUTRES MATIERES PLASTIQUES</v>
      </c>
      <c r="C12627" s="4">
        <v>8374.23</v>
      </c>
      <c r="D12627" s="4">
        <v>6224556</v>
      </c>
    </row>
    <row r="12628" spans="1:4" x14ac:dyDescent="0.25">
      <c r="A12628" t="str">
        <f>T("   392111")</f>
        <v xml:space="preserve">   392111</v>
      </c>
      <c r="B12628" t="str">
        <f>T("   EN POLYMERES DU STYRENE")</f>
        <v xml:space="preserve">   EN POLYMERES DU STYRENE</v>
      </c>
      <c r="C12628" s="4">
        <v>5900</v>
      </c>
      <c r="D12628" s="4">
        <v>6300000</v>
      </c>
    </row>
    <row r="12629" spans="1:4" x14ac:dyDescent="0.25">
      <c r="A12629" t="str">
        <f>T("   392112")</f>
        <v xml:space="preserve">   392112</v>
      </c>
      <c r="B12629" t="str">
        <f>T("   EN POLYMERES DU CHLORURE DE VINYLE")</f>
        <v xml:space="preserve">   EN POLYMERES DU CHLORURE DE VINYLE</v>
      </c>
      <c r="C12629" s="4">
        <v>1600</v>
      </c>
      <c r="D12629" s="4">
        <v>5461523</v>
      </c>
    </row>
    <row r="12630" spans="1:4" x14ac:dyDescent="0.25">
      <c r="A12630" t="str">
        <f>T("   392119")</f>
        <v xml:space="preserve">   392119</v>
      </c>
      <c r="B12630" t="str">
        <f>T("   EN AUTRES MATIERES PLASTIQUES")</f>
        <v xml:space="preserve">   EN AUTRES MATIERES PLASTIQUES</v>
      </c>
      <c r="C12630" s="4">
        <v>24384</v>
      </c>
      <c r="D12630" s="4">
        <v>27145201</v>
      </c>
    </row>
    <row r="12631" spans="1:4" x14ac:dyDescent="0.25">
      <c r="A12631" t="str">
        <f>T("   392190")</f>
        <v xml:space="preserve">   392190</v>
      </c>
      <c r="B12631" t="str">
        <f>T("   AUTRES")</f>
        <v xml:space="preserve">   AUTRES</v>
      </c>
      <c r="C12631" s="4">
        <v>125244.4</v>
      </c>
      <c r="D12631" s="4">
        <v>315226226</v>
      </c>
    </row>
    <row r="12632" spans="1:4" x14ac:dyDescent="0.25">
      <c r="A12632" t="str">
        <f>T("   392210")</f>
        <v xml:space="preserve">   392210</v>
      </c>
      <c r="B12632" t="str">
        <f>T("   BAIGNOIRES, DOUCHES, EVIERS ET LAVABOS")</f>
        <v xml:space="preserve">   BAIGNOIRES, DOUCHES, EVIERS ET LAVABOS</v>
      </c>
      <c r="C12632" s="4">
        <v>27035</v>
      </c>
      <c r="D12632" s="4">
        <v>32255615</v>
      </c>
    </row>
    <row r="12633" spans="1:4" x14ac:dyDescent="0.25">
      <c r="A12633" t="str">
        <f>T("   392220")</f>
        <v xml:space="preserve">   392220</v>
      </c>
      <c r="B12633" t="str">
        <f>T("   SIEGES ET COUVERCLES DE CUVETTES D'AISANCE")</f>
        <v xml:space="preserve">   SIEGES ET COUVERCLES DE CUVETTES D'AISANCE</v>
      </c>
      <c r="C12633" s="4">
        <v>14845</v>
      </c>
      <c r="D12633" s="4">
        <v>4691930</v>
      </c>
    </row>
    <row r="12634" spans="1:4" x14ac:dyDescent="0.25">
      <c r="A12634" t="str">
        <f>T("   392290")</f>
        <v xml:space="preserve">   392290</v>
      </c>
      <c r="B12634" t="str">
        <f>T("   AUTRES")</f>
        <v xml:space="preserve">   AUTRES</v>
      </c>
      <c r="C12634" s="4">
        <v>62172.800000000003</v>
      </c>
      <c r="D12634" s="4">
        <v>31948800</v>
      </c>
    </row>
    <row r="12635" spans="1:4" x14ac:dyDescent="0.25">
      <c r="A12635" t="str">
        <f>T("   392310")</f>
        <v xml:space="preserve">   392310</v>
      </c>
      <c r="B12635" t="str">
        <f>T("   BOITES, CAISSES, CASIERS ET ARTICLES SIMILAIRES")</f>
        <v xml:space="preserve">   BOITES, CAISSES, CASIERS ET ARTICLES SIMILAIRES</v>
      </c>
      <c r="C12635" s="4">
        <v>2298556</v>
      </c>
      <c r="D12635" s="4">
        <v>2566119326</v>
      </c>
    </row>
    <row r="12636" spans="1:4" x14ac:dyDescent="0.25">
      <c r="A12636" t="str">
        <f>T("   392321")</f>
        <v xml:space="preserve">   392321</v>
      </c>
      <c r="B12636" t="str">
        <f>T("   EN POLYMERES DE L'ETHYLENE")</f>
        <v xml:space="preserve">   EN POLYMERES DE L'ETHYLENE</v>
      </c>
      <c r="C12636" s="4">
        <v>1165343</v>
      </c>
      <c r="D12636" s="4">
        <v>413027952</v>
      </c>
    </row>
    <row r="12637" spans="1:4" x14ac:dyDescent="0.25">
      <c r="A12637" t="str">
        <f>T("   392329")</f>
        <v xml:space="preserve">   392329</v>
      </c>
      <c r="B12637" t="str">
        <f>T("   EN AUTRES MATIERES PLASTIQUES")</f>
        <v xml:space="preserve">   EN AUTRES MATIERES PLASTIQUES</v>
      </c>
      <c r="C12637" s="4">
        <v>8084191.71</v>
      </c>
      <c r="D12637" s="4">
        <v>1448012838</v>
      </c>
    </row>
    <row r="12638" spans="1:4" x14ac:dyDescent="0.25">
      <c r="A12638" t="str">
        <f>T("   392330")</f>
        <v xml:space="preserve">   392330</v>
      </c>
      <c r="B12638" t="str">
        <f>T("   BONBONNES, BOUTEILLES, FLACONS ET ARTICLES SIMILAIRES")</f>
        <v xml:space="preserve">   BONBONNES, BOUTEILLES, FLACONS ET ARTICLES SIMILAIRES</v>
      </c>
      <c r="C12638" s="4">
        <v>548666</v>
      </c>
      <c r="D12638" s="4">
        <v>555049577</v>
      </c>
    </row>
    <row r="12639" spans="1:4" x14ac:dyDescent="0.25">
      <c r="A12639" t="str">
        <f>T("   392340")</f>
        <v xml:space="preserve">   392340</v>
      </c>
      <c r="B12639" t="str">
        <f>T("   BOBINES, FUSETTES, CANETTES ET SUPPORTS SIMILAIRES")</f>
        <v xml:space="preserve">   BOBINES, FUSETTES, CANETTES ET SUPPORTS SIMILAIRES</v>
      </c>
      <c r="C12639" s="4">
        <v>280</v>
      </c>
      <c r="D12639" s="4">
        <v>1067747</v>
      </c>
    </row>
    <row r="12640" spans="1:4" x14ac:dyDescent="0.25">
      <c r="A12640" t="str">
        <f>T("   392350")</f>
        <v xml:space="preserve">   392350</v>
      </c>
      <c r="B12640" t="str">
        <f>T("   BOUCHONS, COUVERCLES, CAPSULES ET AUTRES DISPOSITIFS DE FERMETURE")</f>
        <v xml:space="preserve">   BOUCHONS, COUVERCLES, CAPSULES ET AUTRES DISPOSITIFS DE FERMETURE</v>
      </c>
      <c r="C12640" s="4">
        <v>230038.8</v>
      </c>
      <c r="D12640" s="4">
        <v>433470041</v>
      </c>
    </row>
    <row r="12641" spans="1:4" x14ac:dyDescent="0.25">
      <c r="A12641" t="str">
        <f>T("   392390")</f>
        <v xml:space="preserve">   392390</v>
      </c>
      <c r="B12641" t="str">
        <f>T("   AUTRES")</f>
        <v xml:space="preserve">   AUTRES</v>
      </c>
      <c r="C12641" s="4">
        <v>465821</v>
      </c>
      <c r="D12641" s="4">
        <v>533508040</v>
      </c>
    </row>
    <row r="12642" spans="1:4" x14ac:dyDescent="0.25">
      <c r="A12642" t="str">
        <f>T("   392410")</f>
        <v xml:space="preserve">   392410</v>
      </c>
      <c r="B12642" t="str">
        <f>T("   VAISSELLE ET AUTRES ARTICLES POUR LE SERVICE DE LA TABLE OU DE LA CUISINE")</f>
        <v xml:space="preserve">   VAISSELLE ET AUTRES ARTICLES POUR LE SERVICE DE LA TABLE OU DE LA CUISINE</v>
      </c>
      <c r="C12642" s="4">
        <v>5072105</v>
      </c>
      <c r="D12642" s="4">
        <v>1093475128</v>
      </c>
    </row>
    <row r="12643" spans="1:4" x14ac:dyDescent="0.25">
      <c r="A12643" t="str">
        <f>T("   392490")</f>
        <v xml:space="preserve">   392490</v>
      </c>
      <c r="B12643" t="str">
        <f>T("   AUTRES")</f>
        <v xml:space="preserve">   AUTRES</v>
      </c>
      <c r="C12643" s="4">
        <v>2046323.64</v>
      </c>
      <c r="D12643" s="4">
        <v>718312462</v>
      </c>
    </row>
    <row r="12644" spans="1:4" x14ac:dyDescent="0.25">
      <c r="A12644" t="str">
        <f>T("   392510")</f>
        <v xml:space="preserve">   392510</v>
      </c>
      <c r="B12644" t="str">
        <f>T("   RESERVOIRS, FOUDRES, CUVES ET RECIPIENTS ANALOGUES, D'UNE CONTENANCE EXCEDANT 300 L")</f>
        <v xml:space="preserve">   RESERVOIRS, FOUDRES, CUVES ET RECIPIENTS ANALOGUES, D'UNE CONTENANCE EXCEDANT 300 L</v>
      </c>
      <c r="C12644" s="4">
        <v>184403</v>
      </c>
      <c r="D12644" s="4">
        <v>50639215</v>
      </c>
    </row>
    <row r="12645" spans="1:4" x14ac:dyDescent="0.25">
      <c r="A12645" t="str">
        <f>T("   392520")</f>
        <v xml:space="preserve">   392520</v>
      </c>
      <c r="B12645" t="str">
        <f>T("   PORTES, FENETRES ET LEURS CADRES, CHAMBRANLES ET SEUILS")</f>
        <v xml:space="preserve">   PORTES, FENETRES ET LEURS CADRES, CHAMBRANLES ET SEUILS</v>
      </c>
      <c r="C12645" s="4">
        <v>1850</v>
      </c>
      <c r="D12645" s="4">
        <v>3901058</v>
      </c>
    </row>
    <row r="12646" spans="1:4" x14ac:dyDescent="0.25">
      <c r="A12646" t="str">
        <f>T("   392590")</f>
        <v xml:space="preserve">   392590</v>
      </c>
      <c r="B12646" t="str">
        <f>T("   AUTRES")</f>
        <v xml:space="preserve">   AUTRES</v>
      </c>
      <c r="C12646" s="4">
        <v>159157.57999999999</v>
      </c>
      <c r="D12646" s="4">
        <v>126028191</v>
      </c>
    </row>
    <row r="12647" spans="1:4" x14ac:dyDescent="0.25">
      <c r="A12647" t="str">
        <f>T("   392610")</f>
        <v xml:space="preserve">   392610</v>
      </c>
      <c r="B12647" t="str">
        <f>T("   ARTICLES DE BUREAU ET ARTICLES SCOLAIRES")</f>
        <v xml:space="preserve">   ARTICLES DE BUREAU ET ARTICLES SCOLAIRES</v>
      </c>
      <c r="C12647" s="4">
        <v>350435.44</v>
      </c>
      <c r="D12647" s="4">
        <v>216259963</v>
      </c>
    </row>
    <row r="12648" spans="1:4" x14ac:dyDescent="0.25">
      <c r="A12648" t="str">
        <f>T("   392620")</f>
        <v xml:space="preserve">   392620</v>
      </c>
      <c r="B12648" t="str">
        <f>T("   VETEMENTS ET ACCESSOIRES DU VETEMENT (Y COMPRIS LES GANTS, MITAINES ET MOUFLES)")</f>
        <v xml:space="preserve">   VETEMENTS ET ACCESSOIRES DU VETEMENT (Y COMPRIS LES GANTS, MITAINES ET MOUFLES)</v>
      </c>
      <c r="C12648" s="4">
        <v>37735</v>
      </c>
      <c r="D12648" s="4">
        <v>39061174</v>
      </c>
    </row>
    <row r="12649" spans="1:4" x14ac:dyDescent="0.25">
      <c r="A12649" t="str">
        <f>T("   392630")</f>
        <v xml:space="preserve">   392630</v>
      </c>
      <c r="B12649" t="str">
        <f>T("   GARNITURES POUR MEUBLES, CARROSSERIES OU SIMILAIRES")</f>
        <v xml:space="preserve">   GARNITURES POUR MEUBLES, CARROSSERIES OU SIMILAIRES</v>
      </c>
      <c r="C12649" s="4">
        <v>1</v>
      </c>
      <c r="D12649" s="4">
        <v>24375</v>
      </c>
    </row>
    <row r="12650" spans="1:4" x14ac:dyDescent="0.25">
      <c r="A12650" t="str">
        <f>T("   392640")</f>
        <v xml:space="preserve">   392640</v>
      </c>
      <c r="B12650" t="str">
        <f>T("   STATUETTES ET AUTRES OBJETS D'ORNEMENTATION")</f>
        <v xml:space="preserve">   STATUETTES ET AUTRES OBJETS D'ORNEMENTATION</v>
      </c>
      <c r="C12650" s="4">
        <v>25990</v>
      </c>
      <c r="D12650" s="4">
        <v>13367061</v>
      </c>
    </row>
    <row r="12651" spans="1:4" x14ac:dyDescent="0.25">
      <c r="A12651" t="str">
        <f>T("   392690")</f>
        <v xml:space="preserve">   392690</v>
      </c>
      <c r="B12651" t="str">
        <f>T("   AUTRES")</f>
        <v xml:space="preserve">   AUTRES</v>
      </c>
      <c r="C12651" s="4">
        <v>2035530.24</v>
      </c>
      <c r="D12651" s="4">
        <v>774495639</v>
      </c>
    </row>
    <row r="12652" spans="1:4" x14ac:dyDescent="0.25">
      <c r="A12652" t="str">
        <f>T("   400129")</f>
        <v xml:space="preserve">   400129</v>
      </c>
      <c r="B12652" t="str">
        <f>T("   AUTRES")</f>
        <v xml:space="preserve">   AUTRES</v>
      </c>
      <c r="C12652" s="4">
        <v>3300</v>
      </c>
      <c r="D12652" s="4">
        <v>1280260</v>
      </c>
    </row>
    <row r="12653" spans="1:4" x14ac:dyDescent="0.25">
      <c r="A12653" t="str">
        <f>T("   400211")</f>
        <v xml:space="preserve">   400211</v>
      </c>
      <c r="B12653" t="str">
        <f>T("   LATEX")</f>
        <v xml:space="preserve">   LATEX</v>
      </c>
      <c r="C12653" s="4">
        <v>85599</v>
      </c>
      <c r="D12653" s="4">
        <v>88125149</v>
      </c>
    </row>
    <row r="12654" spans="1:4" x14ac:dyDescent="0.25">
      <c r="A12654" t="str">
        <f>T("   400270")</f>
        <v xml:space="preserve">   400270</v>
      </c>
      <c r="B12654" t="str">
        <f>T("   CAOUTCHOUC ETHYLENEPROPYLENEDIENE NON CONJUGUE (EPDM)")</f>
        <v xml:space="preserve">   CAOUTCHOUC ETHYLENEPROPYLENEDIENE NON CONJUGUE (EPDM)</v>
      </c>
      <c r="C12654" s="4">
        <v>2073</v>
      </c>
      <c r="D12654" s="4">
        <v>5028750</v>
      </c>
    </row>
    <row r="12655" spans="1:4" x14ac:dyDescent="0.25">
      <c r="A12655" t="str">
        <f>T("   400299")</f>
        <v xml:space="preserve">   400299</v>
      </c>
      <c r="B12655" t="str">
        <f>T("   AUTRES")</f>
        <v xml:space="preserve">   AUTRES</v>
      </c>
      <c r="C12655" s="4">
        <v>4219</v>
      </c>
      <c r="D12655" s="4">
        <v>6038110</v>
      </c>
    </row>
    <row r="12656" spans="1:4" x14ac:dyDescent="0.25">
      <c r="A12656" t="str">
        <f>T("   400400")</f>
        <v xml:space="preserve">   400400</v>
      </c>
      <c r="B12656" t="str">
        <f>T("   DECHETS, DEBRIS ET ROGNURES DE CAOUTCHOUC NON DURCI, MEME REDUITS EN POUDRE OU EN GRANU")</f>
        <v xml:space="preserve">   DECHETS, DEBRIS ET ROGNURES DE CAOUTCHOUC NON DURCI, MEME REDUITS EN POUDRE OU EN GRANU</v>
      </c>
      <c r="C12656" s="4">
        <v>294000</v>
      </c>
      <c r="D12656" s="4">
        <v>64138464</v>
      </c>
    </row>
    <row r="12657" spans="1:4" x14ac:dyDescent="0.25">
      <c r="A12657" t="str">
        <f>T("   400510")</f>
        <v xml:space="preserve">   400510</v>
      </c>
      <c r="B12657" t="str">
        <f>T("   Caoutchouc additionne de noir de carbone ou de silice")</f>
        <v xml:space="preserve">   Caoutchouc additionne de noir de carbone ou de silice</v>
      </c>
      <c r="C12657" s="4">
        <v>128</v>
      </c>
      <c r="D12657" s="4">
        <v>145800</v>
      </c>
    </row>
    <row r="12658" spans="1:4" x14ac:dyDescent="0.25">
      <c r="A12658" t="str">
        <f>T("   400520")</f>
        <v xml:space="preserve">   400520</v>
      </c>
      <c r="B12658" t="str">
        <f>T("   SOLUTIONS; DISPERSIONS AUTRES QUE CELLES DU N° 4005.10")</f>
        <v xml:space="preserve">   SOLUTIONS; DISPERSIONS AUTRES QUE CELLES DU N° 4005.10</v>
      </c>
      <c r="C12658" s="4">
        <v>842</v>
      </c>
      <c r="D12658" s="4">
        <v>3208957</v>
      </c>
    </row>
    <row r="12659" spans="1:4" x14ac:dyDescent="0.25">
      <c r="A12659" t="str">
        <f>T("   400599")</f>
        <v xml:space="preserve">   400599</v>
      </c>
      <c r="B12659" t="str">
        <f>T("   AUTRES")</f>
        <v xml:space="preserve">   AUTRES</v>
      </c>
      <c r="C12659" s="4">
        <v>56</v>
      </c>
      <c r="D12659" s="4">
        <v>177640</v>
      </c>
    </row>
    <row r="12660" spans="1:4" x14ac:dyDescent="0.25">
      <c r="A12660" t="str">
        <f>T("   400690")</f>
        <v xml:space="preserve">   400690</v>
      </c>
      <c r="B12660" t="str">
        <f>T("   AUTRES")</f>
        <v xml:space="preserve">   AUTRES</v>
      </c>
      <c r="C12660" s="4">
        <v>13200</v>
      </c>
      <c r="D12660" s="4">
        <v>6209759</v>
      </c>
    </row>
    <row r="12661" spans="1:4" x14ac:dyDescent="0.25">
      <c r="A12661" t="str">
        <f>T("   400700")</f>
        <v xml:space="preserve">   400700</v>
      </c>
      <c r="B12661" t="str">
        <f>T("   FILS ET CORDES DE CAOUTCHOUC VULCANISE.")</f>
        <v xml:space="preserve">   FILS ET CORDES DE CAOUTCHOUC VULCANISE.</v>
      </c>
      <c r="C12661" s="4">
        <v>6046</v>
      </c>
      <c r="D12661" s="4">
        <v>2299055</v>
      </c>
    </row>
    <row r="12662" spans="1:4" x14ac:dyDescent="0.25">
      <c r="A12662" t="str">
        <f>T("   400811")</f>
        <v xml:space="preserve">   400811</v>
      </c>
      <c r="B12662" t="str">
        <f>T("   PLAQUES, FEUILLES ET BANDES")</f>
        <v xml:space="preserve">   PLAQUES, FEUILLES ET BANDES</v>
      </c>
      <c r="C12662" s="4">
        <v>11521</v>
      </c>
      <c r="D12662" s="4">
        <v>47223872</v>
      </c>
    </row>
    <row r="12663" spans="1:4" x14ac:dyDescent="0.25">
      <c r="A12663" t="str">
        <f>T("   400821")</f>
        <v xml:space="preserve">   400821</v>
      </c>
      <c r="B12663" t="str">
        <f>T("   PLAQUES, FEUILLES ET BANDES")</f>
        <v xml:space="preserve">   PLAQUES, FEUILLES ET BANDES</v>
      </c>
      <c r="C12663" s="4">
        <v>1450</v>
      </c>
      <c r="D12663" s="4">
        <v>1926197</v>
      </c>
    </row>
    <row r="12664" spans="1:4" x14ac:dyDescent="0.25">
      <c r="A12664" t="str">
        <f>T("   400829")</f>
        <v xml:space="preserve">   400829</v>
      </c>
      <c r="B12664" t="str">
        <f>T("   AUTRES")</f>
        <v xml:space="preserve">   AUTRES</v>
      </c>
      <c r="C12664" s="4">
        <v>1605</v>
      </c>
      <c r="D12664" s="4">
        <v>355473</v>
      </c>
    </row>
    <row r="12665" spans="1:4" x14ac:dyDescent="0.25">
      <c r="A12665" t="str">
        <f>T("   400911")</f>
        <v xml:space="preserve">   400911</v>
      </c>
      <c r="B12665" t="str">
        <f>T("   SANS ACCESSOIRES")</f>
        <v xml:space="preserve">   SANS ACCESSOIRES</v>
      </c>
      <c r="C12665" s="4">
        <v>9245.99</v>
      </c>
      <c r="D12665" s="4">
        <v>65068340</v>
      </c>
    </row>
    <row r="12666" spans="1:4" x14ac:dyDescent="0.25">
      <c r="A12666" t="str">
        <f>T("   400912")</f>
        <v xml:space="preserve">   400912</v>
      </c>
      <c r="B12666" t="str">
        <f>T("   AVEC ACCESSOIRES")</f>
        <v xml:space="preserve">   AVEC ACCESSOIRES</v>
      </c>
      <c r="C12666" s="4">
        <v>4739</v>
      </c>
      <c r="D12666" s="4">
        <v>6600933</v>
      </c>
    </row>
    <row r="12667" spans="1:4" x14ac:dyDescent="0.25">
      <c r="A12667" t="str">
        <f>T("   400921")</f>
        <v xml:space="preserve">   400921</v>
      </c>
      <c r="B12667" t="str">
        <f>T("   SANS ACCESSOIRES")</f>
        <v xml:space="preserve">   SANS ACCESSOIRES</v>
      </c>
      <c r="C12667" s="4">
        <v>411</v>
      </c>
      <c r="D12667" s="4">
        <v>997755</v>
      </c>
    </row>
    <row r="12668" spans="1:4" x14ac:dyDescent="0.25">
      <c r="A12668" t="str">
        <f>T("   400922")</f>
        <v xml:space="preserve">   400922</v>
      </c>
      <c r="B12668" t="str">
        <f>T("   AVEC ACCESSOIRES")</f>
        <v xml:space="preserve">   AVEC ACCESSOIRES</v>
      </c>
      <c r="C12668" s="4">
        <v>724</v>
      </c>
      <c r="D12668" s="4">
        <v>6880064</v>
      </c>
    </row>
    <row r="12669" spans="1:4" x14ac:dyDescent="0.25">
      <c r="A12669" t="str">
        <f>T("   400931")</f>
        <v xml:space="preserve">   400931</v>
      </c>
      <c r="B12669" t="str">
        <f>T("   SANS ACCESSOIRES")</f>
        <v xml:space="preserve">   SANS ACCESSOIRES</v>
      </c>
      <c r="C12669" s="4">
        <v>43</v>
      </c>
      <c r="D12669" s="4">
        <v>760472</v>
      </c>
    </row>
    <row r="12670" spans="1:4" x14ac:dyDescent="0.25">
      <c r="A12670" t="str">
        <f>T("   400932")</f>
        <v xml:space="preserve">   400932</v>
      </c>
      <c r="B12670" t="str">
        <f>T("   AVEC ACCESSOIRES")</f>
        <v xml:space="preserve">   AVEC ACCESSOIRES</v>
      </c>
      <c r="C12670" s="4">
        <v>2107</v>
      </c>
      <c r="D12670" s="4">
        <v>3485116</v>
      </c>
    </row>
    <row r="12671" spans="1:4" x14ac:dyDescent="0.25">
      <c r="A12671" t="str">
        <f>T("   400941")</f>
        <v xml:space="preserve">   400941</v>
      </c>
      <c r="B12671" t="str">
        <f>T("   SANS ACCESSOIRES")</f>
        <v xml:space="preserve">   SANS ACCESSOIRES</v>
      </c>
      <c r="C12671" s="4">
        <v>71.7</v>
      </c>
      <c r="D12671" s="4">
        <v>2442818</v>
      </c>
    </row>
    <row r="12672" spans="1:4" x14ac:dyDescent="0.25">
      <c r="A12672" t="str">
        <f>T("   400942")</f>
        <v xml:space="preserve">   400942</v>
      </c>
      <c r="B12672" t="str">
        <f>T("   AVEC ACCESSOIRES")</f>
        <v xml:space="preserve">   AVEC ACCESSOIRES</v>
      </c>
      <c r="C12672" s="4">
        <v>3171.81</v>
      </c>
      <c r="D12672" s="4">
        <v>30785790</v>
      </c>
    </row>
    <row r="12673" spans="1:4" x14ac:dyDescent="0.25">
      <c r="A12673" t="str">
        <f>T("   401011")</f>
        <v xml:space="preserve">   401011</v>
      </c>
      <c r="B12673" t="str">
        <f>T("   RENFORCEES SEULEMENT DE METAL")</f>
        <v xml:space="preserve">   RENFORCEES SEULEMENT DE METAL</v>
      </c>
      <c r="C12673" s="4">
        <v>47</v>
      </c>
      <c r="D12673" s="4">
        <v>1037578</v>
      </c>
    </row>
    <row r="12674" spans="1:4" x14ac:dyDescent="0.25">
      <c r="A12674" t="str">
        <f>T("   401012")</f>
        <v xml:space="preserve">   401012</v>
      </c>
      <c r="B12674" t="str">
        <f>T("   RENFORCEES SEULEMENT DE MATIERES TEXTILES")</f>
        <v xml:space="preserve">   RENFORCEES SEULEMENT DE MATIERES TEXTILES</v>
      </c>
      <c r="C12674" s="4">
        <v>12798</v>
      </c>
      <c r="D12674" s="4">
        <v>79984547</v>
      </c>
    </row>
    <row r="12675" spans="1:4" x14ac:dyDescent="0.25">
      <c r="A12675" t="str">
        <f>T("   401019")</f>
        <v xml:space="preserve">   401019</v>
      </c>
      <c r="B12675" t="str">
        <f>T("   AUTRES")</f>
        <v xml:space="preserve">   AUTRES</v>
      </c>
      <c r="C12675" s="4">
        <v>6561</v>
      </c>
      <c r="D12675" s="4">
        <v>61431581</v>
      </c>
    </row>
    <row r="12676" spans="1:4" x14ac:dyDescent="0.25">
      <c r="A12676" t="str">
        <f>T("   401031")</f>
        <v xml:space="preserve">   401031</v>
      </c>
      <c r="B12676" t="str">
        <f>T("   COURROIES DE TRANSMISSION SANS FIN, DE SECTION TRAPEZOIDALE, STRIEES, D'UNE CIRCONFE")</f>
        <v xml:space="preserve">   COURROIES DE TRANSMISSION SANS FIN, DE SECTION TRAPEZOIDALE, STRIEES, D'UNE CIRCONFE</v>
      </c>
      <c r="C12676" s="4">
        <v>287</v>
      </c>
      <c r="D12676" s="4">
        <v>4019431</v>
      </c>
    </row>
    <row r="12677" spans="1:4" x14ac:dyDescent="0.25">
      <c r="A12677" t="str">
        <f>T("   401039")</f>
        <v xml:space="preserve">   401039</v>
      </c>
      <c r="B12677" t="str">
        <f>T("   AUTRES")</f>
        <v xml:space="preserve">   AUTRES</v>
      </c>
      <c r="C12677" s="4">
        <v>11307.36</v>
      </c>
      <c r="D12677" s="4">
        <v>47073734</v>
      </c>
    </row>
    <row r="12678" spans="1:4" x14ac:dyDescent="0.25">
      <c r="A12678" t="str">
        <f>T("   401110")</f>
        <v xml:space="preserve">   401110</v>
      </c>
      <c r="B12678" t="str">
        <f>T("   DES TYPES UTILISES POUR LES VOITURES DE TOURISME (Y COMPRIS LES VOITURES DU TYPE «BRE")</f>
        <v xml:space="preserve">   DES TYPES UTILISES POUR LES VOITURES DE TOURISME (Y COMPRIS LES VOITURES DU TYPE «BRE</v>
      </c>
      <c r="C12678" s="4">
        <v>1044148.2</v>
      </c>
      <c r="D12678" s="4">
        <v>964369517</v>
      </c>
    </row>
    <row r="12679" spans="1:4" x14ac:dyDescent="0.25">
      <c r="A12679" t="str">
        <f>T("   401120")</f>
        <v xml:space="preserve">   401120</v>
      </c>
      <c r="B12679" t="str">
        <f>T("   DES TYPES UTILISES POUR AUTOBUS OU CAMIONS")</f>
        <v xml:space="preserve">   DES TYPES UTILISES POUR AUTOBUS OU CAMIONS</v>
      </c>
      <c r="C12679" s="4">
        <v>3446388</v>
      </c>
      <c r="D12679" s="4">
        <v>2476058306</v>
      </c>
    </row>
    <row r="12680" spans="1:4" x14ac:dyDescent="0.25">
      <c r="A12680" t="str">
        <f>T("   401130")</f>
        <v xml:space="preserve">   401130</v>
      </c>
      <c r="B12680" t="str">
        <f>T("   DES TYPES UTILISES POUR VEHICULES AERIENS")</f>
        <v xml:space="preserve">   DES TYPES UTILISES POUR VEHICULES AERIENS</v>
      </c>
      <c r="C12680" s="4">
        <v>7500</v>
      </c>
      <c r="D12680" s="4">
        <v>5075000</v>
      </c>
    </row>
    <row r="12681" spans="1:4" x14ac:dyDescent="0.25">
      <c r="A12681" t="str">
        <f>T("   401140")</f>
        <v xml:space="preserve">   401140</v>
      </c>
      <c r="B12681" t="str">
        <f>T("   DES TYPES UTILISES POUR MOTOCYCLES")</f>
        <v xml:space="preserve">   DES TYPES UTILISES POUR MOTOCYCLES</v>
      </c>
      <c r="C12681" s="4">
        <v>628138</v>
      </c>
      <c r="D12681" s="4">
        <v>216760389</v>
      </c>
    </row>
    <row r="12682" spans="1:4" x14ac:dyDescent="0.25">
      <c r="A12682" t="str">
        <f>T("   401150")</f>
        <v xml:space="preserve">   401150</v>
      </c>
      <c r="B12682" t="str">
        <f>T("   DES TYPES UTILISES POUR BICYCLETTES")</f>
        <v xml:space="preserve">   DES TYPES UTILISES POUR BICYCLETTES</v>
      </c>
      <c r="C12682" s="4">
        <v>6191</v>
      </c>
      <c r="D12682" s="4">
        <v>4620527</v>
      </c>
    </row>
    <row r="12683" spans="1:4" x14ac:dyDescent="0.25">
      <c r="A12683" t="str">
        <f>T("   401161")</f>
        <v xml:space="preserve">   401161</v>
      </c>
      <c r="B12683" t="str">
        <f>T("   DES TYPES UTILISES POUR LES VEHICULES ET ENGINS AGRICOLES ET FORESTIERS")</f>
        <v xml:space="preserve">   DES TYPES UTILISES POUR LES VEHICULES ET ENGINS AGRICOLES ET FORESTIERS</v>
      </c>
      <c r="C12683" s="4">
        <v>35609</v>
      </c>
      <c r="D12683" s="4">
        <v>91139470</v>
      </c>
    </row>
    <row r="12684" spans="1:4" x14ac:dyDescent="0.25">
      <c r="A12684" t="str">
        <f>T("   401162")</f>
        <v xml:space="preserve">   401162</v>
      </c>
      <c r="B12684" t="str">
        <f>T("   DES TYPES UTILISES POUR LES VEHICULES ET ENGINS DE GENIE CIVIL ET DE MANUTENTION IND")</f>
        <v xml:space="preserve">   DES TYPES UTILISES POUR LES VEHICULES ET ENGINS DE GENIE CIVIL ET DE MANUTENTION IND</v>
      </c>
      <c r="C12684" s="4">
        <v>1700</v>
      </c>
      <c r="D12684" s="4">
        <v>1281943</v>
      </c>
    </row>
    <row r="12685" spans="1:4" x14ac:dyDescent="0.25">
      <c r="A12685" t="str">
        <f>T("   401163")</f>
        <v xml:space="preserve">   401163</v>
      </c>
      <c r="B12685" t="str">
        <f>T("   DES TYPES UTILISES POUR LES VEHICULES ET ENGINS DE GENIE CIVIL ET DE MANUTENTION IND")</f>
        <v xml:space="preserve">   DES TYPES UTILISES POUR LES VEHICULES ET ENGINS DE GENIE CIVIL ET DE MANUTENTION IND</v>
      </c>
      <c r="C12685" s="4">
        <v>14982</v>
      </c>
      <c r="D12685" s="4">
        <v>46118370</v>
      </c>
    </row>
    <row r="12686" spans="1:4" x14ac:dyDescent="0.25">
      <c r="A12686" t="str">
        <f>T("   401169")</f>
        <v xml:space="preserve">   401169</v>
      </c>
      <c r="B12686" t="str">
        <f>T("   AUTRES")</f>
        <v xml:space="preserve">   AUTRES</v>
      </c>
      <c r="C12686" s="4">
        <v>3088</v>
      </c>
      <c r="D12686" s="4">
        <v>9061710</v>
      </c>
    </row>
    <row r="12687" spans="1:4" x14ac:dyDescent="0.25">
      <c r="A12687" t="str">
        <f>T("   401191")</f>
        <v xml:space="preserve">   401191</v>
      </c>
      <c r="B12687" t="str">
        <f>T("   PNEUMATIQUES NEUFS A CRAMPONS,A CHEVRONS OU SIMILAIRES")</f>
        <v xml:space="preserve">   PNEUMATIQUES NEUFS A CRAMPONS,A CHEVRONS OU SIMILAIRES</v>
      </c>
      <c r="C12687" s="4">
        <v>200</v>
      </c>
      <c r="D12687" s="4">
        <v>640005</v>
      </c>
    </row>
    <row r="12688" spans="1:4" x14ac:dyDescent="0.25">
      <c r="A12688" t="str">
        <f>T("   401192")</f>
        <v xml:space="preserve">   401192</v>
      </c>
      <c r="B12688" t="str">
        <f>T("   DES TYPES UTILISES POUR LES VEHICULES ET ENGINS AGRICOLES ET FORESTIERS")</f>
        <v xml:space="preserve">   DES TYPES UTILISES POUR LES VEHICULES ET ENGINS AGRICOLES ET FORESTIERS</v>
      </c>
      <c r="C12688" s="4">
        <v>1510</v>
      </c>
      <c r="D12688" s="4">
        <v>36718489</v>
      </c>
    </row>
    <row r="12689" spans="1:4" x14ac:dyDescent="0.25">
      <c r="A12689" t="str">
        <f>T("   401194")</f>
        <v xml:space="preserve">   401194</v>
      </c>
      <c r="B12689" t="str">
        <f>T("   DES TYPES UTILISES POUR LES VEHICULES ET ENGINS DE GENIE CIVIL ET DE MANUTENTION IND")</f>
        <v xml:space="preserve">   DES TYPES UTILISES POUR LES VEHICULES ET ENGINS DE GENIE CIVIL ET DE MANUTENTION IND</v>
      </c>
      <c r="C12689" s="4">
        <v>7579</v>
      </c>
      <c r="D12689" s="4">
        <v>20887051</v>
      </c>
    </row>
    <row r="12690" spans="1:4" x14ac:dyDescent="0.25">
      <c r="A12690" t="str">
        <f>T("   401199")</f>
        <v xml:space="preserve">   401199</v>
      </c>
      <c r="B12690" t="str">
        <f>T("   AUTRES")</f>
        <v xml:space="preserve">   AUTRES</v>
      </c>
      <c r="C12690" s="4">
        <v>742159</v>
      </c>
      <c r="D12690" s="4">
        <v>862338808</v>
      </c>
    </row>
    <row r="12691" spans="1:4" x14ac:dyDescent="0.25">
      <c r="A12691" t="str">
        <f>T("   401211")</f>
        <v xml:space="preserve">   401211</v>
      </c>
      <c r="B12691" t="str">
        <f>T("   DES TYPES UTILISES POUR LES VOITURES DE TOURISME (Y COMPRIS LES VOITURES DU TYPE «BR")</f>
        <v xml:space="preserve">   DES TYPES UTILISES POUR LES VOITURES DE TOURISME (Y COMPRIS LES VOITURES DU TYPE «BR</v>
      </c>
      <c r="C12691" s="4">
        <v>282344</v>
      </c>
      <c r="D12691" s="4">
        <v>88555295</v>
      </c>
    </row>
    <row r="12692" spans="1:4" x14ac:dyDescent="0.25">
      <c r="A12692" t="str">
        <f>T("   401212")</f>
        <v xml:space="preserve">   401212</v>
      </c>
      <c r="B12692" t="str">
        <f>T("   DES TYPES UTILISES POUR AUTOBUS OU CAMIONS")</f>
        <v xml:space="preserve">   DES TYPES UTILISES POUR AUTOBUS OU CAMIONS</v>
      </c>
      <c r="C12692" s="4">
        <v>1268848</v>
      </c>
      <c r="D12692" s="4">
        <v>211592366</v>
      </c>
    </row>
    <row r="12693" spans="1:4" x14ac:dyDescent="0.25">
      <c r="A12693" t="str">
        <f>T("   401219")</f>
        <v xml:space="preserve">   401219</v>
      </c>
      <c r="B12693" t="str">
        <f>T("   AUTRES")</f>
        <v xml:space="preserve">   AUTRES</v>
      </c>
      <c r="C12693" s="4">
        <v>231218</v>
      </c>
      <c r="D12693" s="4">
        <v>60918185</v>
      </c>
    </row>
    <row r="12694" spans="1:4" x14ac:dyDescent="0.25">
      <c r="A12694" t="str">
        <f>T("   401220")</f>
        <v xml:space="preserve">   401220</v>
      </c>
      <c r="B12694" t="str">
        <f>T("   PNEUMATIQUES USAGES")</f>
        <v xml:space="preserve">   PNEUMATIQUES USAGES</v>
      </c>
      <c r="C12694" s="4">
        <v>9602156</v>
      </c>
      <c r="D12694" s="4">
        <v>3304209795</v>
      </c>
    </row>
    <row r="12695" spans="1:4" x14ac:dyDescent="0.25">
      <c r="A12695" t="str">
        <f>T("   401290")</f>
        <v xml:space="preserve">   401290</v>
      </c>
      <c r="B12695" t="str">
        <f>T("   AUTRES")</f>
        <v xml:space="preserve">   AUTRES</v>
      </c>
      <c r="C12695" s="4">
        <v>15205</v>
      </c>
      <c r="D12695" s="4">
        <v>3196190</v>
      </c>
    </row>
    <row r="12696" spans="1:4" x14ac:dyDescent="0.25">
      <c r="A12696" t="str">
        <f>T("   401310")</f>
        <v xml:space="preserve">   401310</v>
      </c>
      <c r="B12696" t="str">
        <f>T("   DES TYPES UTILISES POUR LES VOITURES DE TOURISME (Y COMPRIS LES VOITURES DU TYPE «BRE")</f>
        <v xml:space="preserve">   DES TYPES UTILISES POUR LES VOITURES DE TOURISME (Y COMPRIS LES VOITURES DU TYPE «BRE</v>
      </c>
      <c r="C12696" s="4">
        <v>1372606</v>
      </c>
      <c r="D12696" s="4">
        <v>154263475</v>
      </c>
    </row>
    <row r="12697" spans="1:4" x14ac:dyDescent="0.25">
      <c r="A12697" t="str">
        <f>T("   401320")</f>
        <v xml:space="preserve">   401320</v>
      </c>
      <c r="B12697" t="str">
        <f>T("   DES TYPES UTILISES POUR BICYCLETTES")</f>
        <v xml:space="preserve">   DES TYPES UTILISES POUR BICYCLETTES</v>
      </c>
      <c r="C12697" s="4">
        <v>12191</v>
      </c>
      <c r="D12697" s="4">
        <v>4253698</v>
      </c>
    </row>
    <row r="12698" spans="1:4" x14ac:dyDescent="0.25">
      <c r="A12698" t="str">
        <f>T("   401390")</f>
        <v xml:space="preserve">   401390</v>
      </c>
      <c r="B12698" t="str">
        <f>T("   AUTRES")</f>
        <v xml:space="preserve">   AUTRES</v>
      </c>
      <c r="C12698" s="4">
        <v>1127256.52</v>
      </c>
      <c r="D12698" s="4">
        <v>149203214</v>
      </c>
    </row>
    <row r="12699" spans="1:4" x14ac:dyDescent="0.25">
      <c r="A12699" t="str">
        <f>T("   401410")</f>
        <v xml:space="preserve">   401410</v>
      </c>
      <c r="B12699" t="str">
        <f>T("   PRESERVATIFS")</f>
        <v xml:space="preserve">   PRESERVATIFS</v>
      </c>
      <c r="C12699" s="4">
        <v>31650</v>
      </c>
      <c r="D12699" s="4">
        <v>239744623</v>
      </c>
    </row>
    <row r="12700" spans="1:4" x14ac:dyDescent="0.25">
      <c r="A12700" t="str">
        <f>T("   401490")</f>
        <v xml:space="preserve">   401490</v>
      </c>
      <c r="B12700" t="str">
        <f>T("   AUTRES")</f>
        <v xml:space="preserve">   AUTRES</v>
      </c>
      <c r="C12700" s="4">
        <v>1100</v>
      </c>
      <c r="D12700" s="4">
        <v>14335436</v>
      </c>
    </row>
    <row r="12701" spans="1:4" x14ac:dyDescent="0.25">
      <c r="A12701" t="str">
        <f>T("   401511")</f>
        <v xml:space="preserve">   401511</v>
      </c>
      <c r="B12701" t="str">
        <f>T("   POUR CHIRURGIE")</f>
        <v xml:space="preserve">   POUR CHIRURGIE</v>
      </c>
      <c r="C12701" s="4">
        <v>25391</v>
      </c>
      <c r="D12701" s="4">
        <v>52851028</v>
      </c>
    </row>
    <row r="12702" spans="1:4" x14ac:dyDescent="0.25">
      <c r="A12702" t="str">
        <f>T("   401519")</f>
        <v xml:space="preserve">   401519</v>
      </c>
      <c r="B12702" t="str">
        <f>T("   AUTRES")</f>
        <v xml:space="preserve">   AUTRES</v>
      </c>
      <c r="C12702" s="4">
        <v>7661</v>
      </c>
      <c r="D12702" s="4">
        <v>51454707</v>
      </c>
    </row>
    <row r="12703" spans="1:4" x14ac:dyDescent="0.25">
      <c r="A12703" t="str">
        <f>T("   401590")</f>
        <v xml:space="preserve">   401590</v>
      </c>
      <c r="B12703" t="str">
        <f>T("   AUTRES")</f>
        <v xml:space="preserve">   AUTRES</v>
      </c>
      <c r="C12703" s="4">
        <v>445</v>
      </c>
      <c r="D12703" s="4">
        <v>4759385</v>
      </c>
    </row>
    <row r="12704" spans="1:4" x14ac:dyDescent="0.25">
      <c r="A12704" t="str">
        <f>T("   401610")</f>
        <v xml:space="preserve">   401610</v>
      </c>
      <c r="B12704" t="str">
        <f>T("   EN CAOUTCHOUC ALVEOLAIRE")</f>
        <v xml:space="preserve">   EN CAOUTCHOUC ALVEOLAIRE</v>
      </c>
      <c r="C12704" s="4">
        <v>54</v>
      </c>
      <c r="D12704" s="4">
        <v>661704</v>
      </c>
    </row>
    <row r="12705" spans="1:4" x14ac:dyDescent="0.25">
      <c r="A12705" t="str">
        <f>T("   401691")</f>
        <v xml:space="preserve">   401691</v>
      </c>
      <c r="B12705" t="str">
        <f>T("   REVETEMENTS DE SOL ET TAPIS DE PIED")</f>
        <v xml:space="preserve">   REVETEMENTS DE SOL ET TAPIS DE PIED</v>
      </c>
      <c r="C12705" s="4">
        <v>3877</v>
      </c>
      <c r="D12705" s="4">
        <v>3972632</v>
      </c>
    </row>
    <row r="12706" spans="1:4" x14ac:dyDescent="0.25">
      <c r="A12706" t="str">
        <f>T("   401692")</f>
        <v xml:space="preserve">   401692</v>
      </c>
      <c r="B12706" t="str">
        <f>T("   GOMMES A EFFACER")</f>
        <v xml:space="preserve">   GOMMES A EFFACER</v>
      </c>
      <c r="C12706" s="4">
        <v>31333</v>
      </c>
      <c r="D12706" s="4">
        <v>11158089</v>
      </c>
    </row>
    <row r="12707" spans="1:4" x14ac:dyDescent="0.25">
      <c r="A12707" t="str">
        <f>T("   401693")</f>
        <v xml:space="preserve">   401693</v>
      </c>
      <c r="B12707" t="str">
        <f>T("   JOINTS")</f>
        <v xml:space="preserve">   JOINTS</v>
      </c>
      <c r="C12707" s="4">
        <v>3037.21</v>
      </c>
      <c r="D12707" s="4">
        <v>48229100</v>
      </c>
    </row>
    <row r="12708" spans="1:4" x14ac:dyDescent="0.25">
      <c r="A12708" t="str">
        <f>T("   401695")</f>
        <v xml:space="preserve">   401695</v>
      </c>
      <c r="B12708" t="str">
        <f>T("   AUTRES ARTICLES GONFLABLES")</f>
        <v xml:space="preserve">   AUTRES ARTICLES GONFLABLES</v>
      </c>
      <c r="C12708" s="4">
        <v>726</v>
      </c>
      <c r="D12708" s="4">
        <v>5348817</v>
      </c>
    </row>
    <row r="12709" spans="1:4" x14ac:dyDescent="0.25">
      <c r="A12709" t="str">
        <f>T("   401699")</f>
        <v xml:space="preserve">   401699</v>
      </c>
      <c r="B12709" t="str">
        <f>T("   AUTRES")</f>
        <v xml:space="preserve">   AUTRES</v>
      </c>
      <c r="C12709" s="4">
        <v>36617</v>
      </c>
      <c r="D12709" s="4">
        <v>127473539</v>
      </c>
    </row>
    <row r="12710" spans="1:4" x14ac:dyDescent="0.25">
      <c r="A12710" t="str">
        <f>T("   401700")</f>
        <v xml:space="preserve">   401700</v>
      </c>
      <c r="B12710" t="str">
        <f>T("   CAOUTCHOUC DURCI (EBONITE, PAR EXEMPLE) SOUS TOUTES FORMES, Y COMPRIS LES DECHETS ET DE")</f>
        <v xml:space="preserve">   CAOUTCHOUC DURCI (EBONITE, PAR EXEMPLE) SOUS TOUTES FORMES, Y COMPRIS LES DECHETS ET DE</v>
      </c>
      <c r="C12710" s="4">
        <v>208</v>
      </c>
      <c r="D12710" s="4">
        <v>695318</v>
      </c>
    </row>
    <row r="12711" spans="1:4" x14ac:dyDescent="0.25">
      <c r="A12711" t="str">
        <f>T("   410121")</f>
        <v xml:space="preserve">   410121</v>
      </c>
      <c r="B12711" t="str">
        <f>T("   PEAUX ENTIERES DE BOVINS FRAICHES OU SALEES VERTES")</f>
        <v xml:space="preserve">   PEAUX ENTIERES DE BOVINS FRAICHES OU SALEES VERTES</v>
      </c>
      <c r="C12711" s="4">
        <v>600</v>
      </c>
      <c r="D12711" s="4">
        <v>358100</v>
      </c>
    </row>
    <row r="12712" spans="1:4" x14ac:dyDescent="0.25">
      <c r="A12712" t="str">
        <f>T("   410130")</f>
        <v xml:space="preserve">   410130</v>
      </c>
      <c r="B12712" t="str">
        <f>T("   AUTRES PEAUX DE BOVINS AUTREMENT CONSERVEES")</f>
        <v xml:space="preserve">   AUTRES PEAUX DE BOVINS AUTREMENT CONSERVEES</v>
      </c>
      <c r="C12712" s="4">
        <v>20780</v>
      </c>
      <c r="D12712" s="4">
        <v>214862</v>
      </c>
    </row>
    <row r="12713" spans="1:4" x14ac:dyDescent="0.25">
      <c r="A12713" t="str">
        <f>T("   410150")</f>
        <v xml:space="preserve">   410150</v>
      </c>
      <c r="B12713" t="str">
        <f>T("   CUIRS ET PEAUX BRUTS ENTIERS, D’UN POIDS UNITAIRE EXCEDANT 16 KG")</f>
        <v xml:space="preserve">   CUIRS ET PEAUX BRUTS ENTIERS, D’UN POIDS UNITAIRE EXCEDANT 16 KG</v>
      </c>
      <c r="C12713" s="4">
        <v>68060</v>
      </c>
      <c r="D12713" s="4">
        <v>376057</v>
      </c>
    </row>
    <row r="12714" spans="1:4" x14ac:dyDescent="0.25">
      <c r="A12714" t="str">
        <f>T("   410390")</f>
        <v xml:space="preserve">   410390</v>
      </c>
      <c r="B12714" t="str">
        <f>T("   AUTRES")</f>
        <v xml:space="preserve">   AUTRES</v>
      </c>
      <c r="C12714" s="4">
        <v>25620</v>
      </c>
      <c r="D12714" s="4">
        <v>286473</v>
      </c>
    </row>
    <row r="12715" spans="1:4" x14ac:dyDescent="0.25">
      <c r="A12715" t="str">
        <f>T("   411510")</f>
        <v xml:space="preserve">   411510</v>
      </c>
      <c r="B12715" t="str">
        <f>T("   CUIR RECONSTITUE, A BASE DE CUIR OU DE FIBRES DE CUIR, EN PLAQUES, FEUILLES OU BANDES")</f>
        <v xml:space="preserve">   CUIR RECONSTITUE, A BASE DE CUIR OU DE FIBRES DE CUIR, EN PLAQUES, FEUILLES OU BANDES</v>
      </c>
      <c r="C12715" s="4">
        <v>40131</v>
      </c>
      <c r="D12715" s="4">
        <v>18018821</v>
      </c>
    </row>
    <row r="12716" spans="1:4" x14ac:dyDescent="0.25">
      <c r="A12716" t="str">
        <f>T("   420100")</f>
        <v xml:space="preserve">   420100</v>
      </c>
      <c r="B12716" t="str">
        <f>T("   ARTICLES DE SELLERIE OU DE BOURRELLERIE POUR TOUS ANIMAUX (Y COMPRIS LES TRAITS, LAISSE")</f>
        <v xml:space="preserve">   ARTICLES DE SELLERIE OU DE BOURRELLERIE POUR TOUS ANIMAUX (Y COMPRIS LES TRAITS, LAISSE</v>
      </c>
      <c r="C12716" s="4">
        <v>583</v>
      </c>
      <c r="D12716" s="4">
        <v>4903450</v>
      </c>
    </row>
    <row r="12717" spans="1:4" x14ac:dyDescent="0.25">
      <c r="A12717" t="str">
        <f>T("   420211")</f>
        <v xml:space="preserve">   420211</v>
      </c>
      <c r="B12717" t="str">
        <f>T("   A SURFACE EXTERIEURE EN CUIR NATUREL OU EN CUIR RECONSTITUE")</f>
        <v xml:space="preserve">   A SURFACE EXTERIEURE EN CUIR NATUREL OU EN CUIR RECONSTITUE</v>
      </c>
      <c r="C12717" s="4">
        <v>3243</v>
      </c>
      <c r="D12717" s="4">
        <v>3032215</v>
      </c>
    </row>
    <row r="12718" spans="1:4" x14ac:dyDescent="0.25">
      <c r="A12718" t="str">
        <f>T("   420212")</f>
        <v xml:space="preserve">   420212</v>
      </c>
      <c r="B12718" t="str">
        <f>T("   A SURFACE EXTERIEURE EN MATIERES PLASTIQUES OU EN MATIERES TEXTILES")</f>
        <v xml:space="preserve">   A SURFACE EXTERIEURE EN MATIERES PLASTIQUES OU EN MATIERES TEXTILES</v>
      </c>
      <c r="C12718" s="4">
        <v>13482.2</v>
      </c>
      <c r="D12718" s="4">
        <v>29015370</v>
      </c>
    </row>
    <row r="12719" spans="1:4" x14ac:dyDescent="0.25">
      <c r="A12719" t="str">
        <f>T("   420219")</f>
        <v xml:space="preserve">   420219</v>
      </c>
      <c r="B12719" t="str">
        <f>T("   AUTRES")</f>
        <v xml:space="preserve">   AUTRES</v>
      </c>
      <c r="C12719" s="4">
        <v>114363.5</v>
      </c>
      <c r="D12719" s="4">
        <v>52634801</v>
      </c>
    </row>
    <row r="12720" spans="1:4" x14ac:dyDescent="0.25">
      <c r="A12720" t="str">
        <f>T("   420221")</f>
        <v xml:space="preserve">   420221</v>
      </c>
      <c r="B12720" t="str">
        <f>T("   A SURFACE EXTERIEURE EN CUIR NATUREL OU EN CUIR RECONSTITUE")</f>
        <v xml:space="preserve">   A SURFACE EXTERIEURE EN CUIR NATUREL OU EN CUIR RECONSTITUE</v>
      </c>
      <c r="C12720" s="4">
        <v>21788.1</v>
      </c>
      <c r="D12720" s="4">
        <v>8915320</v>
      </c>
    </row>
    <row r="12721" spans="1:4" x14ac:dyDescent="0.25">
      <c r="A12721" t="str">
        <f>T("   420222")</f>
        <v xml:space="preserve">   420222</v>
      </c>
      <c r="B12721" t="str">
        <f>T("   A SURFACE EXTERIEURE EN FEUILLES DE MATIERES PLASTIQUES OU EN MATIERES TEXTILES")</f>
        <v xml:space="preserve">   A SURFACE EXTERIEURE EN FEUILLES DE MATIERES PLASTIQUES OU EN MATIERES TEXTILES</v>
      </c>
      <c r="C12721" s="4">
        <v>211965</v>
      </c>
      <c r="D12721" s="4">
        <v>61280255</v>
      </c>
    </row>
    <row r="12722" spans="1:4" x14ac:dyDescent="0.25">
      <c r="A12722" t="str">
        <f>T("   420229")</f>
        <v xml:space="preserve">   420229</v>
      </c>
      <c r="B12722" t="str">
        <f>T("   AUTRES")</f>
        <v xml:space="preserve">   AUTRES</v>
      </c>
      <c r="C12722" s="4">
        <v>4874250.5999999996</v>
      </c>
      <c r="D12722" s="4">
        <v>1734757959</v>
      </c>
    </row>
    <row r="12723" spans="1:4" x14ac:dyDescent="0.25">
      <c r="A12723" t="str">
        <f>T("   420231")</f>
        <v xml:space="preserve">   420231</v>
      </c>
      <c r="B12723" t="str">
        <f>T("   A SURFACE EXTERIEURE EN CUIR NATUREL OU EN CUIR RECONSTITUE")</f>
        <v xml:space="preserve">   A SURFACE EXTERIEURE EN CUIR NATUREL OU EN CUIR RECONSTITUE</v>
      </c>
      <c r="C12723" s="4">
        <v>15</v>
      </c>
      <c r="D12723" s="4">
        <v>2041676</v>
      </c>
    </row>
    <row r="12724" spans="1:4" x14ac:dyDescent="0.25">
      <c r="A12724" t="str">
        <f>T("   420232")</f>
        <v xml:space="preserve">   420232</v>
      </c>
      <c r="B12724" t="str">
        <f>T("   A SURFACE EXTERIEURE EN FEUILLES DE MATIERES PLASTIQUES OU EN MATIERES TEXTILES")</f>
        <v xml:space="preserve">   A SURFACE EXTERIEURE EN FEUILLES DE MATIERES PLASTIQUES OU EN MATIERES TEXTILES</v>
      </c>
      <c r="C12724" s="4">
        <v>770.74</v>
      </c>
      <c r="D12724" s="4">
        <v>933288</v>
      </c>
    </row>
    <row r="12725" spans="1:4" x14ac:dyDescent="0.25">
      <c r="A12725" t="str">
        <f>T("   420239")</f>
        <v xml:space="preserve">   420239</v>
      </c>
      <c r="B12725" t="str">
        <f>T("   AUTRES")</f>
        <v xml:space="preserve">   AUTRES</v>
      </c>
      <c r="C12725" s="4">
        <v>46905</v>
      </c>
      <c r="D12725" s="4">
        <v>36877192</v>
      </c>
    </row>
    <row r="12726" spans="1:4" x14ac:dyDescent="0.25">
      <c r="A12726" t="str">
        <f>T("   420291")</f>
        <v xml:space="preserve">   420291</v>
      </c>
      <c r="B12726" t="str">
        <f>T("   A SURFACE EXTERIEURE EN CUIR NATUREL OU EN CUIR RECONSTITUE")</f>
        <v xml:space="preserve">   A SURFACE EXTERIEURE EN CUIR NATUREL OU EN CUIR RECONSTITUE</v>
      </c>
      <c r="C12726" s="4">
        <v>6100</v>
      </c>
      <c r="D12726" s="4">
        <v>4865538</v>
      </c>
    </row>
    <row r="12727" spans="1:4" x14ac:dyDescent="0.25">
      <c r="A12727" t="str">
        <f>T("   420292")</f>
        <v xml:space="preserve">   420292</v>
      </c>
      <c r="B12727" t="str">
        <f>T("   A SURFACE EXTERIEURE EN FEUILLES DE MATIERES PLASTIQUES OU EN MATIERES TEXTILES")</f>
        <v xml:space="preserve">   A SURFACE EXTERIEURE EN FEUILLES DE MATIERES PLASTIQUES OU EN MATIERES TEXTILES</v>
      </c>
      <c r="C12727" s="4">
        <v>41227</v>
      </c>
      <c r="D12727" s="4">
        <v>20863457</v>
      </c>
    </row>
    <row r="12728" spans="1:4" x14ac:dyDescent="0.25">
      <c r="A12728" t="str">
        <f>T("   420299")</f>
        <v xml:space="preserve">   420299</v>
      </c>
      <c r="B12728" t="str">
        <f>T("   AUTRES")</f>
        <v xml:space="preserve">   AUTRES</v>
      </c>
      <c r="C12728" s="4">
        <v>1045923</v>
      </c>
      <c r="D12728" s="4">
        <v>329614239</v>
      </c>
    </row>
    <row r="12729" spans="1:4" x14ac:dyDescent="0.25">
      <c r="A12729" t="str">
        <f>T("   420310")</f>
        <v xml:space="preserve">   420310</v>
      </c>
      <c r="B12729" t="str">
        <f>T("   VETEMENTS")</f>
        <v xml:space="preserve">   VETEMENTS</v>
      </c>
      <c r="C12729" s="4">
        <v>4</v>
      </c>
      <c r="D12729" s="4">
        <v>33454</v>
      </c>
    </row>
    <row r="12730" spans="1:4" x14ac:dyDescent="0.25">
      <c r="A12730" t="str">
        <f>T("   420329")</f>
        <v xml:space="preserve">   420329</v>
      </c>
      <c r="B12730" t="str">
        <f>T("   AUTRES")</f>
        <v xml:space="preserve">   AUTRES</v>
      </c>
      <c r="C12730" s="4">
        <v>3971</v>
      </c>
      <c r="D12730" s="4">
        <v>12459248</v>
      </c>
    </row>
    <row r="12731" spans="1:4" x14ac:dyDescent="0.25">
      <c r="A12731" t="str">
        <f>T("   420330")</f>
        <v xml:space="preserve">   420330</v>
      </c>
      <c r="B12731" t="str">
        <f>T("   CEINTURES, CEINTURONS ET BAUDRIERS")</f>
        <v xml:space="preserve">   CEINTURES, CEINTURONS ET BAUDRIERS</v>
      </c>
      <c r="C12731" s="4">
        <v>11967</v>
      </c>
      <c r="D12731" s="4">
        <v>9473660</v>
      </c>
    </row>
    <row r="12732" spans="1:4" x14ac:dyDescent="0.25">
      <c r="A12732" t="str">
        <f>T("   420500")</f>
        <v xml:space="preserve">   420500</v>
      </c>
      <c r="B12732" t="str">
        <f>T("   AUTRES OUVRAGES EN CUIR NATUREL OU RECONSTITUE.")</f>
        <v xml:space="preserve">   AUTRES OUVRAGES EN CUIR NATUREL OU RECONSTITUE.</v>
      </c>
      <c r="C12732" s="4">
        <v>14025</v>
      </c>
      <c r="D12732" s="4">
        <v>4597053</v>
      </c>
    </row>
    <row r="12733" spans="1:4" x14ac:dyDescent="0.25">
      <c r="A12733" t="str">
        <f>T("   430219")</f>
        <v xml:space="preserve">   430219</v>
      </c>
      <c r="B12733" t="str">
        <f t="shared" ref="B12733:B12741" si="9">T("   AUTRES")</f>
        <v xml:space="preserve">   AUTRES</v>
      </c>
      <c r="C12733" s="4">
        <v>9200</v>
      </c>
      <c r="D12733" s="4">
        <v>3290500</v>
      </c>
    </row>
    <row r="12734" spans="1:4" x14ac:dyDescent="0.25">
      <c r="A12734" t="str">
        <f>T("   430390")</f>
        <v xml:space="preserve">   430390</v>
      </c>
      <c r="B12734" t="str">
        <f t="shared" si="9"/>
        <v xml:space="preserve">   AUTRES</v>
      </c>
      <c r="C12734" s="4">
        <v>100</v>
      </c>
      <c r="D12734" s="4">
        <v>894467</v>
      </c>
    </row>
    <row r="12735" spans="1:4" x14ac:dyDescent="0.25">
      <c r="A12735" t="str">
        <f>T("   440290")</f>
        <v xml:space="preserve">   440290</v>
      </c>
      <c r="B12735" t="str">
        <f t="shared" si="9"/>
        <v xml:space="preserve">   AUTRES</v>
      </c>
      <c r="C12735" s="4">
        <v>371237</v>
      </c>
      <c r="D12735" s="4">
        <v>55712089</v>
      </c>
    </row>
    <row r="12736" spans="1:4" x14ac:dyDescent="0.25">
      <c r="A12736" t="str">
        <f>T("   440349")</f>
        <v xml:space="preserve">   440349</v>
      </c>
      <c r="B12736" t="str">
        <f t="shared" si="9"/>
        <v xml:space="preserve">   AUTRES</v>
      </c>
      <c r="C12736" s="4">
        <v>722443</v>
      </c>
      <c r="D12736" s="4">
        <v>18481927</v>
      </c>
    </row>
    <row r="12737" spans="1:4" x14ac:dyDescent="0.25">
      <c r="A12737" t="str">
        <f>T("   440399")</f>
        <v xml:space="preserve">   440399</v>
      </c>
      <c r="B12737" t="str">
        <f t="shared" si="9"/>
        <v xml:space="preserve">   AUTRES</v>
      </c>
      <c r="C12737" s="4">
        <v>62635</v>
      </c>
      <c r="D12737" s="4">
        <v>11265720</v>
      </c>
    </row>
    <row r="12738" spans="1:4" x14ac:dyDescent="0.25">
      <c r="A12738" t="str">
        <f>T("   440690")</f>
        <v xml:space="preserve">   440690</v>
      </c>
      <c r="B12738" t="str">
        <f t="shared" si="9"/>
        <v xml:space="preserve">   AUTRES</v>
      </c>
      <c r="C12738" s="4">
        <v>240000</v>
      </c>
      <c r="D12738" s="4">
        <v>840000</v>
      </c>
    </row>
    <row r="12739" spans="1:4" x14ac:dyDescent="0.25">
      <c r="A12739" t="str">
        <f>T("   440729")</f>
        <v xml:space="preserve">   440729</v>
      </c>
      <c r="B12739" t="str">
        <f t="shared" si="9"/>
        <v xml:space="preserve">   AUTRES</v>
      </c>
      <c r="C12739" s="4">
        <v>294750</v>
      </c>
      <c r="D12739" s="4">
        <v>18510300</v>
      </c>
    </row>
    <row r="12740" spans="1:4" x14ac:dyDescent="0.25">
      <c r="A12740" t="str">
        <f>T("   440799")</f>
        <v xml:space="preserve">   440799</v>
      </c>
      <c r="B12740" t="str">
        <f t="shared" si="9"/>
        <v xml:space="preserve">   AUTRES</v>
      </c>
      <c r="C12740" s="4">
        <v>4000</v>
      </c>
      <c r="D12740" s="4">
        <v>1186000</v>
      </c>
    </row>
    <row r="12741" spans="1:4" x14ac:dyDescent="0.25">
      <c r="A12741" t="str">
        <f>T("   440890")</f>
        <v xml:space="preserve">   440890</v>
      </c>
      <c r="B12741" t="str">
        <f t="shared" si="9"/>
        <v xml:space="preserve">   AUTRES</v>
      </c>
      <c r="C12741" s="4">
        <v>161789</v>
      </c>
      <c r="D12741" s="4">
        <v>42349700</v>
      </c>
    </row>
    <row r="12742" spans="1:4" x14ac:dyDescent="0.25">
      <c r="A12742" t="str">
        <f>T("   441039")</f>
        <v xml:space="preserve">   441039</v>
      </c>
      <c r="B12742" t="str">
        <f>T("   AUTRES PANNEAUX DE PARTICULES ET PANNEAUX SIMILAIRES EN BOIS")</f>
        <v xml:space="preserve">   AUTRES PANNEAUX DE PARTICULES ET PANNEAUX SIMILAIRES EN BOIS</v>
      </c>
      <c r="C12742" s="4">
        <v>99635</v>
      </c>
      <c r="D12742" s="4">
        <v>16122926</v>
      </c>
    </row>
    <row r="12743" spans="1:4" x14ac:dyDescent="0.25">
      <c r="A12743" t="str">
        <f>T("   441090")</f>
        <v xml:space="preserve">   441090</v>
      </c>
      <c r="B12743" t="str">
        <f>T("   AUTRES")</f>
        <v xml:space="preserve">   AUTRES</v>
      </c>
      <c r="C12743" s="4">
        <v>59818</v>
      </c>
      <c r="D12743" s="4">
        <v>60117173</v>
      </c>
    </row>
    <row r="12744" spans="1:4" x14ac:dyDescent="0.25">
      <c r="A12744" t="str">
        <f>T("   441112")</f>
        <v xml:space="preserve">   441112</v>
      </c>
      <c r="B12744" t="str">
        <f>T("   D'UNE EPAISSEUR N'EXCEDANT PAS 5 MM")</f>
        <v xml:space="preserve">   D'UNE EPAISSEUR N'EXCEDANT PAS 5 MM</v>
      </c>
      <c r="C12744" s="4">
        <v>280224</v>
      </c>
      <c r="D12744" s="4">
        <v>37055412</v>
      </c>
    </row>
    <row r="12745" spans="1:4" x14ac:dyDescent="0.25">
      <c r="A12745" t="str">
        <f>T("   441192")</f>
        <v xml:space="preserve">   441192</v>
      </c>
      <c r="B12745" t="str">
        <f>T("   D'UNE MASSE VOLUMIQUE EXCEDANT 0,8 G/CM³")</f>
        <v xml:space="preserve">   D'UNE MASSE VOLUMIQUE EXCEDANT 0,8 G/CM³</v>
      </c>
      <c r="C12745" s="4">
        <v>66485</v>
      </c>
      <c r="D12745" s="4">
        <v>10110912</v>
      </c>
    </row>
    <row r="12746" spans="1:4" x14ac:dyDescent="0.25">
      <c r="A12746" t="str">
        <f>T("   441199")</f>
        <v xml:space="preserve">   441199</v>
      </c>
      <c r="B12746" t="str">
        <f>T("   AUTRES PANNEAUX DE FIBRES 0,35 G/CM3 ET -")</f>
        <v xml:space="preserve">   AUTRES PANNEAUX DE FIBRES 0,35 G/CM3 ET -</v>
      </c>
      <c r="C12746" s="4">
        <v>625087.19999999995</v>
      </c>
      <c r="D12746" s="4">
        <v>115922863</v>
      </c>
    </row>
    <row r="12747" spans="1:4" x14ac:dyDescent="0.25">
      <c r="A12747" t="str">
        <f>T("   441229")</f>
        <v xml:space="preserve">   441229</v>
      </c>
      <c r="B12747" t="str">
        <f>T("   BOIS PLAQUES OU STRATIFIES A 1 PLI EXTERIEUR AUTRE QUE DE CONIFERES")</f>
        <v xml:space="preserve">   BOIS PLAQUES OU STRATIFIES A 1 PLI EXTERIEUR AUTRE QUE DE CONIFERES</v>
      </c>
      <c r="C12747" s="4">
        <v>200</v>
      </c>
      <c r="D12747" s="4">
        <v>84780</v>
      </c>
    </row>
    <row r="12748" spans="1:4" x14ac:dyDescent="0.25">
      <c r="A12748" t="str">
        <f>T("   441231")</f>
        <v xml:space="preserve">   441231</v>
      </c>
      <c r="B12748" t="str">
        <f>T("   AYANT AU MOINS UN PLI EXTERIEUR EN BOIS TROPICAUX VISES A LA NOTE 2 DE SOUSPOSITION")</f>
        <v xml:space="preserve">   AYANT AU MOINS UN PLI EXTERIEUR EN BOIS TROPICAUX VISES A LA NOTE 2 DE SOUSPOSITION</v>
      </c>
      <c r="C12748" s="4">
        <v>1541570</v>
      </c>
      <c r="D12748" s="4">
        <v>479073311</v>
      </c>
    </row>
    <row r="12749" spans="1:4" x14ac:dyDescent="0.25">
      <c r="A12749" t="str">
        <f>T("   441232")</f>
        <v xml:space="preserve">   441232</v>
      </c>
      <c r="B12749" t="str">
        <f>T("   AUTRES, AYANT AU MOINS UN PLI EXTERIEUR EN BOIS AUTRES QUE DE CONIFERES")</f>
        <v xml:space="preserve">   AUTRES, AYANT AU MOINS UN PLI EXTERIEUR EN BOIS AUTRES QUE DE CONIFERES</v>
      </c>
      <c r="C12749" s="4">
        <v>650816</v>
      </c>
      <c r="D12749" s="4">
        <v>176436556</v>
      </c>
    </row>
    <row r="12750" spans="1:4" x14ac:dyDescent="0.25">
      <c r="A12750" t="str">
        <f>T("   441239")</f>
        <v xml:space="preserve">   441239</v>
      </c>
      <c r="B12750" t="str">
        <f>T("   AUTRES")</f>
        <v xml:space="preserve">   AUTRES</v>
      </c>
      <c r="C12750" s="4">
        <v>990870</v>
      </c>
      <c r="D12750" s="4">
        <v>241627097</v>
      </c>
    </row>
    <row r="12751" spans="1:4" x14ac:dyDescent="0.25">
      <c r="A12751" t="str">
        <f>T("   441299")</f>
        <v xml:space="preserve">   441299</v>
      </c>
      <c r="B12751" t="str">
        <f>T("   AUTRES")</f>
        <v xml:space="preserve">   AUTRES</v>
      </c>
      <c r="C12751" s="4">
        <v>505431</v>
      </c>
      <c r="D12751" s="4">
        <v>135032045</v>
      </c>
    </row>
    <row r="12752" spans="1:4" x14ac:dyDescent="0.25">
      <c r="A12752" t="str">
        <f>T("   441300")</f>
        <v xml:space="preserve">   441300</v>
      </c>
      <c r="B12752" t="str">
        <f>T("   BOIS DITS «DENSIFIES», EN BLOCS, PLANCHES, LAMES OU PROFILES.")</f>
        <v xml:space="preserve">   BOIS DITS «DENSIFIES», EN BLOCS, PLANCHES, LAMES OU PROFILES.</v>
      </c>
      <c r="C12752" s="4">
        <v>6890</v>
      </c>
      <c r="D12752" s="4">
        <v>1632028</v>
      </c>
    </row>
    <row r="12753" spans="1:4" x14ac:dyDescent="0.25">
      <c r="A12753" t="str">
        <f>T("   441400")</f>
        <v xml:space="preserve">   441400</v>
      </c>
      <c r="B12753" t="str">
        <f>T("   CADRES EN BOIS POUR TABLEAUX, PHOTOGRAPHIES, MIROIRS OU OBJETS SIMILAIRES.")</f>
        <v xml:space="preserve">   CADRES EN BOIS POUR TABLEAUX, PHOTOGRAPHIES, MIROIRS OU OBJETS SIMILAIRES.</v>
      </c>
      <c r="C12753" s="4">
        <v>131411</v>
      </c>
      <c r="D12753" s="4">
        <v>37202205</v>
      </c>
    </row>
    <row r="12754" spans="1:4" x14ac:dyDescent="0.25">
      <c r="A12754" t="str">
        <f>T("   441510")</f>
        <v xml:space="preserve">   441510</v>
      </c>
      <c r="B12754" t="str">
        <f>T("   CAISSES, CAISSETTES, CAGEOTS, CYLINDRES ET EMBALLAGES SIMILAIRES; TAMBOURS (TOURETS)")</f>
        <v xml:space="preserve">   CAISSES, CAISSETTES, CAGEOTS, CYLINDRES ET EMBALLAGES SIMILAIRES; TAMBOURS (TOURETS)</v>
      </c>
      <c r="C12754" s="4">
        <v>11671</v>
      </c>
      <c r="D12754" s="4">
        <v>21770609</v>
      </c>
    </row>
    <row r="12755" spans="1:4" x14ac:dyDescent="0.25">
      <c r="A12755" t="str">
        <f>T("   441520")</f>
        <v xml:space="preserve">   441520</v>
      </c>
      <c r="B12755" t="str">
        <f>T("   PALETTES SIMPLES, PALETTESCAISSES ET AUTRES PLATEAUX DE CHARGEMENT; REHAUSSES DE PAL")</f>
        <v xml:space="preserve">   PALETTES SIMPLES, PALETTESCAISSES ET AUTRES PLATEAUX DE CHARGEMENT; REHAUSSES DE PAL</v>
      </c>
      <c r="C12755" s="4">
        <v>12000</v>
      </c>
      <c r="D12755" s="4">
        <v>1500000</v>
      </c>
    </row>
    <row r="12756" spans="1:4" x14ac:dyDescent="0.25">
      <c r="A12756" t="str">
        <f>T("   441600")</f>
        <v xml:space="preserve">   441600</v>
      </c>
      <c r="B12756" t="str">
        <f>T("   FUTAILLES, CUVES, BAQUETS ET AUTRES OUVRAGES DE TONNELLERIE ET LEURS PARTIES, EN BOIS,")</f>
        <v xml:space="preserve">   FUTAILLES, CUVES, BAQUETS ET AUTRES OUVRAGES DE TONNELLERIE ET LEURS PARTIES, EN BOIS,</v>
      </c>
      <c r="C12756" s="4">
        <v>3750</v>
      </c>
      <c r="D12756" s="4">
        <v>1000000</v>
      </c>
    </row>
    <row r="12757" spans="1:4" x14ac:dyDescent="0.25">
      <c r="A12757" t="str">
        <f>T("   441700")</f>
        <v xml:space="preserve">   441700</v>
      </c>
      <c r="B12757" t="str">
        <f>T("   OUTILS, MONTURES ET MANCHES D'OUTILS, MONTURES DE BROSSES, MANCHES DE BALAIS OU DE BROS")</f>
        <v xml:space="preserve">   OUTILS, MONTURES ET MANCHES D'OUTILS, MONTURES DE BROSSES, MANCHES DE BALAIS OU DE BROS</v>
      </c>
      <c r="C12757" s="4">
        <v>64066</v>
      </c>
      <c r="D12757" s="4">
        <v>27021134</v>
      </c>
    </row>
    <row r="12758" spans="1:4" x14ac:dyDescent="0.25">
      <c r="A12758" t="str">
        <f>T("   441810")</f>
        <v xml:space="preserve">   441810</v>
      </c>
      <c r="B12758" t="str">
        <f>T("   FENETRES, PORTESFENETRES ET LEURS CADRES ET CHAMBRANLES")</f>
        <v xml:space="preserve">   FENETRES, PORTESFENETRES ET LEURS CADRES ET CHAMBRANLES</v>
      </c>
      <c r="C12758" s="4">
        <v>102764</v>
      </c>
      <c r="D12758" s="4">
        <v>5956579</v>
      </c>
    </row>
    <row r="12759" spans="1:4" x14ac:dyDescent="0.25">
      <c r="A12759" t="str">
        <f>T("   441820")</f>
        <v xml:space="preserve">   441820</v>
      </c>
      <c r="B12759" t="str">
        <f>T("   PORTES ET LEURS CADRES, CHAMBRANLES ET SEUILS")</f>
        <v xml:space="preserve">   PORTES ET LEURS CADRES, CHAMBRANLES ET SEUILS</v>
      </c>
      <c r="C12759" s="4">
        <v>208116</v>
      </c>
      <c r="D12759" s="4">
        <v>98813587</v>
      </c>
    </row>
    <row r="12760" spans="1:4" x14ac:dyDescent="0.25">
      <c r="A12760" t="str">
        <f>T("   441840")</f>
        <v xml:space="preserve">   441840</v>
      </c>
      <c r="B12760" t="str">
        <f>T("   COFFRAGES POUR LE BETONNAGE")</f>
        <v xml:space="preserve">   COFFRAGES POUR LE BETONNAGE</v>
      </c>
      <c r="C12760" s="4">
        <v>93152</v>
      </c>
      <c r="D12760" s="4">
        <v>50498281</v>
      </c>
    </row>
    <row r="12761" spans="1:4" x14ac:dyDescent="0.25">
      <c r="A12761" t="str">
        <f>T("   441879")</f>
        <v xml:space="preserve">   441879</v>
      </c>
      <c r="B12761" t="str">
        <f>T("   AUTRES")</f>
        <v xml:space="preserve">   AUTRES</v>
      </c>
      <c r="C12761" s="4">
        <v>115243</v>
      </c>
      <c r="D12761" s="4">
        <v>38427613</v>
      </c>
    </row>
    <row r="12762" spans="1:4" x14ac:dyDescent="0.25">
      <c r="A12762" t="str">
        <f>T("   441890")</f>
        <v xml:space="preserve">   441890</v>
      </c>
      <c r="B12762" t="str">
        <f>T("   AUTRES")</f>
        <v xml:space="preserve">   AUTRES</v>
      </c>
      <c r="C12762" s="4">
        <v>189657</v>
      </c>
      <c r="D12762" s="4">
        <v>155058624</v>
      </c>
    </row>
    <row r="12763" spans="1:4" x14ac:dyDescent="0.25">
      <c r="A12763" t="str">
        <f>T("   441900")</f>
        <v xml:space="preserve">   441900</v>
      </c>
      <c r="B12763" t="str">
        <f>T("   ARTICLES EN BOIS POUR LA TABLE OU LA CUISINE.")</f>
        <v xml:space="preserve">   ARTICLES EN BOIS POUR LA TABLE OU LA CUISINE.</v>
      </c>
      <c r="C12763" s="4">
        <v>8158</v>
      </c>
      <c r="D12763" s="4">
        <v>7112653</v>
      </c>
    </row>
    <row r="12764" spans="1:4" x14ac:dyDescent="0.25">
      <c r="A12764" t="str">
        <f>T("   442010")</f>
        <v xml:space="preserve">   442010</v>
      </c>
      <c r="B12764" t="str">
        <f>T("   STATUETTES ET AUTRES OBJETS D'ORNEMENT, EN BOIS")</f>
        <v xml:space="preserve">   STATUETTES ET AUTRES OBJETS D'ORNEMENT, EN BOIS</v>
      </c>
      <c r="C12764" s="4">
        <v>3965</v>
      </c>
      <c r="D12764" s="4">
        <v>2142393</v>
      </c>
    </row>
    <row r="12765" spans="1:4" x14ac:dyDescent="0.25">
      <c r="A12765" t="str">
        <f>T("   442090")</f>
        <v xml:space="preserve">   442090</v>
      </c>
      <c r="B12765" t="str">
        <f>T("   AUTRES")</f>
        <v xml:space="preserve">   AUTRES</v>
      </c>
      <c r="C12765" s="4">
        <v>4925</v>
      </c>
      <c r="D12765" s="4">
        <v>12032962</v>
      </c>
    </row>
    <row r="12766" spans="1:4" x14ac:dyDescent="0.25">
      <c r="A12766" t="str">
        <f>T("   442110")</f>
        <v xml:space="preserve">   442110</v>
      </c>
      <c r="B12766" t="str">
        <f>T("   CINTRES POUR VETEMENTS")</f>
        <v xml:space="preserve">   CINTRES POUR VETEMENTS</v>
      </c>
      <c r="C12766" s="4">
        <v>3615</v>
      </c>
      <c r="D12766" s="4">
        <v>2370483</v>
      </c>
    </row>
    <row r="12767" spans="1:4" x14ac:dyDescent="0.25">
      <c r="A12767" t="str">
        <f>T("   442190")</f>
        <v xml:space="preserve">   442190</v>
      </c>
      <c r="B12767" t="str">
        <f>T("   AUTRES")</f>
        <v xml:space="preserve">   AUTRES</v>
      </c>
      <c r="C12767" s="4">
        <v>79052</v>
      </c>
      <c r="D12767" s="4">
        <v>21499777</v>
      </c>
    </row>
    <row r="12768" spans="1:4" x14ac:dyDescent="0.25">
      <c r="A12768" t="str">
        <f>T("   450490")</f>
        <v xml:space="preserve">   450490</v>
      </c>
      <c r="B12768" t="str">
        <f>T("   AUTRES")</f>
        <v xml:space="preserve">   AUTRES</v>
      </c>
      <c r="C12768" s="4">
        <v>40000</v>
      </c>
      <c r="D12768" s="4">
        <v>13970000</v>
      </c>
    </row>
    <row r="12769" spans="1:4" x14ac:dyDescent="0.25">
      <c r="A12769" t="str">
        <f>T("   460120")</f>
        <v xml:space="preserve">   460120</v>
      </c>
      <c r="B12769" t="str">
        <f>T("   NATTES,PAILLASSONS ET CLAIES EN MATIERES VEGETALES")</f>
        <v xml:space="preserve">   NATTES,PAILLASSONS ET CLAIES EN MATIERES VEGETALES</v>
      </c>
      <c r="C12769" s="4">
        <v>560</v>
      </c>
      <c r="D12769" s="4">
        <v>364000</v>
      </c>
    </row>
    <row r="12770" spans="1:4" x14ac:dyDescent="0.25">
      <c r="A12770" t="str">
        <f>T("   460199")</f>
        <v xml:space="preserve">   460199</v>
      </c>
      <c r="B12770" t="str">
        <f>T("   AUTRES")</f>
        <v xml:space="preserve">   AUTRES</v>
      </c>
      <c r="C12770" s="4">
        <v>285566</v>
      </c>
      <c r="D12770" s="4">
        <v>135465332</v>
      </c>
    </row>
    <row r="12771" spans="1:4" x14ac:dyDescent="0.25">
      <c r="A12771" t="str">
        <f>T("   460290")</f>
        <v xml:space="preserve">   460290</v>
      </c>
      <c r="B12771" t="str">
        <f>T("   AUTRES")</f>
        <v xml:space="preserve">   AUTRES</v>
      </c>
      <c r="C12771" s="4">
        <v>126</v>
      </c>
      <c r="D12771" s="4">
        <v>364500</v>
      </c>
    </row>
    <row r="12772" spans="1:4" x14ac:dyDescent="0.25">
      <c r="A12772" t="str">
        <f>T("   470429")</f>
        <v xml:space="preserve">   470429</v>
      </c>
      <c r="B12772" t="str">
        <f>T("   AUTRES QUE DE CONIFERES")</f>
        <v xml:space="preserve">   AUTRES QUE DE CONIFERES</v>
      </c>
      <c r="C12772" s="4">
        <v>305</v>
      </c>
      <c r="D12772" s="4">
        <v>883578</v>
      </c>
    </row>
    <row r="12773" spans="1:4" x14ac:dyDescent="0.25">
      <c r="A12773" t="str">
        <f>T("   470790")</f>
        <v xml:space="preserve">   470790</v>
      </c>
      <c r="B12773" t="str">
        <f>T("   AUTRES, Y COMPRIS LES DECHETS ET REBUTS NON TRIES")</f>
        <v xml:space="preserve">   AUTRES, Y COMPRIS LES DECHETS ET REBUTS NON TRIES</v>
      </c>
      <c r="C12773" s="4">
        <v>101590</v>
      </c>
      <c r="D12773" s="4">
        <v>6812445</v>
      </c>
    </row>
    <row r="12774" spans="1:4" x14ac:dyDescent="0.25">
      <c r="A12774" t="str">
        <f>T("   480100")</f>
        <v xml:space="preserve">   480100</v>
      </c>
      <c r="B12774" t="str">
        <f>T("   PAPIER JOURNAL, EN ROULEAUX OU EN FEUILLES.")</f>
        <v xml:space="preserve">   PAPIER JOURNAL, EN ROULEAUX OU EN FEUILLES.</v>
      </c>
      <c r="C12774" s="4">
        <v>282427</v>
      </c>
      <c r="D12774" s="4">
        <v>103262058</v>
      </c>
    </row>
    <row r="12775" spans="1:4" x14ac:dyDescent="0.25">
      <c r="A12775" t="str">
        <f>T("   480210")</f>
        <v xml:space="preserve">   480210</v>
      </c>
      <c r="B12775" t="str">
        <f>T("   Papiers et cartons formes feuille a feuille (papiers a la main)")</f>
        <v xml:space="preserve">   Papiers et cartons formes feuille a feuille (papiers a la main)</v>
      </c>
      <c r="C12775" s="4">
        <v>800370</v>
      </c>
      <c r="D12775" s="4">
        <v>257932423</v>
      </c>
    </row>
    <row r="12776" spans="1:4" x14ac:dyDescent="0.25">
      <c r="A12776" t="str">
        <f>T("   480220")</f>
        <v xml:space="preserve">   480220</v>
      </c>
      <c r="B12776" t="str">
        <f>T("   PAPIERS ET CARTONS SUPPORTS POUR PAPIERS OU CARTONS PHOTOSENSIBLES, SENSIBLES A LA CH")</f>
        <v xml:space="preserve">   PAPIERS ET CARTONS SUPPORTS POUR PAPIERS OU CARTONS PHOTOSENSIBLES, SENSIBLES A LA CH</v>
      </c>
      <c r="C12776" s="4">
        <v>34832</v>
      </c>
      <c r="D12776" s="4">
        <v>19195703</v>
      </c>
    </row>
    <row r="12777" spans="1:4" x14ac:dyDescent="0.25">
      <c r="A12777" t="str">
        <f>T("   480254")</f>
        <v xml:space="preserve">   480254</v>
      </c>
      <c r="B12777" t="str">
        <f>T("   D'UN POIDS AU M² INFERIEUR A 40 G")</f>
        <v xml:space="preserve">   D'UN POIDS AU M² INFERIEUR A 40 G</v>
      </c>
      <c r="C12777" s="4">
        <v>43090</v>
      </c>
      <c r="D12777" s="4">
        <v>21667671</v>
      </c>
    </row>
    <row r="12778" spans="1:4" x14ac:dyDescent="0.25">
      <c r="A12778" t="str">
        <f>T("   480255")</f>
        <v xml:space="preserve">   480255</v>
      </c>
      <c r="B12778" t="str">
        <f>T("   D'UN POIDS AU M² DE 40 G OU PLUS MAIS N'EXCEDANT PAS 150 G, EN ROULEAUX")</f>
        <v xml:space="preserve">   D'UN POIDS AU M² DE 40 G OU PLUS MAIS N'EXCEDANT PAS 150 G, EN ROULEAUX</v>
      </c>
      <c r="C12778" s="4">
        <v>40</v>
      </c>
      <c r="D12778" s="4">
        <v>80000</v>
      </c>
    </row>
    <row r="12779" spans="1:4" x14ac:dyDescent="0.25">
      <c r="A12779" t="str">
        <f>T("   480256")</f>
        <v xml:space="preserve">   480256</v>
      </c>
      <c r="B12779" t="str">
        <f>T("   D'UN POIDS AU M² DE 40 G OU PLUS MAIS N'EXCEDANT PAS 150 G, EN FEUILLES DONT UN COTE")</f>
        <v xml:space="preserve">   D'UN POIDS AU M² DE 40 G OU PLUS MAIS N'EXCEDANT PAS 150 G, EN FEUILLES DONT UN COTE</v>
      </c>
      <c r="C12779" s="4">
        <v>230662</v>
      </c>
      <c r="D12779" s="4">
        <v>87668263</v>
      </c>
    </row>
    <row r="12780" spans="1:4" x14ac:dyDescent="0.25">
      <c r="A12780" t="str">
        <f>T("   480257")</f>
        <v xml:space="preserve">   480257</v>
      </c>
      <c r="B12780" t="str">
        <f>T("   AUTRES, D'UN POIDS AU M² DE 40 G OU PLUS MAIS N'EXCEDANT PAS 150 G")</f>
        <v xml:space="preserve">   AUTRES, D'UN POIDS AU M² DE 40 G OU PLUS MAIS N'EXCEDANT PAS 150 G</v>
      </c>
      <c r="C12780" s="4">
        <v>4858635</v>
      </c>
      <c r="D12780" s="4">
        <v>1713842919</v>
      </c>
    </row>
    <row r="12781" spans="1:4" x14ac:dyDescent="0.25">
      <c r="A12781" t="str">
        <f>T("   480258")</f>
        <v xml:space="preserve">   480258</v>
      </c>
      <c r="B12781" t="str">
        <f>T("   D'UN POIDS AU M² EXCEDANT 150 G")</f>
        <v xml:space="preserve">   D'UN POIDS AU M² EXCEDANT 150 G</v>
      </c>
      <c r="C12781" s="4">
        <v>2577296.5</v>
      </c>
      <c r="D12781" s="4">
        <v>898334636</v>
      </c>
    </row>
    <row r="12782" spans="1:4" x14ac:dyDescent="0.25">
      <c r="A12782" t="str">
        <f>T("   480261")</f>
        <v xml:space="preserve">   480261</v>
      </c>
      <c r="B12782" t="str">
        <f>T("   EN ROULEAUX")</f>
        <v xml:space="preserve">   EN ROULEAUX</v>
      </c>
      <c r="C12782" s="4">
        <v>331380</v>
      </c>
      <c r="D12782" s="4">
        <v>127926239</v>
      </c>
    </row>
    <row r="12783" spans="1:4" x14ac:dyDescent="0.25">
      <c r="A12783" t="str">
        <f>T("   480262")</f>
        <v xml:space="preserve">   480262</v>
      </c>
      <c r="B12783" t="str">
        <f>T("   EN FEUILLES DONT UN COTE N'EXCEDE PAS 435 MM ET L'AUTRE N'EXCEDE PAS 297 MM A L'ETAT")</f>
        <v xml:space="preserve">   EN FEUILLES DONT UN COTE N'EXCEDE PAS 435 MM ET L'AUTRE N'EXCEDE PAS 297 MM A L'ETAT</v>
      </c>
      <c r="C12783" s="4">
        <v>9280</v>
      </c>
      <c r="D12783" s="4">
        <v>1005252</v>
      </c>
    </row>
    <row r="12784" spans="1:4" x14ac:dyDescent="0.25">
      <c r="A12784" t="str">
        <f>T("   480269")</f>
        <v xml:space="preserve">   480269</v>
      </c>
      <c r="B12784" t="str">
        <f>T("   AUTRES")</f>
        <v xml:space="preserve">   AUTRES</v>
      </c>
      <c r="C12784" s="4">
        <v>68525</v>
      </c>
      <c r="D12784" s="4">
        <v>36817978</v>
      </c>
    </row>
    <row r="12785" spans="1:4" x14ac:dyDescent="0.25">
      <c r="A12785" t="str">
        <f>T("   480300")</f>
        <v xml:space="preserve">   480300</v>
      </c>
      <c r="B12785" t="str">
        <f>T("   PAPIERS DES TYPES UTILISES POUR PAPIERS DE TOILETTE, POUR SERVIETTES A DEMAQUILLER, POU")</f>
        <v xml:space="preserve">   PAPIERS DES TYPES UTILISES POUR PAPIERS DE TOILETTE, POUR SERVIETTES A DEMAQUILLER, POU</v>
      </c>
      <c r="C12785" s="4">
        <v>370120</v>
      </c>
      <c r="D12785" s="4">
        <v>114151413</v>
      </c>
    </row>
    <row r="12786" spans="1:4" x14ac:dyDescent="0.25">
      <c r="A12786" t="str">
        <f>T("   480419")</f>
        <v xml:space="preserve">   480419</v>
      </c>
      <c r="B12786" t="str">
        <f>T("   AUTRES")</f>
        <v xml:space="preserve">   AUTRES</v>
      </c>
      <c r="C12786" s="4">
        <v>20503</v>
      </c>
      <c r="D12786" s="4">
        <v>24245861</v>
      </c>
    </row>
    <row r="12787" spans="1:4" x14ac:dyDescent="0.25">
      <c r="A12787" t="str">
        <f>T("   480421")</f>
        <v xml:space="preserve">   480421</v>
      </c>
      <c r="B12787" t="str">
        <f>T("   ECRUS")</f>
        <v xml:space="preserve">   ECRUS</v>
      </c>
      <c r="C12787" s="4">
        <v>25748</v>
      </c>
      <c r="D12787" s="4">
        <v>10580307</v>
      </c>
    </row>
    <row r="12788" spans="1:4" x14ac:dyDescent="0.25">
      <c r="A12788" t="str">
        <f>T("   480429")</f>
        <v xml:space="preserve">   480429</v>
      </c>
      <c r="B12788" t="str">
        <f>T("   AUTRES")</f>
        <v xml:space="preserve">   AUTRES</v>
      </c>
      <c r="C12788" s="4">
        <v>144649</v>
      </c>
      <c r="D12788" s="4">
        <v>96497692</v>
      </c>
    </row>
    <row r="12789" spans="1:4" x14ac:dyDescent="0.25">
      <c r="A12789" t="str">
        <f>T("   480439")</f>
        <v xml:space="preserve">   480439</v>
      </c>
      <c r="B12789" t="str">
        <f>T("   AUTRES")</f>
        <v xml:space="preserve">   AUTRES</v>
      </c>
      <c r="C12789" s="4">
        <v>115098</v>
      </c>
      <c r="D12789" s="4">
        <v>52030796</v>
      </c>
    </row>
    <row r="12790" spans="1:4" x14ac:dyDescent="0.25">
      <c r="A12790" t="str">
        <f>T("   480449")</f>
        <v xml:space="preserve">   480449</v>
      </c>
      <c r="B12790" t="str">
        <f>T("   AUTRES")</f>
        <v xml:space="preserve">   AUTRES</v>
      </c>
      <c r="C12790" s="4">
        <v>27840</v>
      </c>
      <c r="D12790" s="4">
        <v>27523194</v>
      </c>
    </row>
    <row r="12791" spans="1:4" x14ac:dyDescent="0.25">
      <c r="A12791" t="str">
        <f>T("   480519")</f>
        <v xml:space="preserve">   480519</v>
      </c>
      <c r="B12791" t="str">
        <f>T("   AUTRES")</f>
        <v xml:space="preserve">   AUTRES</v>
      </c>
      <c r="C12791" s="4">
        <v>37516</v>
      </c>
      <c r="D12791" s="4">
        <v>36584582</v>
      </c>
    </row>
    <row r="12792" spans="1:4" x14ac:dyDescent="0.25">
      <c r="A12792" t="str">
        <f>T("   480530")</f>
        <v xml:space="preserve">   480530</v>
      </c>
      <c r="B12792" t="str">
        <f>T("   PAPIER SULFITE D'EMBALLAGE")</f>
        <v xml:space="preserve">   PAPIER SULFITE D'EMBALLAGE</v>
      </c>
      <c r="C12792" s="4">
        <v>2500</v>
      </c>
      <c r="D12792" s="4">
        <v>895245</v>
      </c>
    </row>
    <row r="12793" spans="1:4" x14ac:dyDescent="0.25">
      <c r="A12793" t="str">
        <f>T("   480540")</f>
        <v xml:space="preserve">   480540</v>
      </c>
      <c r="B12793" t="str">
        <f>T("   PAPIER ET CARTON FILTRE")</f>
        <v xml:space="preserve">   PAPIER ET CARTON FILTRE</v>
      </c>
      <c r="C12793" s="4">
        <v>30244</v>
      </c>
      <c r="D12793" s="4">
        <v>5655628</v>
      </c>
    </row>
    <row r="12794" spans="1:4" x14ac:dyDescent="0.25">
      <c r="A12794" t="str">
        <f>T("   480550")</f>
        <v xml:space="preserve">   480550</v>
      </c>
      <c r="B12794" t="str">
        <f>T("   PAPIER ET CARTON FEUTRE, PAPIER ET CARTON LAINEUX")</f>
        <v xml:space="preserve">   PAPIER ET CARTON FEUTRE, PAPIER ET CARTON LAINEUX</v>
      </c>
      <c r="C12794" s="4">
        <v>175</v>
      </c>
      <c r="D12794" s="4">
        <v>1738294</v>
      </c>
    </row>
    <row r="12795" spans="1:4" x14ac:dyDescent="0.25">
      <c r="A12795" t="str">
        <f>T("   480591")</f>
        <v xml:space="preserve">   480591</v>
      </c>
      <c r="B12795" t="str">
        <f>T("   D'UN POIDS AU M² N'EXCEDANT PAS 150 G")</f>
        <v xml:space="preserve">   D'UN POIDS AU M² N'EXCEDANT PAS 150 G</v>
      </c>
      <c r="C12795" s="4">
        <v>35042</v>
      </c>
      <c r="D12795" s="4">
        <v>16104051</v>
      </c>
    </row>
    <row r="12796" spans="1:4" x14ac:dyDescent="0.25">
      <c r="A12796" t="str">
        <f>T("   480592")</f>
        <v xml:space="preserve">   480592</v>
      </c>
      <c r="B12796" t="str">
        <f>T("   D'UN POIDS AU M² EXCEDANT 150 G, MAIS INFERIEUR A 225 G")</f>
        <v xml:space="preserve">   D'UN POIDS AU M² EXCEDANT 150 G, MAIS INFERIEUR A 225 G</v>
      </c>
      <c r="C12796" s="4">
        <v>272830</v>
      </c>
      <c r="D12796" s="4">
        <v>114830672</v>
      </c>
    </row>
    <row r="12797" spans="1:4" x14ac:dyDescent="0.25">
      <c r="A12797" t="str">
        <f>T("   480593")</f>
        <v xml:space="preserve">   480593</v>
      </c>
      <c r="B12797" t="str">
        <f>T("   D'UN POIDS AU M² EGAL OU SUPERIEUR A 225 G")</f>
        <v xml:space="preserve">   D'UN POIDS AU M² EGAL OU SUPERIEUR A 225 G</v>
      </c>
      <c r="C12797" s="4">
        <v>822474</v>
      </c>
      <c r="D12797" s="4">
        <v>246621785</v>
      </c>
    </row>
    <row r="12798" spans="1:4" x14ac:dyDescent="0.25">
      <c r="A12798" t="str">
        <f>T("   480630")</f>
        <v xml:space="preserve">   480630</v>
      </c>
      <c r="B12798" t="str">
        <f>T("    PAPIERSCALQUES")</f>
        <v xml:space="preserve">    PAPIERSCALQUES</v>
      </c>
      <c r="C12798" s="4">
        <v>2630</v>
      </c>
      <c r="D12798" s="4">
        <v>678341</v>
      </c>
    </row>
    <row r="12799" spans="1:4" x14ac:dyDescent="0.25">
      <c r="A12799" t="str">
        <f>T("   480700")</f>
        <v xml:space="preserve">   480700</v>
      </c>
      <c r="B12799" t="str">
        <f>T("   PAPIERS ET CARTONS ASSEMBLES A PLAT PAR COLLAGE, NON COUCHES NI ENDUITS A LA SURFACE NI")</f>
        <v xml:space="preserve">   PAPIERS ET CARTONS ASSEMBLES A PLAT PAR COLLAGE, NON COUCHES NI ENDUITS A LA SURFACE NI</v>
      </c>
      <c r="C12799" s="4">
        <v>39388</v>
      </c>
      <c r="D12799" s="4">
        <v>17582631</v>
      </c>
    </row>
    <row r="12800" spans="1:4" x14ac:dyDescent="0.25">
      <c r="A12800" t="str">
        <f>T("   480810")</f>
        <v xml:space="preserve">   480810</v>
      </c>
      <c r="B12800" t="str">
        <f>T("    PAPIERS ET CARTONS ONDULES, MEME PERFORES")</f>
        <v xml:space="preserve">    PAPIERS ET CARTONS ONDULES, MEME PERFORES</v>
      </c>
      <c r="C12800" s="4">
        <v>43427</v>
      </c>
      <c r="D12800" s="4">
        <v>54423280</v>
      </c>
    </row>
    <row r="12801" spans="1:4" x14ac:dyDescent="0.25">
      <c r="A12801" t="str">
        <f>T("   480890")</f>
        <v xml:space="preserve">   480890</v>
      </c>
      <c r="B12801" t="str">
        <f>T("    AUTRES")</f>
        <v xml:space="preserve">    AUTRES</v>
      </c>
      <c r="C12801" s="4">
        <v>16571</v>
      </c>
      <c r="D12801" s="4">
        <v>11229736</v>
      </c>
    </row>
    <row r="12802" spans="1:4" x14ac:dyDescent="0.25">
      <c r="A12802" t="str">
        <f>T("   480920")</f>
        <v xml:space="preserve">   480920</v>
      </c>
      <c r="B12802" t="str">
        <f>T("    PAPIERS DITS «AUTOCOPIANTS»")</f>
        <v xml:space="preserve">    PAPIERS DITS «AUTOCOPIANTS»</v>
      </c>
      <c r="C12802" s="4">
        <v>12743</v>
      </c>
      <c r="D12802" s="4">
        <v>11093859</v>
      </c>
    </row>
    <row r="12803" spans="1:4" x14ac:dyDescent="0.25">
      <c r="A12803" t="str">
        <f>T("   480990")</f>
        <v xml:space="preserve">   480990</v>
      </c>
      <c r="B12803" t="str">
        <f>T("    AUTRES")</f>
        <v xml:space="preserve">    AUTRES</v>
      </c>
      <c r="C12803" s="4">
        <v>571347.80000000005</v>
      </c>
      <c r="D12803" s="4">
        <v>251773885</v>
      </c>
    </row>
    <row r="12804" spans="1:4" x14ac:dyDescent="0.25">
      <c r="A12804" t="str">
        <f>T("   481013")</f>
        <v xml:space="preserve">   481013</v>
      </c>
      <c r="B12804" t="str">
        <f>T("   EN ROULEAUX")</f>
        <v xml:space="preserve">   EN ROULEAUX</v>
      </c>
      <c r="C12804" s="4">
        <v>5496</v>
      </c>
      <c r="D12804" s="4">
        <v>6661114</v>
      </c>
    </row>
    <row r="12805" spans="1:4" x14ac:dyDescent="0.25">
      <c r="A12805" t="str">
        <f>T("   481014")</f>
        <v xml:space="preserve">   481014</v>
      </c>
      <c r="B12805" t="str">
        <f>T("   EN FEUILLES DONT UN DES COTES N'EXCEDE PAS 435 MM ET DONT L'AUTRE COTE N'EXCEDE PAS")</f>
        <v xml:space="preserve">   EN FEUILLES DONT UN DES COTES N'EXCEDE PAS 435 MM ET DONT L'AUTRE COTE N'EXCEDE PAS</v>
      </c>
      <c r="C12805" s="4">
        <v>9841</v>
      </c>
      <c r="D12805" s="4">
        <v>4606535</v>
      </c>
    </row>
    <row r="12806" spans="1:4" x14ac:dyDescent="0.25">
      <c r="A12806" t="str">
        <f>T("   481019")</f>
        <v xml:space="preserve">   481019</v>
      </c>
      <c r="B12806" t="str">
        <f>T("   AUTRES")</f>
        <v xml:space="preserve">   AUTRES</v>
      </c>
      <c r="C12806" s="4">
        <v>405004</v>
      </c>
      <c r="D12806" s="4">
        <v>87838919</v>
      </c>
    </row>
    <row r="12807" spans="1:4" x14ac:dyDescent="0.25">
      <c r="A12807" t="str">
        <f>T("   481022")</f>
        <v xml:space="preserve">   481022</v>
      </c>
      <c r="B12807" t="str">
        <f>T("   PAPIER COUCHE LEGER, DIT «L.W.C »")</f>
        <v xml:space="preserve">   PAPIER COUCHE LEGER, DIT «L.W.C »</v>
      </c>
      <c r="C12807" s="4">
        <v>41892</v>
      </c>
      <c r="D12807" s="4">
        <v>18280293</v>
      </c>
    </row>
    <row r="12808" spans="1:4" x14ac:dyDescent="0.25">
      <c r="A12808" t="str">
        <f>T("   481029")</f>
        <v xml:space="preserve">   481029</v>
      </c>
      <c r="B12808" t="str">
        <f>T("   AUTRES")</f>
        <v xml:space="preserve">   AUTRES</v>
      </c>
      <c r="C12808" s="4">
        <v>100581</v>
      </c>
      <c r="D12808" s="4">
        <v>28797022</v>
      </c>
    </row>
    <row r="12809" spans="1:4" x14ac:dyDescent="0.25">
      <c r="A12809" t="str">
        <f>T("   481031")</f>
        <v xml:space="preserve">   481031</v>
      </c>
      <c r="B12809" t="str">
        <f>T("   BLANCHIS UNIFORMEMENT DANS LA MASSE ET DONT PLUS DE 95 % EN POIDS DE LA COMPOSITION")</f>
        <v xml:space="preserve">   BLANCHIS UNIFORMEMENT DANS LA MASSE ET DONT PLUS DE 95 % EN POIDS DE LA COMPOSITION</v>
      </c>
      <c r="C12809" s="4">
        <v>698</v>
      </c>
      <c r="D12809" s="4">
        <v>1483782</v>
      </c>
    </row>
    <row r="12810" spans="1:4" x14ac:dyDescent="0.25">
      <c r="A12810" t="str">
        <f>T("   481039")</f>
        <v xml:space="preserve">   481039</v>
      </c>
      <c r="B12810" t="str">
        <f>T("   AUTRES")</f>
        <v xml:space="preserve">   AUTRES</v>
      </c>
      <c r="C12810" s="4">
        <v>76866.8</v>
      </c>
      <c r="D12810" s="4">
        <v>23614168</v>
      </c>
    </row>
    <row r="12811" spans="1:4" x14ac:dyDescent="0.25">
      <c r="A12811" t="str">
        <f>T("   481099")</f>
        <v xml:space="preserve">   481099</v>
      </c>
      <c r="B12811" t="str">
        <f>T("   AUTRES")</f>
        <v xml:space="preserve">   AUTRES</v>
      </c>
      <c r="C12811" s="4">
        <v>168993</v>
      </c>
      <c r="D12811" s="4">
        <v>78063503</v>
      </c>
    </row>
    <row r="12812" spans="1:4" x14ac:dyDescent="0.25">
      <c r="A12812" t="str">
        <f>T("   481110")</f>
        <v xml:space="preserve">   481110</v>
      </c>
      <c r="B12812" t="str">
        <f>T("   PAPIERS ET CARTONS GOUDRONNES, BITUMES OU ASPHALTES")</f>
        <v xml:space="preserve">   PAPIERS ET CARTONS GOUDRONNES, BITUMES OU ASPHALTES</v>
      </c>
      <c r="C12812" s="4">
        <v>263829</v>
      </c>
      <c r="D12812" s="4">
        <v>110886374</v>
      </c>
    </row>
    <row r="12813" spans="1:4" x14ac:dyDescent="0.25">
      <c r="A12813" t="str">
        <f>T("   481129")</f>
        <v xml:space="preserve">   481129</v>
      </c>
      <c r="B12813" t="str">
        <f>T("   AUTRES PAPIERS ET CARTONS GOMMES OU ADHESIFS EN ROULEAUX OU FEUILLES")</f>
        <v xml:space="preserve">   AUTRES PAPIERS ET CARTONS GOMMES OU ADHESIFS EN ROULEAUX OU FEUILLES</v>
      </c>
      <c r="C12813" s="4">
        <v>390</v>
      </c>
      <c r="D12813" s="4">
        <v>246200</v>
      </c>
    </row>
    <row r="12814" spans="1:4" x14ac:dyDescent="0.25">
      <c r="A12814" t="str">
        <f>T("   481141")</f>
        <v xml:space="preserve">   481141</v>
      </c>
      <c r="B12814" t="str">
        <f>T("   AUTOADHESIFS")</f>
        <v xml:space="preserve">   AUTOADHESIFS</v>
      </c>
      <c r="C12814" s="4">
        <v>1102</v>
      </c>
      <c r="D12814" s="4">
        <v>461540</v>
      </c>
    </row>
    <row r="12815" spans="1:4" x14ac:dyDescent="0.25">
      <c r="A12815" t="str">
        <f>T("   481149")</f>
        <v xml:space="preserve">   481149</v>
      </c>
      <c r="B12815" t="str">
        <f>T("   AUTRES")</f>
        <v xml:space="preserve">   AUTRES</v>
      </c>
      <c r="C12815" s="4">
        <v>6752</v>
      </c>
      <c r="D12815" s="4">
        <v>7180638</v>
      </c>
    </row>
    <row r="12816" spans="1:4" x14ac:dyDescent="0.25">
      <c r="A12816" t="str">
        <f>T("   481151")</f>
        <v xml:space="preserve">   481151</v>
      </c>
      <c r="B12816" t="str">
        <f>T("   BLANCHIS, D'UN POIDS AU M² EXCEDANT 150 G")</f>
        <v xml:space="preserve">   BLANCHIS, D'UN POIDS AU M² EXCEDANT 150 G</v>
      </c>
      <c r="C12816" s="4">
        <v>6960</v>
      </c>
      <c r="D12816" s="4">
        <v>5476540</v>
      </c>
    </row>
    <row r="12817" spans="1:4" x14ac:dyDescent="0.25">
      <c r="A12817" t="str">
        <f>T("   481159")</f>
        <v xml:space="preserve">   481159</v>
      </c>
      <c r="B12817" t="str">
        <f>T("   AUTRES")</f>
        <v xml:space="preserve">   AUTRES</v>
      </c>
      <c r="C12817" s="4">
        <v>325</v>
      </c>
      <c r="D12817" s="4">
        <v>564328</v>
      </c>
    </row>
    <row r="12818" spans="1:4" x14ac:dyDescent="0.25">
      <c r="A12818" t="str">
        <f>T("   481190")</f>
        <v xml:space="preserve">   481190</v>
      </c>
      <c r="B12818" t="str">
        <f>T("   AUTRES PAPIERS, CARTONS, OUATE DE CELLULOSE ET NAPPES DE FIBRES DE CELLULOSE")</f>
        <v xml:space="preserve">   AUTRES PAPIERS, CARTONS, OUATE DE CELLULOSE ET NAPPES DE FIBRES DE CELLULOSE</v>
      </c>
      <c r="C12818" s="4">
        <v>1871</v>
      </c>
      <c r="D12818" s="4">
        <v>18989730</v>
      </c>
    </row>
    <row r="12819" spans="1:4" x14ac:dyDescent="0.25">
      <c r="A12819" t="str">
        <f>T("   481200")</f>
        <v xml:space="preserve">   481200</v>
      </c>
      <c r="B12819" t="str">
        <f>T("   BLOCS FILTRANTS ET PLAQUES FILTRANTES, EN PATE A PAPIER.")</f>
        <v xml:space="preserve">   BLOCS FILTRANTS ET PLAQUES FILTRANTES, EN PATE A PAPIER.</v>
      </c>
      <c r="C12819" s="4">
        <v>8978</v>
      </c>
      <c r="D12819" s="4">
        <v>24050787</v>
      </c>
    </row>
    <row r="12820" spans="1:4" x14ac:dyDescent="0.25">
      <c r="A12820" t="str">
        <f>T("   481620")</f>
        <v xml:space="preserve">   481620</v>
      </c>
      <c r="B12820" t="str">
        <f>T("   PAPIERS DITS «AUTOCOPIANTS»")</f>
        <v xml:space="preserve">   PAPIERS DITS «AUTOCOPIANTS»</v>
      </c>
      <c r="C12820" s="4">
        <v>26694</v>
      </c>
      <c r="D12820" s="4">
        <v>22449649</v>
      </c>
    </row>
    <row r="12821" spans="1:4" x14ac:dyDescent="0.25">
      <c r="A12821" t="str">
        <f>T("   481690")</f>
        <v xml:space="preserve">   481690</v>
      </c>
      <c r="B12821" t="str">
        <f>T("   AUTRES")</f>
        <v xml:space="preserve">   AUTRES</v>
      </c>
      <c r="C12821" s="4">
        <v>1770</v>
      </c>
      <c r="D12821" s="4">
        <v>4342197</v>
      </c>
    </row>
    <row r="12822" spans="1:4" x14ac:dyDescent="0.25">
      <c r="A12822" t="str">
        <f>T("   481710")</f>
        <v xml:space="preserve">   481710</v>
      </c>
      <c r="B12822" t="str">
        <f>T("   Enveloppes")</f>
        <v xml:space="preserve">   Enveloppes</v>
      </c>
      <c r="C12822" s="4">
        <v>285576.45</v>
      </c>
      <c r="D12822" s="4">
        <v>110715406</v>
      </c>
    </row>
    <row r="12823" spans="1:4" x14ac:dyDescent="0.25">
      <c r="A12823" t="str">
        <f>T("   481720")</f>
        <v xml:space="preserve">   481720</v>
      </c>
      <c r="B12823" t="str">
        <f>T("   CARTESLETTRES, CARTES POSTALES NON ILLUSTREES ET CARTES POUR CORRESPONDANCE")</f>
        <v xml:space="preserve">   CARTESLETTRES, CARTES POSTALES NON ILLUSTREES ET CARTES POUR CORRESPONDANCE</v>
      </c>
      <c r="C12823" s="4">
        <v>162</v>
      </c>
      <c r="D12823" s="4">
        <v>126000</v>
      </c>
    </row>
    <row r="12824" spans="1:4" x14ac:dyDescent="0.25">
      <c r="A12824" t="str">
        <f>T("   481730")</f>
        <v xml:space="preserve">   481730</v>
      </c>
      <c r="B12824" t="str">
        <f>T("   BOITES, POCHETTES ET PRESENTATIONS SIMILAIRES, EN PAPIER OU CARTON, RENFERMANT UN ASS")</f>
        <v xml:space="preserve">   BOITES, POCHETTES ET PRESENTATIONS SIMILAIRES, EN PAPIER OU CARTON, RENFERMANT UN ASS</v>
      </c>
      <c r="C12824" s="4">
        <v>10464</v>
      </c>
      <c r="D12824" s="4">
        <v>3767834</v>
      </c>
    </row>
    <row r="12825" spans="1:4" x14ac:dyDescent="0.25">
      <c r="A12825" t="str">
        <f>T("   481810")</f>
        <v xml:space="preserve">   481810</v>
      </c>
      <c r="B12825" t="str">
        <f>T("   Papier hygienique")</f>
        <v xml:space="preserve">   Papier hygienique</v>
      </c>
      <c r="C12825" s="4">
        <v>764716</v>
      </c>
      <c r="D12825" s="4">
        <v>324581042</v>
      </c>
    </row>
    <row r="12826" spans="1:4" x14ac:dyDescent="0.25">
      <c r="A12826" t="str">
        <f>T("   481820")</f>
        <v xml:space="preserve">   481820</v>
      </c>
      <c r="B12826" t="str">
        <f>T("   MOUCHOIRS, SERVIETTES A DEMAQUILLER ET ESSUIEMAINS")</f>
        <v xml:space="preserve">   MOUCHOIRS, SERVIETTES A DEMAQUILLER ET ESSUIEMAINS</v>
      </c>
      <c r="C12826" s="4">
        <v>316236</v>
      </c>
      <c r="D12826" s="4">
        <v>203835106</v>
      </c>
    </row>
    <row r="12827" spans="1:4" x14ac:dyDescent="0.25">
      <c r="A12827" t="str">
        <f>T("   481830")</f>
        <v xml:space="preserve">   481830</v>
      </c>
      <c r="B12827" t="str">
        <f>T("   NAPPES ET SERVIETTES DE TABLE")</f>
        <v xml:space="preserve">   NAPPES ET SERVIETTES DE TABLE</v>
      </c>
      <c r="C12827" s="4">
        <v>20789</v>
      </c>
      <c r="D12827" s="4">
        <v>11090984</v>
      </c>
    </row>
    <row r="12828" spans="1:4" x14ac:dyDescent="0.25">
      <c r="A12828" t="str">
        <f>T("   481840")</f>
        <v xml:space="preserve">   481840</v>
      </c>
      <c r="B12828" t="str">
        <f>T("   SERVIETTES,TAMPONS HYGIENIQUES,COUCHES POUR BEBES ET SIMILAIRES EN PAPIER")</f>
        <v xml:space="preserve">   SERVIETTES,TAMPONS HYGIENIQUES,COUCHES POUR BEBES ET SIMILAIRES EN PAPIER</v>
      </c>
      <c r="C12828" s="4">
        <v>2051114.84</v>
      </c>
      <c r="D12828" s="4">
        <v>1232242841</v>
      </c>
    </row>
    <row r="12829" spans="1:4" x14ac:dyDescent="0.25">
      <c r="A12829" t="str">
        <f>T("   481890")</f>
        <v xml:space="preserve">   481890</v>
      </c>
      <c r="B12829" t="str">
        <f>T("   AUTRES")</f>
        <v xml:space="preserve">   AUTRES</v>
      </c>
      <c r="C12829" s="4">
        <v>106227.29</v>
      </c>
      <c r="D12829" s="4">
        <v>119791499</v>
      </c>
    </row>
    <row r="12830" spans="1:4" x14ac:dyDescent="0.25">
      <c r="A12830" t="str">
        <f>T("   481910")</f>
        <v xml:space="preserve">   481910</v>
      </c>
      <c r="B12830" t="str">
        <f>T("   BOITES ET CAISSES EN PAPIER OU CARTON ONDULE")</f>
        <v xml:space="preserve">   BOITES ET CAISSES EN PAPIER OU CARTON ONDULE</v>
      </c>
      <c r="C12830" s="4">
        <v>911233.11</v>
      </c>
      <c r="D12830" s="4">
        <v>373554583</v>
      </c>
    </row>
    <row r="12831" spans="1:4" x14ac:dyDescent="0.25">
      <c r="A12831" t="str">
        <f>T("   481920")</f>
        <v xml:space="preserve">   481920</v>
      </c>
      <c r="B12831" t="str">
        <f>T("   BOITES ET CARTONNAGES, PLIANTS, EN PAPIER OU CARTON NON ONDULE")</f>
        <v xml:space="preserve">   BOITES ET CARTONNAGES, PLIANTS, EN PAPIER OU CARTON NON ONDULE</v>
      </c>
      <c r="C12831" s="4">
        <v>319030</v>
      </c>
      <c r="D12831" s="4">
        <v>125701637</v>
      </c>
    </row>
    <row r="12832" spans="1:4" x14ac:dyDescent="0.25">
      <c r="A12832" t="str">
        <f>T("   481930")</f>
        <v xml:space="preserve">   481930</v>
      </c>
      <c r="B12832" t="str">
        <f>T("   SACS D'UNE LARGEUR A LA BASE DE 40 CM OU PLUS")</f>
        <v xml:space="preserve">   SACS D'UNE LARGEUR A LA BASE DE 40 CM OU PLUS</v>
      </c>
      <c r="C12832" s="4">
        <v>2919370</v>
      </c>
      <c r="D12832" s="4">
        <v>2210003945</v>
      </c>
    </row>
    <row r="12833" spans="1:4" x14ac:dyDescent="0.25">
      <c r="A12833" t="str">
        <f>T("   481940")</f>
        <v xml:space="preserve">   481940</v>
      </c>
      <c r="B12833" t="str">
        <f>T("   AUTRES SACS; SACHETS, POCHETTES (AUTRES QUE CELLES POUR DISQUES) ET CORNETS")</f>
        <v xml:space="preserve">   AUTRES SACS; SACHETS, POCHETTES (AUTRES QUE CELLES POUR DISQUES) ET CORNETS</v>
      </c>
      <c r="C12833" s="4">
        <v>348255</v>
      </c>
      <c r="D12833" s="4">
        <v>247975756</v>
      </c>
    </row>
    <row r="12834" spans="1:4" x14ac:dyDescent="0.25">
      <c r="A12834" t="str">
        <f>T("   481950")</f>
        <v xml:space="preserve">   481950</v>
      </c>
      <c r="B12834" t="str">
        <f>T("   AUTRES EMBALLAGES, Y COMPRIS LES POCHETTES POUR DISQUES")</f>
        <v xml:space="preserve">   AUTRES EMBALLAGES, Y COMPRIS LES POCHETTES POUR DISQUES</v>
      </c>
      <c r="C12834" s="4">
        <v>25277</v>
      </c>
      <c r="D12834" s="4">
        <v>18773599</v>
      </c>
    </row>
    <row r="12835" spans="1:4" x14ac:dyDescent="0.25">
      <c r="A12835" t="str">
        <f>T("   481960")</f>
        <v xml:space="preserve">   481960</v>
      </c>
      <c r="B12835" t="str">
        <f>T("   CARTONNAGES DE BUREAU, DE MAGASIN OU SIMILAIRES")</f>
        <v xml:space="preserve">   CARTONNAGES DE BUREAU, DE MAGASIN OU SIMILAIRES</v>
      </c>
      <c r="C12835" s="4">
        <v>470707</v>
      </c>
      <c r="D12835" s="4">
        <v>264646995</v>
      </c>
    </row>
    <row r="12836" spans="1:4" x14ac:dyDescent="0.25">
      <c r="A12836" t="str">
        <f>T("   482010")</f>
        <v xml:space="preserve">   482010</v>
      </c>
      <c r="B12836" t="str">
        <f>T("   REGISTRES, LIVRES COMPTABLES, CARNETS (DE NOTES, DE COMMANDES, DE QUITTANCES), BLOCS")</f>
        <v xml:space="preserve">   REGISTRES, LIVRES COMPTABLES, CARNETS (DE NOTES, DE COMMANDES, DE QUITTANCES), BLOCS</v>
      </c>
      <c r="C12836" s="4">
        <v>215092.9</v>
      </c>
      <c r="D12836" s="4">
        <v>129690589</v>
      </c>
    </row>
    <row r="12837" spans="1:4" x14ac:dyDescent="0.25">
      <c r="A12837" t="str">
        <f>T("   482020")</f>
        <v xml:space="preserve">   482020</v>
      </c>
      <c r="B12837" t="str">
        <f>T("   Cahiers")</f>
        <v xml:space="preserve">   Cahiers</v>
      </c>
      <c r="C12837" s="4">
        <v>3011810</v>
      </c>
      <c r="D12837" s="4">
        <v>761930738</v>
      </c>
    </row>
    <row r="12838" spans="1:4" x14ac:dyDescent="0.25">
      <c r="A12838" t="str">
        <f>T("   482030")</f>
        <v xml:space="preserve">   482030</v>
      </c>
      <c r="B12838" t="str">
        <f>T("   CLASSEURS, RELIURES (AUTRES QUE LES COUVERTURES POUR LIVRES), CHEMISES ET COUVERTURES")</f>
        <v xml:space="preserve">   CLASSEURS, RELIURES (AUTRES QUE LES COUVERTURES POUR LIVRES), CHEMISES ET COUVERTURES</v>
      </c>
      <c r="C12838" s="4">
        <v>383005.4</v>
      </c>
      <c r="D12838" s="4">
        <v>167801436</v>
      </c>
    </row>
    <row r="12839" spans="1:4" x14ac:dyDescent="0.25">
      <c r="A12839" t="str">
        <f>T("   482040")</f>
        <v xml:space="preserve">   482040</v>
      </c>
      <c r="B12839" t="str">
        <f>T("   LIASSES ET CARNETS MANIFOLD, MEME COMPORTANT DES FEUILLES DE PAPIER CARBONE")</f>
        <v xml:space="preserve">   LIASSES ET CARNETS MANIFOLD, MEME COMPORTANT DES FEUILLES DE PAPIER CARBONE</v>
      </c>
      <c r="C12839" s="4">
        <v>20684</v>
      </c>
      <c r="D12839" s="4">
        <v>6721850</v>
      </c>
    </row>
    <row r="12840" spans="1:4" x14ac:dyDescent="0.25">
      <c r="A12840" t="str">
        <f>T("   482050")</f>
        <v xml:space="preserve">   482050</v>
      </c>
      <c r="B12840" t="str">
        <f>T("   Albums pour echantillonnages ou pour collections")</f>
        <v xml:space="preserve">   Albums pour echantillonnages ou pour collections</v>
      </c>
      <c r="C12840" s="4">
        <v>14159</v>
      </c>
      <c r="D12840" s="4">
        <v>6023229</v>
      </c>
    </row>
    <row r="12841" spans="1:4" x14ac:dyDescent="0.25">
      <c r="A12841" t="str">
        <f>T("   482090")</f>
        <v xml:space="preserve">   482090</v>
      </c>
      <c r="B12841" t="str">
        <f>T("   AUTRES")</f>
        <v xml:space="preserve">   AUTRES</v>
      </c>
      <c r="C12841" s="4">
        <v>312275</v>
      </c>
      <c r="D12841" s="4">
        <v>115032293</v>
      </c>
    </row>
    <row r="12842" spans="1:4" x14ac:dyDescent="0.25">
      <c r="A12842" t="str">
        <f>T("   482110")</f>
        <v xml:space="preserve">   482110</v>
      </c>
      <c r="B12842" t="str">
        <f>T("   IMPRIMEES")</f>
        <v xml:space="preserve">   IMPRIMEES</v>
      </c>
      <c r="C12842" s="4">
        <v>182179</v>
      </c>
      <c r="D12842" s="4">
        <v>663907452</v>
      </c>
    </row>
    <row r="12843" spans="1:4" x14ac:dyDescent="0.25">
      <c r="A12843" t="str">
        <f>T("   482190")</f>
        <v xml:space="preserve">   482190</v>
      </c>
      <c r="B12843" t="str">
        <f>T("   AUTRES")</f>
        <v xml:space="preserve">   AUTRES</v>
      </c>
      <c r="C12843" s="4">
        <v>37483.4</v>
      </c>
      <c r="D12843" s="4">
        <v>62873963</v>
      </c>
    </row>
    <row r="12844" spans="1:4" x14ac:dyDescent="0.25">
      <c r="A12844" t="str">
        <f>T("   482290")</f>
        <v xml:space="preserve">   482290</v>
      </c>
      <c r="B12844" t="str">
        <f>T("   AUTRES")</f>
        <v xml:space="preserve">   AUTRES</v>
      </c>
      <c r="C12844" s="4">
        <v>27918</v>
      </c>
      <c r="D12844" s="4">
        <v>11640475</v>
      </c>
    </row>
    <row r="12845" spans="1:4" x14ac:dyDescent="0.25">
      <c r="A12845" t="str">
        <f>T("   482311")</f>
        <v xml:space="preserve">   482311</v>
      </c>
      <c r="B12845" t="str">
        <f>T("   PAPIERS AUTO-ADHESIFS EN BANDES OU EN ROULEAUX")</f>
        <v xml:space="preserve">   PAPIERS AUTO-ADHESIFS EN BANDES OU EN ROULEAUX</v>
      </c>
      <c r="C12845" s="4">
        <v>15518</v>
      </c>
      <c r="D12845" s="4">
        <v>9259763</v>
      </c>
    </row>
    <row r="12846" spans="1:4" x14ac:dyDescent="0.25">
      <c r="A12846" t="str">
        <f>T("   482320")</f>
        <v xml:space="preserve">   482320</v>
      </c>
      <c r="B12846" t="str">
        <f>T("   PAPIER ET CARTONFILTRE")</f>
        <v xml:space="preserve">   PAPIER ET CARTONFILTRE</v>
      </c>
      <c r="C12846" s="4">
        <v>628.49</v>
      </c>
      <c r="D12846" s="4">
        <v>15863590</v>
      </c>
    </row>
    <row r="12847" spans="1:4" x14ac:dyDescent="0.25">
      <c r="A12847" t="str">
        <f>T("   482340")</f>
        <v xml:space="preserve">   482340</v>
      </c>
      <c r="B12847" t="str">
        <f>T("   PAPIERS A DIAGRAMMES POUR APPAREILS ENREGISTREURS, EN BOBINES, EN FEUILLES OU EN DISQ")</f>
        <v xml:space="preserve">   PAPIERS A DIAGRAMMES POUR APPAREILS ENREGISTREURS, EN BOBINES, EN FEUILLES OU EN DISQ</v>
      </c>
      <c r="C12847" s="4">
        <v>4497</v>
      </c>
      <c r="D12847" s="4">
        <v>14905330</v>
      </c>
    </row>
    <row r="12848" spans="1:4" x14ac:dyDescent="0.25">
      <c r="A12848" t="str">
        <f>T("   482369")</f>
        <v xml:space="preserve">   482369</v>
      </c>
      <c r="B12848" t="str">
        <f>T("   AUTRES")</f>
        <v xml:space="preserve">   AUTRES</v>
      </c>
      <c r="C12848" s="4">
        <v>106465.2</v>
      </c>
      <c r="D12848" s="4">
        <v>19845614</v>
      </c>
    </row>
    <row r="12849" spans="1:4" x14ac:dyDescent="0.25">
      <c r="A12849" t="str">
        <f>T("   482370")</f>
        <v xml:space="preserve">   482370</v>
      </c>
      <c r="B12849" t="str">
        <f>T("   ARTICLES MOULES OU PRESSES EN PATE A PAPIER")</f>
        <v xml:space="preserve">   ARTICLES MOULES OU PRESSES EN PATE A PAPIER</v>
      </c>
      <c r="C12849" s="4">
        <v>4086</v>
      </c>
      <c r="D12849" s="4">
        <v>2819388</v>
      </c>
    </row>
    <row r="12850" spans="1:4" x14ac:dyDescent="0.25">
      <c r="A12850" t="str">
        <f>T("   482390")</f>
        <v xml:space="preserve">   482390</v>
      </c>
      <c r="B12850" t="str">
        <f>T("   AUTRES")</f>
        <v xml:space="preserve">   AUTRES</v>
      </c>
      <c r="C12850" s="4">
        <v>43188</v>
      </c>
      <c r="D12850" s="4">
        <v>39159283</v>
      </c>
    </row>
    <row r="12851" spans="1:4" x14ac:dyDescent="0.25">
      <c r="A12851" t="str">
        <f>T("   490110")</f>
        <v xml:space="preserve">   490110</v>
      </c>
      <c r="B12851" t="str">
        <f>T("   EN FEUILLETS ISOLES, MEME PLIES")</f>
        <v xml:space="preserve">   EN FEUILLETS ISOLES, MEME PLIES</v>
      </c>
      <c r="C12851" s="4">
        <v>128618.7</v>
      </c>
      <c r="D12851" s="4">
        <v>114647596</v>
      </c>
    </row>
    <row r="12852" spans="1:4" x14ac:dyDescent="0.25">
      <c r="A12852" t="str">
        <f>T("   490191")</f>
        <v xml:space="preserve">   490191</v>
      </c>
      <c r="B12852" t="str">
        <f>T("   DICTIONNAIRES ET ENCYCLOPEDIES, MEME EN FASCICULES")</f>
        <v xml:space="preserve">   DICTIONNAIRES ET ENCYCLOPEDIES, MEME EN FASCICULES</v>
      </c>
      <c r="C12852" s="4">
        <v>11696</v>
      </c>
      <c r="D12852" s="4">
        <v>60241070</v>
      </c>
    </row>
    <row r="12853" spans="1:4" x14ac:dyDescent="0.25">
      <c r="A12853" t="str">
        <f>T("   490199")</f>
        <v xml:space="preserve">   490199</v>
      </c>
      <c r="B12853" t="str">
        <f>T("   AUTRES")</f>
        <v xml:space="preserve">   AUTRES</v>
      </c>
      <c r="C12853" s="4">
        <v>689713.93</v>
      </c>
      <c r="D12853" s="4">
        <v>1669130152</v>
      </c>
    </row>
    <row r="12854" spans="1:4" x14ac:dyDescent="0.25">
      <c r="A12854" t="str">
        <f>T("   490210")</f>
        <v xml:space="preserve">   490210</v>
      </c>
      <c r="B12854" t="str">
        <f>T("   PARAISSANT AU MOINS QUATRE FOIS PAR SEMAINE")</f>
        <v xml:space="preserve">   PARAISSANT AU MOINS QUATRE FOIS PAR SEMAINE</v>
      </c>
      <c r="C12854" s="4">
        <v>11329</v>
      </c>
      <c r="D12854" s="4">
        <v>22384423</v>
      </c>
    </row>
    <row r="12855" spans="1:4" x14ac:dyDescent="0.25">
      <c r="A12855" t="str">
        <f>T("   490290")</f>
        <v xml:space="preserve">   490290</v>
      </c>
      <c r="B12855" t="str">
        <f>T("   AUTRES")</f>
        <v xml:space="preserve">   AUTRES</v>
      </c>
      <c r="C12855" s="4">
        <v>6347.9</v>
      </c>
      <c r="D12855" s="4">
        <v>9400899</v>
      </c>
    </row>
    <row r="12856" spans="1:4" x14ac:dyDescent="0.25">
      <c r="A12856" t="str">
        <f>T("   490300")</f>
        <v xml:space="preserve">   490300</v>
      </c>
      <c r="B12856" t="str">
        <f>T("   ALBUMS OU LIVRES D'IMAGES ET ALBUMS A DESSINER OU A COLORIER, POUR ENFANTS.")</f>
        <v xml:space="preserve">   ALBUMS OU LIVRES D'IMAGES ET ALBUMS A DESSINER OU A COLORIER, POUR ENFANTS.</v>
      </c>
      <c r="C12856" s="4">
        <v>2383</v>
      </c>
      <c r="D12856" s="4">
        <v>709093</v>
      </c>
    </row>
    <row r="12857" spans="1:4" x14ac:dyDescent="0.25">
      <c r="A12857" t="str">
        <f>T("   490400")</f>
        <v xml:space="preserve">   490400</v>
      </c>
      <c r="B12857" t="str">
        <f>T("   MUSIQUE MANUSCRITE OU IMPRIMEE, ILLUSTREE OU NON, MEME RELIEE.")</f>
        <v xml:space="preserve">   MUSIQUE MANUSCRITE OU IMPRIMEE, ILLUSTREE OU NON, MEME RELIEE.</v>
      </c>
      <c r="C12857" s="4">
        <v>1583</v>
      </c>
      <c r="D12857" s="4">
        <v>2759966</v>
      </c>
    </row>
    <row r="12858" spans="1:4" x14ac:dyDescent="0.25">
      <c r="A12858" t="str">
        <f>T("   490510")</f>
        <v xml:space="preserve">   490510</v>
      </c>
      <c r="B12858" t="str">
        <f>T("   Globes")</f>
        <v xml:space="preserve">   Globes</v>
      </c>
      <c r="C12858" s="4">
        <v>500</v>
      </c>
      <c r="D12858" s="4">
        <v>400000</v>
      </c>
    </row>
    <row r="12859" spans="1:4" x14ac:dyDescent="0.25">
      <c r="A12859" t="str">
        <f>T("   490599")</f>
        <v xml:space="preserve">   490599</v>
      </c>
      <c r="B12859" t="str">
        <f>T("   AUTRES")</f>
        <v xml:space="preserve">   AUTRES</v>
      </c>
      <c r="C12859" s="4">
        <v>3111</v>
      </c>
      <c r="D12859" s="4">
        <v>14787204</v>
      </c>
    </row>
    <row r="12860" spans="1:4" x14ac:dyDescent="0.25">
      <c r="A12860" t="str">
        <f>T("   490600")</f>
        <v xml:space="preserve">   490600</v>
      </c>
      <c r="B12860" t="str">
        <f>T("   PLANS ET DESSINS D'ARCHITECTES, D'INGENIEURS ET AUTRES PLANS ET DESSINS INDUSTRIELS, CO")</f>
        <v xml:space="preserve">   PLANS ET DESSINS D'ARCHITECTES, D'INGENIEURS ET AUTRES PLANS ET DESSINS INDUSTRIELS, CO</v>
      </c>
      <c r="C12860" s="4">
        <v>383</v>
      </c>
      <c r="D12860" s="4">
        <v>1338257</v>
      </c>
    </row>
    <row r="12861" spans="1:4" x14ac:dyDescent="0.25">
      <c r="A12861" t="str">
        <f>T("   490700")</f>
        <v xml:space="preserve">   490700</v>
      </c>
      <c r="B12861" t="str">
        <f>T("   TIMBRESPOSTE, TIMBRES FISCAUX ET ANALOGUES, NON OBLITERES, AYANT COURS OU DESTINES A A")</f>
        <v xml:space="preserve">   TIMBRESPOSTE, TIMBRES FISCAUX ET ANALOGUES, NON OBLITERES, AYANT COURS OU DESTINES A A</v>
      </c>
      <c r="C12861" s="4">
        <v>5136.6000000000004</v>
      </c>
      <c r="D12861" s="4">
        <v>17917211</v>
      </c>
    </row>
    <row r="12862" spans="1:4" x14ac:dyDescent="0.25">
      <c r="A12862" t="str">
        <f>T("   490810")</f>
        <v xml:space="preserve">   490810</v>
      </c>
      <c r="B12862" t="str">
        <f>T("   DECALCOMANIES VITRIFIABLES")</f>
        <v xml:space="preserve">   DECALCOMANIES VITRIFIABLES</v>
      </c>
      <c r="C12862" s="4">
        <v>11</v>
      </c>
      <c r="D12862" s="4">
        <v>63629</v>
      </c>
    </row>
    <row r="12863" spans="1:4" x14ac:dyDescent="0.25">
      <c r="A12863" t="str">
        <f>T("   490890")</f>
        <v xml:space="preserve">   490890</v>
      </c>
      <c r="B12863" t="str">
        <f>T("   AUTRES")</f>
        <v xml:space="preserve">   AUTRES</v>
      </c>
      <c r="C12863" s="4">
        <v>35</v>
      </c>
      <c r="D12863" s="4">
        <v>96426</v>
      </c>
    </row>
    <row r="12864" spans="1:4" x14ac:dyDescent="0.25">
      <c r="A12864" t="str">
        <f>T("   490900")</f>
        <v xml:space="preserve">   490900</v>
      </c>
      <c r="B12864" t="str">
        <f>T("   CARTES POSTALES IMPRIMEES OU ILLUSTREES; CARTES IMPRIMEES COMPORTANT DES VœUX OU DES ME")</f>
        <v xml:space="preserve">   CARTES POSTALES IMPRIMEES OU ILLUSTREES; CARTES IMPRIMEES COMPORTANT DES VœUX OU DES ME</v>
      </c>
      <c r="C12864" s="4">
        <v>423.9</v>
      </c>
      <c r="D12864" s="4">
        <v>6303750</v>
      </c>
    </row>
    <row r="12865" spans="1:4" x14ac:dyDescent="0.25">
      <c r="A12865" t="str">
        <f>T("   491000")</f>
        <v xml:space="preserve">   491000</v>
      </c>
      <c r="B12865" t="str">
        <f>T("   CALENDRIERS DE TOUS GENRES, IMPRIMES, Y COMPRIS LES BLOCS DE CALENDRIERS A EFFEUILLER.")</f>
        <v xml:space="preserve">   CALENDRIERS DE TOUS GENRES, IMPRIMES, Y COMPRIS LES BLOCS DE CALENDRIERS A EFFEUILLER.</v>
      </c>
      <c r="C12865" s="4">
        <v>78723.25</v>
      </c>
      <c r="D12865" s="4">
        <v>105654473</v>
      </c>
    </row>
    <row r="12866" spans="1:4" x14ac:dyDescent="0.25">
      <c r="A12866" t="str">
        <f>T("   491110")</f>
        <v xml:space="preserve">   491110</v>
      </c>
      <c r="B12866" t="str">
        <f>T("   IMPRIMES PUBLICITAIRES, CATALOGUES COMMERCIAUX ET SIMILAIRES")</f>
        <v xml:space="preserve">   IMPRIMES PUBLICITAIRES, CATALOGUES COMMERCIAUX ET SIMILAIRES</v>
      </c>
      <c r="C12866" s="4">
        <v>92494.44</v>
      </c>
      <c r="D12866" s="4">
        <v>189955516</v>
      </c>
    </row>
    <row r="12867" spans="1:4" x14ac:dyDescent="0.25">
      <c r="A12867" t="str">
        <f>T("   491191")</f>
        <v xml:space="preserve">   491191</v>
      </c>
      <c r="B12867" t="str">
        <f>T("   IMAGES, GRAVURES ET PHOTOGRAPHIES")</f>
        <v xml:space="preserve">   IMAGES, GRAVURES ET PHOTOGRAPHIES</v>
      </c>
      <c r="C12867" s="4">
        <v>21225.51</v>
      </c>
      <c r="D12867" s="4">
        <v>14094908</v>
      </c>
    </row>
    <row r="12868" spans="1:4" x14ac:dyDescent="0.25">
      <c r="A12868" t="str">
        <f>T("   491199")</f>
        <v xml:space="preserve">   491199</v>
      </c>
      <c r="B12868" t="str">
        <f>T("   AUTRES")</f>
        <v xml:space="preserve">   AUTRES</v>
      </c>
      <c r="C12868" s="4">
        <v>70289</v>
      </c>
      <c r="D12868" s="4">
        <v>243136246</v>
      </c>
    </row>
    <row r="12869" spans="1:4" x14ac:dyDescent="0.25">
      <c r="A12869" t="str">
        <f>T("   510910")</f>
        <v xml:space="preserve">   510910</v>
      </c>
      <c r="B12869" t="str">
        <f>T("   CONTENANT AU MOINS 85 % EN POIDS DE LAINE OU DE POILS FINS")</f>
        <v xml:space="preserve">   CONTENANT AU MOINS 85 % EN POIDS DE LAINE OU DE POILS FINS</v>
      </c>
      <c r="C12869" s="4">
        <v>20</v>
      </c>
      <c r="D12869" s="4">
        <v>54300</v>
      </c>
    </row>
    <row r="12870" spans="1:4" x14ac:dyDescent="0.25">
      <c r="A12870" t="str">
        <f>T("   511119")</f>
        <v xml:space="preserve">   511119</v>
      </c>
      <c r="B12870" t="str">
        <f>T("   AUTRES")</f>
        <v xml:space="preserve">   AUTRES</v>
      </c>
      <c r="C12870" s="4">
        <v>30376</v>
      </c>
      <c r="D12870" s="4">
        <v>22159141</v>
      </c>
    </row>
    <row r="12871" spans="1:4" x14ac:dyDescent="0.25">
      <c r="A12871" t="str">
        <f>T("   511190")</f>
        <v xml:space="preserve">   511190</v>
      </c>
      <c r="B12871" t="str">
        <f>T("   AUTRES")</f>
        <v xml:space="preserve">   AUTRES</v>
      </c>
      <c r="C12871" s="4">
        <v>4523</v>
      </c>
      <c r="D12871" s="4">
        <v>1887463</v>
      </c>
    </row>
    <row r="12872" spans="1:4" x14ac:dyDescent="0.25">
      <c r="A12872" t="str">
        <f>T("   511211")</f>
        <v xml:space="preserve">   511211</v>
      </c>
      <c r="B12872" t="str">
        <f>T("   D'UN POIDS N'EXCEDANT PAS 200 G/M²")</f>
        <v xml:space="preserve">   D'UN POIDS N'EXCEDANT PAS 200 G/M²</v>
      </c>
      <c r="C12872" s="4">
        <v>9700</v>
      </c>
      <c r="D12872" s="4">
        <v>2684599</v>
      </c>
    </row>
    <row r="12873" spans="1:4" x14ac:dyDescent="0.25">
      <c r="A12873" t="str">
        <f>T("   511219")</f>
        <v xml:space="preserve">   511219</v>
      </c>
      <c r="B12873" t="str">
        <f>T("   AUTRES")</f>
        <v xml:space="preserve">   AUTRES</v>
      </c>
      <c r="C12873" s="4">
        <v>3000</v>
      </c>
      <c r="D12873" s="4">
        <v>1400000</v>
      </c>
    </row>
    <row r="12874" spans="1:4" x14ac:dyDescent="0.25">
      <c r="A12874" t="str">
        <f>T("   511220")</f>
        <v xml:space="preserve">   511220</v>
      </c>
      <c r="B12874" t="str">
        <f>T("   AUTRES, MELANGES PRINCIPALEMENT OU UNIQUEMENT AVEC DES FILAMENTS SYNTHETIQUES OU ARTI")</f>
        <v xml:space="preserve">   AUTRES, MELANGES PRINCIPALEMENT OU UNIQUEMENT AVEC DES FILAMENTS SYNTHETIQUES OU ARTI</v>
      </c>
      <c r="C12874" s="4">
        <v>2003.7</v>
      </c>
      <c r="D12874" s="4">
        <v>563412</v>
      </c>
    </row>
    <row r="12875" spans="1:4" x14ac:dyDescent="0.25">
      <c r="A12875" t="str">
        <f>T("   511230")</f>
        <v xml:space="preserve">   511230</v>
      </c>
      <c r="B12875" t="str">
        <f>T("   AUTRES, MELANGES PRINCIPALEMENT OU UNIQUEMENT AVEC DES FIBRES SYNTHETIQUES OU ARTIFIC")</f>
        <v xml:space="preserve">   AUTRES, MELANGES PRINCIPALEMENT OU UNIQUEMENT AVEC DES FIBRES SYNTHETIQUES OU ARTIFIC</v>
      </c>
      <c r="C12875" s="4">
        <v>31720</v>
      </c>
      <c r="D12875" s="4">
        <v>8250807</v>
      </c>
    </row>
    <row r="12876" spans="1:4" x14ac:dyDescent="0.25">
      <c r="A12876" t="str">
        <f>T("   511290")</f>
        <v xml:space="preserve">   511290</v>
      </c>
      <c r="B12876" t="str">
        <f>T("   AUTRES")</f>
        <v xml:space="preserve">   AUTRES</v>
      </c>
      <c r="C12876" s="4">
        <v>6403</v>
      </c>
      <c r="D12876" s="4">
        <v>7635060</v>
      </c>
    </row>
    <row r="12877" spans="1:4" x14ac:dyDescent="0.25">
      <c r="A12877" t="str">
        <f>T("   520100")</f>
        <v xml:space="preserve">   520100</v>
      </c>
      <c r="B12877" t="str">
        <f>T("   COTON, NON CARDE NI PEIGNE.")</f>
        <v xml:space="preserve">   COTON, NON CARDE NI PEIGNE.</v>
      </c>
      <c r="C12877" s="4">
        <v>4200</v>
      </c>
      <c r="D12877" s="4">
        <v>1035000</v>
      </c>
    </row>
    <row r="12878" spans="1:4" x14ac:dyDescent="0.25">
      <c r="A12878" t="str">
        <f>T("   520210")</f>
        <v xml:space="preserve">   520210</v>
      </c>
      <c r="B12878" t="str">
        <f>T("   DECHETS DE FILS")</f>
        <v xml:space="preserve">   DECHETS DE FILS</v>
      </c>
      <c r="C12878" s="4">
        <v>8400</v>
      </c>
      <c r="D12878" s="4">
        <v>1291068</v>
      </c>
    </row>
    <row r="12879" spans="1:4" x14ac:dyDescent="0.25">
      <c r="A12879" t="str">
        <f>T("   520299")</f>
        <v xml:space="preserve">   520299</v>
      </c>
      <c r="B12879" t="str">
        <f>T("   AUTRES")</f>
        <v xml:space="preserve">   AUTRES</v>
      </c>
      <c r="C12879" s="4">
        <v>16997</v>
      </c>
      <c r="D12879" s="4">
        <v>5318502</v>
      </c>
    </row>
    <row r="12880" spans="1:4" x14ac:dyDescent="0.25">
      <c r="A12880" t="str">
        <f>T("   520300")</f>
        <v xml:space="preserve">   520300</v>
      </c>
      <c r="B12880" t="str">
        <f>T("   COTON, CARDE OU PEIGNE.")</f>
        <v xml:space="preserve">   COTON, CARDE OU PEIGNE.</v>
      </c>
      <c r="C12880" s="4">
        <v>22572</v>
      </c>
      <c r="D12880" s="4">
        <v>12848923</v>
      </c>
    </row>
    <row r="12881" spans="1:4" x14ac:dyDescent="0.25">
      <c r="A12881" t="str">
        <f>T("   520419")</f>
        <v xml:space="preserve">   520419</v>
      </c>
      <c r="B12881" t="str">
        <f>T("   AUTRES")</f>
        <v xml:space="preserve">   AUTRES</v>
      </c>
      <c r="C12881" s="4">
        <v>109611</v>
      </c>
      <c r="D12881" s="4">
        <v>46450209</v>
      </c>
    </row>
    <row r="12882" spans="1:4" x14ac:dyDescent="0.25">
      <c r="A12882" t="str">
        <f>T("   520420")</f>
        <v xml:space="preserve">   520420</v>
      </c>
      <c r="B12882" t="str">
        <f>T("   CONDITIONNES POUR LA VENTE AU DETAIL")</f>
        <v xml:space="preserve">   CONDITIONNES POUR LA VENTE AU DETAIL</v>
      </c>
      <c r="C12882" s="4">
        <v>175867</v>
      </c>
      <c r="D12882" s="4">
        <v>87657219</v>
      </c>
    </row>
    <row r="12883" spans="1:4" x14ac:dyDescent="0.25">
      <c r="A12883" t="str">
        <f>T("   520710")</f>
        <v xml:space="preserve">   520710</v>
      </c>
      <c r="B12883" t="str">
        <f>T("   CONTENANT AU MOINS 85 % EN POIDS DE COTON")</f>
        <v xml:space="preserve">   CONTENANT AU MOINS 85 % EN POIDS DE COTON</v>
      </c>
      <c r="C12883" s="4">
        <v>799</v>
      </c>
      <c r="D12883" s="4">
        <v>756265</v>
      </c>
    </row>
    <row r="12884" spans="1:4" x14ac:dyDescent="0.25">
      <c r="A12884" t="str">
        <f>T("   520790")</f>
        <v xml:space="preserve">   520790</v>
      </c>
      <c r="B12884" t="str">
        <f>T("   AUTRES")</f>
        <v xml:space="preserve">   AUTRES</v>
      </c>
      <c r="C12884" s="4">
        <v>22850</v>
      </c>
      <c r="D12884" s="4">
        <v>5518000</v>
      </c>
    </row>
    <row r="12885" spans="1:4" x14ac:dyDescent="0.25">
      <c r="A12885" t="str">
        <f>T("   520819")</f>
        <v xml:space="preserve">   520819</v>
      </c>
      <c r="B12885" t="str">
        <f>T("   AUTRES TISSUS")</f>
        <v xml:space="preserve">   AUTRES TISSUS</v>
      </c>
      <c r="C12885" s="4">
        <v>41638</v>
      </c>
      <c r="D12885" s="4">
        <v>30575000</v>
      </c>
    </row>
    <row r="12886" spans="1:4" x14ac:dyDescent="0.25">
      <c r="A12886" t="str">
        <f>T("   520829")</f>
        <v xml:space="preserve">   520829</v>
      </c>
      <c r="B12886" t="str">
        <f>T("   AUTRES TISSUS")</f>
        <v xml:space="preserve">   AUTRES TISSUS</v>
      </c>
      <c r="C12886" s="4">
        <v>2394724</v>
      </c>
      <c r="D12886" s="4">
        <v>1067274838</v>
      </c>
    </row>
    <row r="12887" spans="1:4" x14ac:dyDescent="0.25">
      <c r="A12887" t="str">
        <f>T("   520839")</f>
        <v xml:space="preserve">   520839</v>
      </c>
      <c r="B12887" t="str">
        <f>T("   AUTRES TISSUS")</f>
        <v xml:space="preserve">   AUTRES TISSUS</v>
      </c>
      <c r="C12887" s="4">
        <v>521619.20000000001</v>
      </c>
      <c r="D12887" s="4">
        <v>226392126</v>
      </c>
    </row>
    <row r="12888" spans="1:4" x14ac:dyDescent="0.25">
      <c r="A12888" t="str">
        <f>T("   520849")</f>
        <v xml:space="preserve">   520849</v>
      </c>
      <c r="B12888" t="str">
        <f>T("   AUTRES TISSUS")</f>
        <v xml:space="preserve">   AUTRES TISSUS</v>
      </c>
      <c r="C12888" s="4">
        <v>2762426</v>
      </c>
      <c r="D12888" s="4">
        <v>1425623912</v>
      </c>
    </row>
    <row r="12889" spans="1:4" x14ac:dyDescent="0.25">
      <c r="A12889" t="str">
        <f>T("   520851")</f>
        <v xml:space="preserve">   520851</v>
      </c>
      <c r="B12889" t="str">
        <f>T("   A ARMURE TOILE, D'UN POIDS N'EXCEDANT PAS 100 G/M²")</f>
        <v xml:space="preserve">   A ARMURE TOILE, D'UN POIDS N'EXCEDANT PAS 100 G/M²</v>
      </c>
      <c r="C12889" s="4">
        <v>999547</v>
      </c>
      <c r="D12889" s="4">
        <v>606892683</v>
      </c>
    </row>
    <row r="12890" spans="1:4" x14ac:dyDescent="0.25">
      <c r="A12890" t="str">
        <f>T("   520852")</f>
        <v xml:space="preserve">   520852</v>
      </c>
      <c r="B12890" t="str">
        <f>T("   A ARMURE TOILE, D'UN POIDS EXCEDANT 100 G/M²")</f>
        <v xml:space="preserve">   A ARMURE TOILE, D'UN POIDS EXCEDANT 100 G/M²</v>
      </c>
      <c r="C12890" s="4">
        <v>7101337.7000000002</v>
      </c>
      <c r="D12890" s="4">
        <v>19871666328</v>
      </c>
    </row>
    <row r="12891" spans="1:4" x14ac:dyDescent="0.25">
      <c r="A12891" t="str">
        <f>T("   520859")</f>
        <v xml:space="preserve">   520859</v>
      </c>
      <c r="B12891" t="str">
        <f>T("   AUTRES TISSUS")</f>
        <v xml:space="preserve">   AUTRES TISSUS</v>
      </c>
      <c r="C12891" s="4">
        <v>3670408</v>
      </c>
      <c r="D12891" s="4">
        <v>2394210891</v>
      </c>
    </row>
    <row r="12892" spans="1:4" x14ac:dyDescent="0.25">
      <c r="A12892" t="str">
        <f>T("   520911")</f>
        <v xml:space="preserve">   520911</v>
      </c>
      <c r="B12892" t="str">
        <f>T("   A ARMURE TOILE")</f>
        <v xml:space="preserve">   A ARMURE TOILE</v>
      </c>
      <c r="C12892" s="4">
        <v>142</v>
      </c>
      <c r="D12892" s="4">
        <v>318000</v>
      </c>
    </row>
    <row r="12893" spans="1:4" x14ac:dyDescent="0.25">
      <c r="A12893" t="str">
        <f>T("   520929")</f>
        <v xml:space="preserve">   520929</v>
      </c>
      <c r="B12893" t="str">
        <f>T("   AUTRES TISSUS")</f>
        <v xml:space="preserve">   AUTRES TISSUS</v>
      </c>
      <c r="C12893" s="4">
        <v>762573</v>
      </c>
      <c r="D12893" s="4">
        <v>276727579</v>
      </c>
    </row>
    <row r="12894" spans="1:4" x14ac:dyDescent="0.25">
      <c r="A12894" t="str">
        <f>T("   520939")</f>
        <v xml:space="preserve">   520939</v>
      </c>
      <c r="B12894" t="str">
        <f>T("   AUTRES TISSUS")</f>
        <v xml:space="preserve">   AUTRES TISSUS</v>
      </c>
      <c r="C12894" s="4">
        <v>30384</v>
      </c>
      <c r="D12894" s="4">
        <v>7042000</v>
      </c>
    </row>
    <row r="12895" spans="1:4" x14ac:dyDescent="0.25">
      <c r="A12895" t="str">
        <f>T("   520951")</f>
        <v xml:space="preserve">   520951</v>
      </c>
      <c r="B12895" t="str">
        <f>T("   A ARMURE TOILE")</f>
        <v xml:space="preserve">   A ARMURE TOILE</v>
      </c>
      <c r="C12895" s="4">
        <v>779208.5</v>
      </c>
      <c r="D12895" s="4">
        <v>573779903</v>
      </c>
    </row>
    <row r="12896" spans="1:4" x14ac:dyDescent="0.25">
      <c r="A12896" t="str">
        <f>T("   520959")</f>
        <v xml:space="preserve">   520959</v>
      </c>
      <c r="B12896" t="str">
        <f>T("   AUTRES TISSUS")</f>
        <v xml:space="preserve">   AUTRES TISSUS</v>
      </c>
      <c r="C12896" s="4">
        <v>1397015</v>
      </c>
      <c r="D12896" s="4">
        <v>974752787</v>
      </c>
    </row>
    <row r="12897" spans="1:4" x14ac:dyDescent="0.25">
      <c r="A12897" t="str">
        <f>T("   521031")</f>
        <v xml:space="preserve">   521031</v>
      </c>
      <c r="B12897" t="str">
        <f>T("   A ARMURE TOILE")</f>
        <v xml:space="preserve">   A ARMURE TOILE</v>
      </c>
      <c r="C12897" s="4">
        <v>5618</v>
      </c>
      <c r="D12897" s="4">
        <v>9448356</v>
      </c>
    </row>
    <row r="12898" spans="1:4" x14ac:dyDescent="0.25">
      <c r="A12898" t="str">
        <f>T("   521049")</f>
        <v xml:space="preserve">   521049</v>
      </c>
      <c r="B12898" t="str">
        <f>T("   AUTRES TISSUS")</f>
        <v xml:space="preserve">   AUTRES TISSUS</v>
      </c>
      <c r="C12898" s="4">
        <v>700</v>
      </c>
      <c r="D12898" s="4">
        <v>400000</v>
      </c>
    </row>
    <row r="12899" spans="1:4" x14ac:dyDescent="0.25">
      <c r="A12899" t="str">
        <f>T("   521051")</f>
        <v xml:space="preserve">   521051</v>
      </c>
      <c r="B12899" t="str">
        <f>T("   A ARMURE TOILE")</f>
        <v xml:space="preserve">   A ARMURE TOILE</v>
      </c>
      <c r="C12899" s="4">
        <v>17950</v>
      </c>
      <c r="D12899" s="4">
        <v>17494307</v>
      </c>
    </row>
    <row r="12900" spans="1:4" x14ac:dyDescent="0.25">
      <c r="A12900" t="str">
        <f>T("   521059")</f>
        <v xml:space="preserve">   521059</v>
      </c>
      <c r="B12900" t="str">
        <f>T("   AUTRES TISSUS")</f>
        <v xml:space="preserve">   AUTRES TISSUS</v>
      </c>
      <c r="C12900" s="4">
        <v>908</v>
      </c>
      <c r="D12900" s="4">
        <v>468576</v>
      </c>
    </row>
    <row r="12901" spans="1:4" x14ac:dyDescent="0.25">
      <c r="A12901" t="str">
        <f>T("   521141")</f>
        <v xml:space="preserve">   521141</v>
      </c>
      <c r="B12901" t="str">
        <f>T("   A ARMURE TOILE")</f>
        <v xml:space="preserve">   A ARMURE TOILE</v>
      </c>
      <c r="C12901" s="4">
        <v>275</v>
      </c>
      <c r="D12901" s="4">
        <v>319300</v>
      </c>
    </row>
    <row r="12902" spans="1:4" x14ac:dyDescent="0.25">
      <c r="A12902" t="str">
        <f>T("   521159")</f>
        <v xml:space="preserve">   521159</v>
      </c>
      <c r="B12902" t="str">
        <f>T("   AUTRES TISSUS")</f>
        <v xml:space="preserve">   AUTRES TISSUS</v>
      </c>
      <c r="C12902" s="4">
        <v>698235</v>
      </c>
      <c r="D12902" s="4">
        <v>400887678</v>
      </c>
    </row>
    <row r="12903" spans="1:4" x14ac:dyDescent="0.25">
      <c r="A12903" t="str">
        <f>T("   521211")</f>
        <v xml:space="preserve">   521211</v>
      </c>
      <c r="B12903" t="str">
        <f>T("   ECRUS")</f>
        <v xml:space="preserve">   ECRUS</v>
      </c>
      <c r="C12903" s="4">
        <v>450</v>
      </c>
      <c r="D12903" s="4">
        <v>295204</v>
      </c>
    </row>
    <row r="12904" spans="1:4" x14ac:dyDescent="0.25">
      <c r="A12904" t="str">
        <f>T("   521212")</f>
        <v xml:space="preserve">   521212</v>
      </c>
      <c r="B12904" t="str">
        <f>T("   BLANCHIS")</f>
        <v xml:space="preserve">   BLANCHIS</v>
      </c>
      <c r="C12904" s="4">
        <v>135</v>
      </c>
      <c r="D12904" s="4">
        <v>424031</v>
      </c>
    </row>
    <row r="12905" spans="1:4" x14ac:dyDescent="0.25">
      <c r="A12905" t="str">
        <f>T("   521214")</f>
        <v xml:space="preserve">   521214</v>
      </c>
      <c r="B12905" t="str">
        <f>T("   EN FILS DE DIVERSES COULEURS")</f>
        <v xml:space="preserve">   EN FILS DE DIVERSES COULEURS</v>
      </c>
      <c r="C12905" s="4">
        <v>23170</v>
      </c>
      <c r="D12905" s="4">
        <v>17776684</v>
      </c>
    </row>
    <row r="12906" spans="1:4" x14ac:dyDescent="0.25">
      <c r="A12906" t="str">
        <f>T("   521215")</f>
        <v xml:space="preserve">   521215</v>
      </c>
      <c r="B12906" t="str">
        <f>T("   IMPRIMES")</f>
        <v xml:space="preserve">   IMPRIMES</v>
      </c>
      <c r="C12906" s="4">
        <v>113008</v>
      </c>
      <c r="D12906" s="4">
        <v>65548923</v>
      </c>
    </row>
    <row r="12907" spans="1:4" x14ac:dyDescent="0.25">
      <c r="A12907" t="str">
        <f>T("   521223")</f>
        <v xml:space="preserve">   521223</v>
      </c>
      <c r="B12907" t="str">
        <f>T("   TEINTS")</f>
        <v xml:space="preserve">   TEINTS</v>
      </c>
      <c r="C12907" s="4">
        <v>2055</v>
      </c>
      <c r="D12907" s="4">
        <v>2001093</v>
      </c>
    </row>
    <row r="12908" spans="1:4" x14ac:dyDescent="0.25">
      <c r="A12908" t="str">
        <f>T("   521225")</f>
        <v xml:space="preserve">   521225</v>
      </c>
      <c r="B12908" t="str">
        <f>T("   IMPRIMES")</f>
        <v xml:space="preserve">   IMPRIMES</v>
      </c>
      <c r="C12908" s="4">
        <v>288016</v>
      </c>
      <c r="D12908" s="4">
        <v>194639353</v>
      </c>
    </row>
    <row r="12909" spans="1:4" x14ac:dyDescent="0.25">
      <c r="A12909" t="str">
        <f>T("   530310")</f>
        <v xml:space="preserve">   530310</v>
      </c>
      <c r="B12909" t="str">
        <f>T("   JUTE ET AUTRES FIBRES TEXTILES LIBERIENNES, BRUTS OU ROUIS")</f>
        <v xml:space="preserve">   JUTE ET AUTRES FIBRES TEXTILES LIBERIENNES, BRUTS OU ROUIS</v>
      </c>
      <c r="C12909" s="4">
        <v>61500</v>
      </c>
      <c r="D12909" s="4">
        <v>47983242</v>
      </c>
    </row>
    <row r="12910" spans="1:4" x14ac:dyDescent="0.25">
      <c r="A12910" t="str">
        <f>T("   530390")</f>
        <v xml:space="preserve">   530390</v>
      </c>
      <c r="B12910" t="str">
        <f>T("   AUTRES")</f>
        <v xml:space="preserve">   AUTRES</v>
      </c>
      <c r="C12910" s="4">
        <v>650</v>
      </c>
      <c r="D12910" s="4">
        <v>268864</v>
      </c>
    </row>
    <row r="12911" spans="1:4" x14ac:dyDescent="0.25">
      <c r="A12911" t="str">
        <f>T("   530720")</f>
        <v xml:space="preserve">   530720</v>
      </c>
      <c r="B12911" t="str">
        <f>T("   RETORS OU CABLES")</f>
        <v xml:space="preserve">   RETORS OU CABLES</v>
      </c>
      <c r="C12911" s="4">
        <v>2250</v>
      </c>
      <c r="D12911" s="4">
        <v>1187746</v>
      </c>
    </row>
    <row r="12912" spans="1:4" x14ac:dyDescent="0.25">
      <c r="A12912" t="str">
        <f>T("   530919")</f>
        <v xml:space="preserve">   530919</v>
      </c>
      <c r="B12912" t="str">
        <f>T("   AUTRES")</f>
        <v xml:space="preserve">   AUTRES</v>
      </c>
      <c r="C12912" s="4">
        <v>17820</v>
      </c>
      <c r="D12912" s="4">
        <v>5532495</v>
      </c>
    </row>
    <row r="12913" spans="1:4" x14ac:dyDescent="0.25">
      <c r="A12913" t="str">
        <f>T("   530929")</f>
        <v xml:space="preserve">   530929</v>
      </c>
      <c r="B12913" t="str">
        <f>T("   AUTRES")</f>
        <v xml:space="preserve">   AUTRES</v>
      </c>
      <c r="C12913" s="4">
        <v>33518</v>
      </c>
      <c r="D12913" s="4">
        <v>14198187</v>
      </c>
    </row>
    <row r="12914" spans="1:4" x14ac:dyDescent="0.25">
      <c r="A12914" t="str">
        <f>T("   531010")</f>
        <v xml:space="preserve">   531010</v>
      </c>
      <c r="B12914" t="str">
        <f>T("   ECRUS")</f>
        <v xml:space="preserve">   ECRUS</v>
      </c>
      <c r="C12914" s="4">
        <v>1500</v>
      </c>
      <c r="D12914" s="4">
        <v>1953630</v>
      </c>
    </row>
    <row r="12915" spans="1:4" x14ac:dyDescent="0.25">
      <c r="A12915" t="str">
        <f>T("   531090")</f>
        <v xml:space="preserve">   531090</v>
      </c>
      <c r="B12915" t="str">
        <f>T("   AUTRES")</f>
        <v xml:space="preserve">   AUTRES</v>
      </c>
      <c r="C12915" s="4">
        <v>3271</v>
      </c>
      <c r="D12915" s="4">
        <v>16201633</v>
      </c>
    </row>
    <row r="12916" spans="1:4" x14ac:dyDescent="0.25">
      <c r="A12916" t="str">
        <f>T("   531100")</f>
        <v xml:space="preserve">   531100</v>
      </c>
      <c r="B12916" t="str">
        <f>T("   TISSUS D'AUTRES FIBRES TEXTILES VEGETALES; TISSUS DE FILS DE PAPIER.")</f>
        <v xml:space="preserve">   TISSUS D'AUTRES FIBRES TEXTILES VEGETALES; TISSUS DE FILS DE PAPIER.</v>
      </c>
      <c r="C12916" s="4">
        <v>1040</v>
      </c>
      <c r="D12916" s="4">
        <v>752214</v>
      </c>
    </row>
    <row r="12917" spans="1:4" x14ac:dyDescent="0.25">
      <c r="A12917" t="str">
        <f>T("   540110")</f>
        <v xml:space="preserve">   540110</v>
      </c>
      <c r="B12917" t="str">
        <f>T("   DE FILAMENTS SYNTHETIQUES")</f>
        <v xml:space="preserve">   DE FILAMENTS SYNTHETIQUES</v>
      </c>
      <c r="C12917" s="4">
        <v>34290</v>
      </c>
      <c r="D12917" s="4">
        <v>17697178</v>
      </c>
    </row>
    <row r="12918" spans="1:4" x14ac:dyDescent="0.25">
      <c r="A12918" t="str">
        <f>T("   540120")</f>
        <v xml:space="preserve">   540120</v>
      </c>
      <c r="B12918" t="str">
        <f>T("   DE FILAMENTS ARTIFICIELS")</f>
        <v xml:space="preserve">   DE FILAMENTS ARTIFICIELS</v>
      </c>
      <c r="C12918" s="4">
        <v>607244</v>
      </c>
      <c r="D12918" s="4">
        <v>329169676</v>
      </c>
    </row>
    <row r="12919" spans="1:4" x14ac:dyDescent="0.25">
      <c r="A12919" t="str">
        <f>T("   540234")</f>
        <v xml:space="preserve">   540234</v>
      </c>
      <c r="B12919" t="str">
        <f>T("   DE POLYPROPYLENE")</f>
        <v xml:space="preserve">   DE POLYPROPYLENE</v>
      </c>
      <c r="C12919" s="4">
        <v>850</v>
      </c>
      <c r="D12919" s="4">
        <v>4390340</v>
      </c>
    </row>
    <row r="12920" spans="1:4" x14ac:dyDescent="0.25">
      <c r="A12920" t="str">
        <f>T("   540239")</f>
        <v xml:space="preserve">   540239</v>
      </c>
      <c r="B12920" t="str">
        <f>T("   AUTRES")</f>
        <v xml:space="preserve">   AUTRES</v>
      </c>
      <c r="C12920" s="4">
        <v>1000</v>
      </c>
      <c r="D12920" s="4">
        <v>700000</v>
      </c>
    </row>
    <row r="12921" spans="1:4" x14ac:dyDescent="0.25">
      <c r="A12921" t="str">
        <f>T("   540269")</f>
        <v xml:space="preserve">   540269</v>
      </c>
      <c r="B12921" t="str">
        <f>T("   AUTRES")</f>
        <v xml:space="preserve">   AUTRES</v>
      </c>
      <c r="C12921" s="4">
        <v>693</v>
      </c>
      <c r="D12921" s="4">
        <v>551171</v>
      </c>
    </row>
    <row r="12922" spans="1:4" x14ac:dyDescent="0.25">
      <c r="A12922" t="str">
        <f>T("   540490")</f>
        <v xml:space="preserve">   540490</v>
      </c>
      <c r="B12922" t="str">
        <f>T("   AUTRES")</f>
        <v xml:space="preserve">   AUTRES</v>
      </c>
      <c r="C12922" s="4">
        <v>1840</v>
      </c>
      <c r="D12922" s="4">
        <v>324721</v>
      </c>
    </row>
    <row r="12923" spans="1:4" x14ac:dyDescent="0.25">
      <c r="A12923" t="str">
        <f>T("   540620")</f>
        <v xml:space="preserve">   540620</v>
      </c>
      <c r="B12923" t="str">
        <f>T("   FILS DE FILAMENTS ARTIFICIELS,CONDITIONNES POUR LA VENTE AU DETAIL")</f>
        <v xml:space="preserve">   FILS DE FILAMENTS ARTIFICIELS,CONDITIONNES POUR LA VENTE AU DETAIL</v>
      </c>
      <c r="C12923" s="4">
        <v>40</v>
      </c>
      <c r="D12923" s="4">
        <v>33500</v>
      </c>
    </row>
    <row r="12924" spans="1:4" x14ac:dyDescent="0.25">
      <c r="A12924" t="str">
        <f>T("   540720")</f>
        <v xml:space="preserve">   540720</v>
      </c>
      <c r="B12924" t="str">
        <f>T("   TISSUS OBTENUS A PARTIR DE LAMES OU FORMES SIMILAIRES")</f>
        <v xml:space="preserve">   TISSUS OBTENUS A PARTIR DE LAMES OU FORMES SIMILAIRES</v>
      </c>
      <c r="C12924" s="4">
        <v>1155</v>
      </c>
      <c r="D12924" s="4">
        <v>18108752</v>
      </c>
    </row>
    <row r="12925" spans="1:4" x14ac:dyDescent="0.25">
      <c r="A12925" t="str">
        <f>T("   540752")</f>
        <v xml:space="preserve">   540752</v>
      </c>
      <c r="B12925" t="str">
        <f>T("   TEINTS")</f>
        <v xml:space="preserve">   TEINTS</v>
      </c>
      <c r="C12925" s="4">
        <v>2819</v>
      </c>
      <c r="D12925" s="4">
        <v>5040221</v>
      </c>
    </row>
    <row r="12926" spans="1:4" x14ac:dyDescent="0.25">
      <c r="A12926" t="str">
        <f>T("   540753")</f>
        <v xml:space="preserve">   540753</v>
      </c>
      <c r="B12926" t="str">
        <f>T("   EN FILS DE DIVERSES COULEURS")</f>
        <v xml:space="preserve">   EN FILS DE DIVERSES COULEURS</v>
      </c>
      <c r="C12926" s="4">
        <v>23.5</v>
      </c>
      <c r="D12926" s="4">
        <v>334540</v>
      </c>
    </row>
    <row r="12927" spans="1:4" x14ac:dyDescent="0.25">
      <c r="A12927" t="str">
        <f>T("   540761")</f>
        <v xml:space="preserve">   540761</v>
      </c>
      <c r="B12927" t="str">
        <f>T("   CONTENANT AU MOINS 85 % EN POIDS DE FILAMENTS DE POLYESTER NON TEXTURES")</f>
        <v xml:space="preserve">   CONTENANT AU MOINS 85 % EN POIDS DE FILAMENTS DE POLYESTER NON TEXTURES</v>
      </c>
      <c r="C12927" s="4">
        <v>323</v>
      </c>
      <c r="D12927" s="4">
        <v>542446</v>
      </c>
    </row>
    <row r="12928" spans="1:4" x14ac:dyDescent="0.25">
      <c r="A12928" t="str">
        <f>T("   540769")</f>
        <v xml:space="preserve">   540769</v>
      </c>
      <c r="B12928" t="str">
        <f>T("   AUTRES")</f>
        <v xml:space="preserve">   AUTRES</v>
      </c>
      <c r="C12928" s="4">
        <v>18456</v>
      </c>
      <c r="D12928" s="4">
        <v>27396394</v>
      </c>
    </row>
    <row r="12929" spans="1:4" x14ac:dyDescent="0.25">
      <c r="A12929" t="str">
        <f>T("   540773")</f>
        <v xml:space="preserve">   540773</v>
      </c>
      <c r="B12929" t="str">
        <f>T("   EN FILS DE DIVERSES COULEURS")</f>
        <v xml:space="preserve">   EN FILS DE DIVERSES COULEURS</v>
      </c>
      <c r="C12929" s="4">
        <v>6034</v>
      </c>
      <c r="D12929" s="4">
        <v>17642044</v>
      </c>
    </row>
    <row r="12930" spans="1:4" x14ac:dyDescent="0.25">
      <c r="A12930" t="str">
        <f>T("   540792")</f>
        <v xml:space="preserve">   540792</v>
      </c>
      <c r="B12930" t="str">
        <f>T("   TEINTS")</f>
        <v xml:space="preserve">   TEINTS</v>
      </c>
      <c r="C12930" s="4">
        <v>3613</v>
      </c>
      <c r="D12930" s="4">
        <v>3277000</v>
      </c>
    </row>
    <row r="12931" spans="1:4" x14ac:dyDescent="0.25">
      <c r="A12931" t="str">
        <f>T("   540793")</f>
        <v xml:space="preserve">   540793</v>
      </c>
      <c r="B12931" t="str">
        <f>T("   EN FILS DE DIVERSES COULEURS")</f>
        <v xml:space="preserve">   EN FILS DE DIVERSES COULEURS</v>
      </c>
      <c r="C12931" s="4">
        <v>2250</v>
      </c>
      <c r="D12931" s="4">
        <v>1475910</v>
      </c>
    </row>
    <row r="12932" spans="1:4" x14ac:dyDescent="0.25">
      <c r="A12932" t="str">
        <f>T("   540794")</f>
        <v xml:space="preserve">   540794</v>
      </c>
      <c r="B12932" t="str">
        <f>T("   IMPRIMES")</f>
        <v xml:space="preserve">   IMPRIMES</v>
      </c>
      <c r="C12932" s="4">
        <v>46355</v>
      </c>
      <c r="D12932" s="4">
        <v>46000000</v>
      </c>
    </row>
    <row r="12933" spans="1:4" x14ac:dyDescent="0.25">
      <c r="A12933" t="str">
        <f>T("   540823")</f>
        <v xml:space="preserve">   540823</v>
      </c>
      <c r="B12933" t="str">
        <f>T("   EN FILS DE DIVERSES COULEURS")</f>
        <v xml:space="preserve">   EN FILS DE DIVERSES COULEURS</v>
      </c>
      <c r="C12933" s="4">
        <v>13</v>
      </c>
      <c r="D12933" s="4">
        <v>19900</v>
      </c>
    </row>
    <row r="12934" spans="1:4" x14ac:dyDescent="0.25">
      <c r="A12934" t="str">
        <f>T("   540834")</f>
        <v xml:space="preserve">   540834</v>
      </c>
      <c r="B12934" t="str">
        <f>T("   IMPRIMES")</f>
        <v xml:space="preserve">   IMPRIMES</v>
      </c>
      <c r="C12934" s="4">
        <v>327000</v>
      </c>
      <c r="D12934" s="4">
        <v>109750000</v>
      </c>
    </row>
    <row r="12935" spans="1:4" x14ac:dyDescent="0.25">
      <c r="A12935" t="str">
        <f>T("   550140")</f>
        <v xml:space="preserve">   550140</v>
      </c>
      <c r="B12935" t="str">
        <f>T("   DE POLYPROPYLENE")</f>
        <v xml:space="preserve">   DE POLYPROPYLENE</v>
      </c>
      <c r="C12935" s="4">
        <v>340</v>
      </c>
      <c r="D12935" s="4">
        <v>150000</v>
      </c>
    </row>
    <row r="12936" spans="1:4" x14ac:dyDescent="0.25">
      <c r="A12936" t="str">
        <f>T("   550320")</f>
        <v xml:space="preserve">   550320</v>
      </c>
      <c r="B12936" t="str">
        <f>T("   DE POLYESTERS")</f>
        <v xml:space="preserve">   DE POLYESTERS</v>
      </c>
      <c r="C12936" s="4">
        <v>51456</v>
      </c>
      <c r="D12936" s="4">
        <v>27759758</v>
      </c>
    </row>
    <row r="12937" spans="1:4" x14ac:dyDescent="0.25">
      <c r="A12937" t="str">
        <f>T("   550390")</f>
        <v xml:space="preserve">   550390</v>
      </c>
      <c r="B12937" t="str">
        <f>T("   AUTRES")</f>
        <v xml:space="preserve">   AUTRES</v>
      </c>
      <c r="C12937" s="4">
        <v>29174</v>
      </c>
      <c r="D12937" s="4">
        <v>6762101</v>
      </c>
    </row>
    <row r="12938" spans="1:4" x14ac:dyDescent="0.25">
      <c r="A12938" t="str">
        <f>T("   550490")</f>
        <v xml:space="preserve">   550490</v>
      </c>
      <c r="B12938" t="str">
        <f>T("   AUTRES")</f>
        <v xml:space="preserve">   AUTRES</v>
      </c>
      <c r="C12938" s="4">
        <v>1850</v>
      </c>
      <c r="D12938" s="4">
        <v>241719</v>
      </c>
    </row>
    <row r="12939" spans="1:4" x14ac:dyDescent="0.25">
      <c r="A12939" t="str">
        <f>T("   550510")</f>
        <v xml:space="preserve">   550510</v>
      </c>
      <c r="B12939" t="str">
        <f>T("   DE FIBRES SYNTHETIQUES")</f>
        <v xml:space="preserve">   DE FIBRES SYNTHETIQUES</v>
      </c>
      <c r="C12939" s="4">
        <v>11.23</v>
      </c>
      <c r="D12939" s="4">
        <v>6034</v>
      </c>
    </row>
    <row r="12940" spans="1:4" x14ac:dyDescent="0.25">
      <c r="A12940" t="str">
        <f>T("   550620")</f>
        <v xml:space="preserve">   550620</v>
      </c>
      <c r="B12940" t="str">
        <f>T("   DE POLYESTERS")</f>
        <v xml:space="preserve">   DE POLYESTERS</v>
      </c>
      <c r="C12940" s="4">
        <v>2813</v>
      </c>
      <c r="D12940" s="4">
        <v>945904</v>
      </c>
    </row>
    <row r="12941" spans="1:4" x14ac:dyDescent="0.25">
      <c r="A12941" t="str">
        <f>T("   550690")</f>
        <v xml:space="preserve">   550690</v>
      </c>
      <c r="B12941" t="str">
        <f>T("   AUTRES")</f>
        <v xml:space="preserve">   AUTRES</v>
      </c>
      <c r="C12941" s="4">
        <v>1800</v>
      </c>
      <c r="D12941" s="4">
        <v>241719</v>
      </c>
    </row>
    <row r="12942" spans="1:4" x14ac:dyDescent="0.25">
      <c r="A12942" t="str">
        <f>T("   550810")</f>
        <v xml:space="preserve">   550810</v>
      </c>
      <c r="B12942" t="str">
        <f>T("   DE FIBRES SYNTHETIQUES DISCONTINUES")</f>
        <v xml:space="preserve">   DE FIBRES SYNTHETIQUES DISCONTINUES</v>
      </c>
      <c r="C12942" s="4">
        <v>5000</v>
      </c>
      <c r="D12942" s="4">
        <v>900000</v>
      </c>
    </row>
    <row r="12943" spans="1:4" x14ac:dyDescent="0.25">
      <c r="A12943" t="str">
        <f>T("   550820")</f>
        <v xml:space="preserve">   550820</v>
      </c>
      <c r="B12943" t="str">
        <f>T("   DE FIBRES ARTIFICIELLES DISCONTINUES")</f>
        <v xml:space="preserve">   DE FIBRES ARTIFICIELLES DISCONTINUES</v>
      </c>
      <c r="C12943" s="4">
        <v>1744</v>
      </c>
      <c r="D12943" s="4">
        <v>1425009</v>
      </c>
    </row>
    <row r="12944" spans="1:4" x14ac:dyDescent="0.25">
      <c r="A12944" t="str">
        <f>T("   550911")</f>
        <v xml:space="preserve">   550911</v>
      </c>
      <c r="B12944" t="str">
        <f>T("   SIMPLES")</f>
        <v xml:space="preserve">   SIMPLES</v>
      </c>
      <c r="C12944" s="4">
        <v>800</v>
      </c>
      <c r="D12944" s="4">
        <v>200000</v>
      </c>
    </row>
    <row r="12945" spans="1:4" x14ac:dyDescent="0.25">
      <c r="A12945" t="str">
        <f>T("   550952")</f>
        <v xml:space="preserve">   550952</v>
      </c>
      <c r="B12945" t="str">
        <f>T("   MELANGEES PRINCIPALEMENT OU UNIQUEMENT AVEC DE LA LAINE OU DES POILS FINS")</f>
        <v xml:space="preserve">   MELANGEES PRINCIPALEMENT OU UNIQUEMENT AVEC DE LA LAINE OU DES POILS FINS</v>
      </c>
      <c r="C12945" s="4">
        <v>1005</v>
      </c>
      <c r="D12945" s="4">
        <v>540516</v>
      </c>
    </row>
    <row r="12946" spans="1:4" x14ac:dyDescent="0.25">
      <c r="A12946" t="str">
        <f>T("   550959")</f>
        <v xml:space="preserve">   550959</v>
      </c>
      <c r="B12946" t="str">
        <f>T("   AUTRES")</f>
        <v xml:space="preserve">   AUTRES</v>
      </c>
      <c r="C12946" s="4">
        <v>2500</v>
      </c>
      <c r="D12946" s="4">
        <v>883390</v>
      </c>
    </row>
    <row r="12947" spans="1:4" x14ac:dyDescent="0.25">
      <c r="A12947" t="str">
        <f>T("   551090")</f>
        <v xml:space="preserve">   551090</v>
      </c>
      <c r="B12947" t="str">
        <f>T("   AUTRES FILS")</f>
        <v xml:space="preserve">   AUTRES FILS</v>
      </c>
      <c r="C12947" s="4">
        <v>5875</v>
      </c>
      <c r="D12947" s="4">
        <v>800000</v>
      </c>
    </row>
    <row r="12948" spans="1:4" x14ac:dyDescent="0.25">
      <c r="A12948" t="str">
        <f>T("   551110")</f>
        <v xml:space="preserve">   551110</v>
      </c>
      <c r="B12948" t="str">
        <f>T("   DE FIBRES SYNTHETIQUES DISCONTINUES, CONTENANT AU MOINS 85 % EN POIDS DE CES FIBRES")</f>
        <v xml:space="preserve">   DE FIBRES SYNTHETIQUES DISCONTINUES, CONTENANT AU MOINS 85 % EN POIDS DE CES FIBRES</v>
      </c>
      <c r="C12948" s="4">
        <v>1352</v>
      </c>
      <c r="D12948" s="4">
        <v>300000</v>
      </c>
    </row>
    <row r="12949" spans="1:4" x14ac:dyDescent="0.25">
      <c r="A12949" t="str">
        <f>T("   551120")</f>
        <v xml:space="preserve">   551120</v>
      </c>
      <c r="B12949" t="str">
        <f>T("   DE FIBRES SYNTHETIQUES DISCONTINUES, CONTENANT MOINS DE 85 % EN POIDS DE CES FIBRES")</f>
        <v xml:space="preserve">   DE FIBRES SYNTHETIQUES DISCONTINUES, CONTENANT MOINS DE 85 % EN POIDS DE CES FIBRES</v>
      </c>
      <c r="C12949" s="4">
        <v>17100</v>
      </c>
      <c r="D12949" s="4">
        <v>8743054</v>
      </c>
    </row>
    <row r="12950" spans="1:4" x14ac:dyDescent="0.25">
      <c r="A12950" t="str">
        <f>T("   551211")</f>
        <v xml:space="preserve">   551211</v>
      </c>
      <c r="B12950" t="str">
        <f>T("   ECRUS OU BLANCHIS")</f>
        <v xml:space="preserve">   ECRUS OU BLANCHIS</v>
      </c>
      <c r="C12950" s="4">
        <v>5820</v>
      </c>
      <c r="D12950" s="4">
        <v>2059230</v>
      </c>
    </row>
    <row r="12951" spans="1:4" x14ac:dyDescent="0.25">
      <c r="A12951" t="str">
        <f>T("   551219")</f>
        <v xml:space="preserve">   551219</v>
      </c>
      <c r="B12951" t="str">
        <f>T("   AUTRES")</f>
        <v xml:space="preserve">   AUTRES</v>
      </c>
      <c r="C12951" s="4">
        <v>208063</v>
      </c>
      <c r="D12951" s="4">
        <v>112737511</v>
      </c>
    </row>
    <row r="12952" spans="1:4" x14ac:dyDescent="0.25">
      <c r="A12952" t="str">
        <f>T("   551291")</f>
        <v xml:space="preserve">   551291</v>
      </c>
      <c r="B12952" t="str">
        <f>T("   ECRUS OU BLANCHIS")</f>
        <v xml:space="preserve">   ECRUS OU BLANCHIS</v>
      </c>
      <c r="C12952" s="4">
        <v>400</v>
      </c>
      <c r="D12952" s="4">
        <v>65538</v>
      </c>
    </row>
    <row r="12953" spans="1:4" x14ac:dyDescent="0.25">
      <c r="A12953" t="str">
        <f>T("   551299")</f>
        <v xml:space="preserve">   551299</v>
      </c>
      <c r="B12953" t="str">
        <f>T("   AUTRES")</f>
        <v xml:space="preserve">   AUTRES</v>
      </c>
      <c r="C12953" s="4">
        <v>109090</v>
      </c>
      <c r="D12953" s="4">
        <v>72005348</v>
      </c>
    </row>
    <row r="12954" spans="1:4" x14ac:dyDescent="0.25">
      <c r="A12954" t="str">
        <f>T("   551312")</f>
        <v xml:space="preserve">   551312</v>
      </c>
      <c r="B12954" t="str">
        <f>T("   EN FIBRES DISCONTINUES DE POLYESTER, A ARMURE SERGE, Y COMPRIS LE CROISE, DONT LE RA")</f>
        <v xml:space="preserve">   EN FIBRES DISCONTINUES DE POLYESTER, A ARMURE SERGE, Y COMPRIS LE CROISE, DONT LE RA</v>
      </c>
      <c r="C12954" s="4">
        <v>18900</v>
      </c>
      <c r="D12954" s="4">
        <v>10922993</v>
      </c>
    </row>
    <row r="12955" spans="1:4" x14ac:dyDescent="0.25">
      <c r="A12955" t="str">
        <f>T("   551313")</f>
        <v xml:space="preserve">   551313</v>
      </c>
      <c r="B12955" t="str">
        <f>T("   AUTRES TISSUS DE FIBRES DISCONTINUES DE POLYESTER")</f>
        <v xml:space="preserve">   AUTRES TISSUS DE FIBRES DISCONTINUES DE POLYESTER</v>
      </c>
      <c r="C12955" s="4">
        <v>1029108</v>
      </c>
      <c r="D12955" s="4">
        <v>589943883</v>
      </c>
    </row>
    <row r="12956" spans="1:4" x14ac:dyDescent="0.25">
      <c r="A12956" t="str">
        <f>T("   551319")</f>
        <v xml:space="preserve">   551319</v>
      </c>
      <c r="B12956" t="str">
        <f>T("   AUTRES TISSUS")</f>
        <v xml:space="preserve">   AUTRES TISSUS</v>
      </c>
      <c r="C12956" s="4">
        <v>773099</v>
      </c>
      <c r="D12956" s="4">
        <v>483542579</v>
      </c>
    </row>
    <row r="12957" spans="1:4" x14ac:dyDescent="0.25">
      <c r="A12957" t="str">
        <f>T("   551329")</f>
        <v xml:space="preserve">   551329</v>
      </c>
      <c r="B12957" t="str">
        <f>T("   AUTRES TISSUS")</f>
        <v xml:space="preserve">   AUTRES TISSUS</v>
      </c>
      <c r="C12957" s="4">
        <v>28730</v>
      </c>
      <c r="D12957" s="4">
        <v>9293192</v>
      </c>
    </row>
    <row r="12958" spans="1:4" x14ac:dyDescent="0.25">
      <c r="A12958" t="str">
        <f>T("   551349")</f>
        <v xml:space="preserve">   551349</v>
      </c>
      <c r="B12958" t="str">
        <f>T("   AUTRES TISSUS")</f>
        <v xml:space="preserve">   AUTRES TISSUS</v>
      </c>
      <c r="C12958" s="4">
        <v>366079</v>
      </c>
      <c r="D12958" s="4">
        <v>198367196</v>
      </c>
    </row>
    <row r="12959" spans="1:4" x14ac:dyDescent="0.25">
      <c r="A12959" t="str">
        <f>T("   551411")</f>
        <v xml:space="preserve">   551411</v>
      </c>
      <c r="B12959" t="str">
        <f>T("   EN FIBRES DISCONTINUES DE POLYESTER, A ARMURE TOILE")</f>
        <v xml:space="preserve">   EN FIBRES DISCONTINUES DE POLYESTER, A ARMURE TOILE</v>
      </c>
      <c r="C12959" s="4">
        <v>1000</v>
      </c>
      <c r="D12959" s="4">
        <v>350000</v>
      </c>
    </row>
    <row r="12960" spans="1:4" x14ac:dyDescent="0.25">
      <c r="A12960" t="str">
        <f>T("   551412")</f>
        <v xml:space="preserve">   551412</v>
      </c>
      <c r="B12960" t="str">
        <f>T("   EN FIBRES DISCONTINUES DE POLYESTER, A ARMURE SERGE, Y COMPRIS LE CROISE, DONT LE RA")</f>
        <v xml:space="preserve">   EN FIBRES DISCONTINUES DE POLYESTER, A ARMURE SERGE, Y COMPRIS LE CROISE, DONT LE RA</v>
      </c>
      <c r="C12960" s="4">
        <v>1500</v>
      </c>
      <c r="D12960" s="4">
        <v>600000</v>
      </c>
    </row>
    <row r="12961" spans="1:4" x14ac:dyDescent="0.25">
      <c r="A12961" t="str">
        <f>T("   551419")</f>
        <v xml:space="preserve">   551419</v>
      </c>
      <c r="B12961" t="str">
        <f>T("   AUTRES TISSUS")</f>
        <v xml:space="preserve">   AUTRES TISSUS</v>
      </c>
      <c r="C12961" s="4">
        <v>4500</v>
      </c>
      <c r="D12961" s="4">
        <v>2377855</v>
      </c>
    </row>
    <row r="12962" spans="1:4" x14ac:dyDescent="0.25">
      <c r="A12962" t="str">
        <f>T("   551429")</f>
        <v xml:space="preserve">   551429</v>
      </c>
      <c r="B12962" t="str">
        <f>T("   AUTRES TISSUS")</f>
        <v xml:space="preserve">   AUTRES TISSUS</v>
      </c>
      <c r="C12962" s="4">
        <v>6290</v>
      </c>
      <c r="D12962" s="4">
        <v>6761926</v>
      </c>
    </row>
    <row r="12963" spans="1:4" x14ac:dyDescent="0.25">
      <c r="A12963" t="str">
        <f>T("   551443")</f>
        <v xml:space="preserve">   551443</v>
      </c>
      <c r="B12963" t="str">
        <f>T("   AUTRES TISSUS DE FIBRES DISCONTINUES DE POLYESTER")</f>
        <v xml:space="preserve">   AUTRES TISSUS DE FIBRES DISCONTINUES DE POLYESTER</v>
      </c>
      <c r="C12963" s="4">
        <v>77601</v>
      </c>
      <c r="D12963" s="4">
        <v>38653572</v>
      </c>
    </row>
    <row r="12964" spans="1:4" x14ac:dyDescent="0.25">
      <c r="A12964" t="str">
        <f>T("   551449")</f>
        <v xml:space="preserve">   551449</v>
      </c>
      <c r="B12964" t="str">
        <f>T("   AUTRES TISSUS")</f>
        <v xml:space="preserve">   AUTRES TISSUS</v>
      </c>
      <c r="C12964" s="4">
        <v>91174</v>
      </c>
      <c r="D12964" s="4">
        <v>79199593</v>
      </c>
    </row>
    <row r="12965" spans="1:4" x14ac:dyDescent="0.25">
      <c r="A12965" t="str">
        <f>T("   551512")</f>
        <v xml:space="preserve">   551512</v>
      </c>
      <c r="B12965" t="str">
        <f>T("   MELANGEES PRINCIPALEMENT OU UNIQUEMENT AVEC DES FILAMENTS SYNTHETIQUES OU ARTIFICIEL")</f>
        <v xml:space="preserve">   MELANGEES PRINCIPALEMENT OU UNIQUEMENT AVEC DES FILAMENTS SYNTHETIQUES OU ARTIFICIEL</v>
      </c>
      <c r="C12965" s="4">
        <v>1036526</v>
      </c>
      <c r="D12965" s="4">
        <v>505477000</v>
      </c>
    </row>
    <row r="12966" spans="1:4" x14ac:dyDescent="0.25">
      <c r="A12966" t="str">
        <f>T("   551513")</f>
        <v xml:space="preserve">   551513</v>
      </c>
      <c r="B12966" t="str">
        <f>T("   MELANGEES PRINCIPALEMENT OU UNIQUEMENT AVEC DE LA LAINE OU DES POILS FINS")</f>
        <v xml:space="preserve">   MELANGEES PRINCIPALEMENT OU UNIQUEMENT AVEC DE LA LAINE OU DES POILS FINS</v>
      </c>
      <c r="C12966" s="4">
        <v>68884</v>
      </c>
      <c r="D12966" s="4">
        <v>23000000</v>
      </c>
    </row>
    <row r="12967" spans="1:4" x14ac:dyDescent="0.25">
      <c r="A12967" t="str">
        <f>T("   551519")</f>
        <v xml:space="preserve">   551519</v>
      </c>
      <c r="B12967" t="str">
        <f>T("   AUTRES")</f>
        <v xml:space="preserve">   AUTRES</v>
      </c>
      <c r="C12967" s="4">
        <v>1062157</v>
      </c>
      <c r="D12967" s="4">
        <v>491792805</v>
      </c>
    </row>
    <row r="12968" spans="1:4" x14ac:dyDescent="0.25">
      <c r="A12968" t="str">
        <f>T("   551529")</f>
        <v xml:space="preserve">   551529</v>
      </c>
      <c r="B12968" t="str">
        <f>T("   AUTRES")</f>
        <v xml:space="preserve">   AUTRES</v>
      </c>
      <c r="C12968" s="4">
        <v>99150</v>
      </c>
      <c r="D12968" s="4">
        <v>42218458</v>
      </c>
    </row>
    <row r="12969" spans="1:4" x14ac:dyDescent="0.25">
      <c r="A12969" t="str">
        <f>T("   551591")</f>
        <v xml:space="preserve">   551591</v>
      </c>
      <c r="B12969" t="str">
        <f>T("   MELANGES PRINCIPALEMENT OU UNIQUEMENT AVEC DES FILAMENTS SYNTHETIQUES OU ARTIFICIELS")</f>
        <v xml:space="preserve">   MELANGES PRINCIPALEMENT OU UNIQUEMENT AVEC DES FILAMENTS SYNTHETIQUES OU ARTIFICIELS</v>
      </c>
      <c r="C12969" s="4">
        <v>248152</v>
      </c>
      <c r="D12969" s="4">
        <v>105108000</v>
      </c>
    </row>
    <row r="12970" spans="1:4" x14ac:dyDescent="0.25">
      <c r="A12970" t="str">
        <f>T("   551599")</f>
        <v xml:space="preserve">   551599</v>
      </c>
      <c r="B12970" t="str">
        <f>T("   AUTRES")</f>
        <v xml:space="preserve">   AUTRES</v>
      </c>
      <c r="C12970" s="4">
        <v>2320209</v>
      </c>
      <c r="D12970" s="4">
        <v>945889253</v>
      </c>
    </row>
    <row r="12971" spans="1:4" x14ac:dyDescent="0.25">
      <c r="A12971" t="str">
        <f>T("   551612")</f>
        <v xml:space="preserve">   551612</v>
      </c>
      <c r="B12971" t="str">
        <f>T("   TEINTS")</f>
        <v xml:space="preserve">   TEINTS</v>
      </c>
      <c r="C12971" s="4">
        <v>77040</v>
      </c>
      <c r="D12971" s="4">
        <v>36000000</v>
      </c>
    </row>
    <row r="12972" spans="1:4" x14ac:dyDescent="0.25">
      <c r="A12972" t="str">
        <f>T("   551694")</f>
        <v xml:space="preserve">   551694</v>
      </c>
      <c r="B12972" t="str">
        <f>T("   IMPRIMES")</f>
        <v xml:space="preserve">   IMPRIMES</v>
      </c>
      <c r="C12972" s="4">
        <v>670097</v>
      </c>
      <c r="D12972" s="4">
        <v>274509000</v>
      </c>
    </row>
    <row r="12973" spans="1:4" x14ac:dyDescent="0.25">
      <c r="A12973" t="str">
        <f>T("   560110")</f>
        <v xml:space="preserve">   560110</v>
      </c>
      <c r="B12973" t="str">
        <f>T("   SERVIETTES,TAMPONS HYGIENIQUES,COUCHES BEBES,ARTICLES D'HYGIENE EN OUATES")</f>
        <v xml:space="preserve">   SERVIETTES,TAMPONS HYGIENIQUES,COUCHES BEBES,ARTICLES D'HYGIENE EN OUATES</v>
      </c>
      <c r="C12973" s="4">
        <v>193436</v>
      </c>
      <c r="D12973" s="4">
        <v>72952126</v>
      </c>
    </row>
    <row r="12974" spans="1:4" x14ac:dyDescent="0.25">
      <c r="A12974" t="str">
        <f>T("   560121")</f>
        <v xml:space="preserve">   560121</v>
      </c>
      <c r="B12974" t="str">
        <f>T("   DE COTON")</f>
        <v xml:space="preserve">   DE COTON</v>
      </c>
      <c r="C12974" s="4">
        <v>39907.4</v>
      </c>
      <c r="D12974" s="4">
        <v>17214485</v>
      </c>
    </row>
    <row r="12975" spans="1:4" x14ac:dyDescent="0.25">
      <c r="A12975" t="str">
        <f>T("   560129")</f>
        <v xml:space="preserve">   560129</v>
      </c>
      <c r="B12975" t="str">
        <f>T("   AUTRES")</f>
        <v xml:space="preserve">   AUTRES</v>
      </c>
      <c r="C12975" s="4">
        <v>46528</v>
      </c>
      <c r="D12975" s="4">
        <v>26744115</v>
      </c>
    </row>
    <row r="12976" spans="1:4" x14ac:dyDescent="0.25">
      <c r="A12976" t="str">
        <f>T("   560210")</f>
        <v xml:space="preserve">   560210</v>
      </c>
      <c r="B12976" t="str">
        <f>T("   FEUTRES AIGUILLETES ET PRODUITS COUSUSTRICOTES")</f>
        <v xml:space="preserve">   FEUTRES AIGUILLETES ET PRODUITS COUSUSTRICOTES</v>
      </c>
      <c r="C12976" s="4">
        <v>994</v>
      </c>
      <c r="D12976" s="4">
        <v>11176647</v>
      </c>
    </row>
    <row r="12977" spans="1:4" x14ac:dyDescent="0.25">
      <c r="A12977" t="str">
        <f>T("   560314")</f>
        <v xml:space="preserve">   560314</v>
      </c>
      <c r="B12977" t="str">
        <f>T("   D'UN POIDS SUPERIEUR A 150 G/M²")</f>
        <v xml:space="preserve">   D'UN POIDS SUPERIEUR A 150 G/M²</v>
      </c>
      <c r="C12977" s="4">
        <v>112629</v>
      </c>
      <c r="D12977" s="4">
        <v>267786880</v>
      </c>
    </row>
    <row r="12978" spans="1:4" x14ac:dyDescent="0.25">
      <c r="A12978" t="str">
        <f>T("   560394")</f>
        <v xml:space="preserve">   560394</v>
      </c>
      <c r="B12978" t="str">
        <f>T("   D'UN POIDS SUPERIEUR A 150 G/M²")</f>
        <v xml:space="preserve">   D'UN POIDS SUPERIEUR A 150 G/M²</v>
      </c>
      <c r="C12978" s="4">
        <v>305</v>
      </c>
      <c r="D12978" s="4">
        <v>1973659</v>
      </c>
    </row>
    <row r="12979" spans="1:4" x14ac:dyDescent="0.25">
      <c r="A12979" t="str">
        <f>T("   560490")</f>
        <v xml:space="preserve">   560490</v>
      </c>
      <c r="B12979" t="str">
        <f>T("   AUTRES")</f>
        <v xml:space="preserve">   AUTRES</v>
      </c>
      <c r="C12979" s="4">
        <v>95373</v>
      </c>
      <c r="D12979" s="4">
        <v>34396818</v>
      </c>
    </row>
    <row r="12980" spans="1:4" x14ac:dyDescent="0.25">
      <c r="A12980" t="str">
        <f>T("   560500")</f>
        <v xml:space="preserve">   560500</v>
      </c>
      <c r="B12980" t="str">
        <f>T("   FILES METALLIQUES ET FILS METALLISES, MEME GUIPES, CONSTITUES PAR DES FILS TEXTILES, DE")</f>
        <v xml:space="preserve">   FILES METALLIQUES ET FILS METALLISES, MEME GUIPES, CONSTITUES PAR DES FILS TEXTILES, DE</v>
      </c>
      <c r="C12980" s="4">
        <v>480</v>
      </c>
      <c r="D12980" s="4">
        <v>118082</v>
      </c>
    </row>
    <row r="12981" spans="1:4" x14ac:dyDescent="0.25">
      <c r="A12981" t="str">
        <f>T("   560721")</f>
        <v xml:space="preserve">   560721</v>
      </c>
      <c r="B12981" t="str">
        <f>T("   FICELLES LIEUSES OU BOTTELEUSES")</f>
        <v xml:space="preserve">   FICELLES LIEUSES OU BOTTELEUSES</v>
      </c>
      <c r="C12981" s="4">
        <v>19</v>
      </c>
      <c r="D12981" s="4">
        <v>130500</v>
      </c>
    </row>
    <row r="12982" spans="1:4" x14ac:dyDescent="0.25">
      <c r="A12982" t="str">
        <f>T("   560729")</f>
        <v xml:space="preserve">   560729</v>
      </c>
      <c r="B12982" t="str">
        <f>T("   AUTRES")</f>
        <v xml:space="preserve">   AUTRES</v>
      </c>
      <c r="C12982" s="4">
        <v>29000</v>
      </c>
      <c r="D12982" s="4">
        <v>23590810</v>
      </c>
    </row>
    <row r="12983" spans="1:4" x14ac:dyDescent="0.25">
      <c r="A12983" t="str">
        <f>T("   560749")</f>
        <v xml:space="preserve">   560749</v>
      </c>
      <c r="B12983" t="str">
        <f>T("   AUTRES")</f>
        <v xml:space="preserve">   AUTRES</v>
      </c>
      <c r="C12983" s="4">
        <v>16705</v>
      </c>
      <c r="D12983" s="4">
        <v>10285453</v>
      </c>
    </row>
    <row r="12984" spans="1:4" x14ac:dyDescent="0.25">
      <c r="A12984" t="str">
        <f>T("   560750")</f>
        <v xml:space="preserve">   560750</v>
      </c>
      <c r="B12984" t="str">
        <f>T("   D'AUTRES FIBRES SYNTHETIQUES")</f>
        <v xml:space="preserve">   D'AUTRES FIBRES SYNTHETIQUES</v>
      </c>
      <c r="C12984" s="4">
        <v>997</v>
      </c>
      <c r="D12984" s="4">
        <v>1814670</v>
      </c>
    </row>
    <row r="12985" spans="1:4" x14ac:dyDescent="0.25">
      <c r="A12985" t="str">
        <f>T("   560790")</f>
        <v xml:space="preserve">   560790</v>
      </c>
      <c r="B12985" t="str">
        <f>T("   AUTRES")</f>
        <v xml:space="preserve">   AUTRES</v>
      </c>
      <c r="C12985" s="4">
        <v>27328.5</v>
      </c>
      <c r="D12985" s="4">
        <v>10408121</v>
      </c>
    </row>
    <row r="12986" spans="1:4" x14ac:dyDescent="0.25">
      <c r="A12986" t="str">
        <f>T("   560811")</f>
        <v xml:space="preserve">   560811</v>
      </c>
      <c r="B12986" t="str">
        <f>T("   FILETS CONFECTIONNES POUR LA PECHE")</f>
        <v xml:space="preserve">   FILETS CONFECTIONNES POUR LA PECHE</v>
      </c>
      <c r="C12986" s="4">
        <v>128147</v>
      </c>
      <c r="D12986" s="4">
        <v>32323483</v>
      </c>
    </row>
    <row r="12987" spans="1:4" x14ac:dyDescent="0.25">
      <c r="A12987" t="str">
        <f>T("   560819")</f>
        <v xml:space="preserve">   560819</v>
      </c>
      <c r="B12987" t="str">
        <f>T("   AUTRES")</f>
        <v xml:space="preserve">   AUTRES</v>
      </c>
      <c r="C12987" s="4">
        <v>152850</v>
      </c>
      <c r="D12987" s="4">
        <v>18646000</v>
      </c>
    </row>
    <row r="12988" spans="1:4" x14ac:dyDescent="0.25">
      <c r="A12988" t="str">
        <f>T("   560890")</f>
        <v xml:space="preserve">   560890</v>
      </c>
      <c r="B12988" t="str">
        <f>T("   AUTRES")</f>
        <v xml:space="preserve">   AUTRES</v>
      </c>
      <c r="C12988" s="4">
        <v>46080</v>
      </c>
      <c r="D12988" s="4">
        <v>24109578</v>
      </c>
    </row>
    <row r="12989" spans="1:4" x14ac:dyDescent="0.25">
      <c r="A12989" t="str">
        <f>T("   560900")</f>
        <v xml:space="preserve">   560900</v>
      </c>
      <c r="B12989" t="str">
        <f>T("   ARTICLES EN FILS, LAMES OU FORMES SIMILAIRES DES N°S 54.04 OU 54.05, FICELLES, CORDES O")</f>
        <v xml:space="preserve">   ARTICLES EN FILS, LAMES OU FORMES SIMILAIRES DES N°S 54.04 OU 54.05, FICELLES, CORDES O</v>
      </c>
      <c r="C12989" s="4">
        <v>33686</v>
      </c>
      <c r="D12989" s="4">
        <v>7337544</v>
      </c>
    </row>
    <row r="12990" spans="1:4" x14ac:dyDescent="0.25">
      <c r="A12990" t="str">
        <f>T("   570110")</f>
        <v xml:space="preserve">   570110</v>
      </c>
      <c r="B12990" t="str">
        <f>T("   DE LAINE OU DE POILS FINS")</f>
        <v xml:space="preserve">   DE LAINE OU DE POILS FINS</v>
      </c>
      <c r="C12990" s="4">
        <v>1918</v>
      </c>
      <c r="D12990" s="4">
        <v>910000</v>
      </c>
    </row>
    <row r="12991" spans="1:4" x14ac:dyDescent="0.25">
      <c r="A12991" t="str">
        <f>T("   570190")</f>
        <v xml:space="preserve">   570190</v>
      </c>
      <c r="B12991" t="str">
        <f>T("   D'AUTRES MATIERES TEXTILES")</f>
        <v xml:space="preserve">   D'AUTRES MATIERES TEXTILES</v>
      </c>
      <c r="C12991" s="4">
        <v>52589</v>
      </c>
      <c r="D12991" s="4">
        <v>17063726</v>
      </c>
    </row>
    <row r="12992" spans="1:4" x14ac:dyDescent="0.25">
      <c r="A12992" t="str">
        <f>T("   570210")</f>
        <v xml:space="preserve">   570210</v>
      </c>
      <c r="B12992" t="str">
        <f>T("   TAPIS DITS «KELIM» OU «KILIM», «SCHUMACKS» OU «SOUMAK», «KARAMANIE» ET TAPIS SIMILAIR")</f>
        <v xml:space="preserve">   TAPIS DITS «KELIM» OU «KILIM», «SCHUMACKS» OU «SOUMAK», «KARAMANIE» ET TAPIS SIMILAIR</v>
      </c>
      <c r="C12992" s="4">
        <v>7900</v>
      </c>
      <c r="D12992" s="4">
        <v>3265000</v>
      </c>
    </row>
    <row r="12993" spans="1:4" x14ac:dyDescent="0.25">
      <c r="A12993" t="str">
        <f>T("   570220")</f>
        <v xml:space="preserve">   570220</v>
      </c>
      <c r="B12993" t="str">
        <f>T("   REVETEMENTS DE SOL EN COCO")</f>
        <v xml:space="preserve">   REVETEMENTS DE SOL EN COCO</v>
      </c>
      <c r="C12993" s="4">
        <v>10685</v>
      </c>
      <c r="D12993" s="4">
        <v>6641172</v>
      </c>
    </row>
    <row r="12994" spans="1:4" x14ac:dyDescent="0.25">
      <c r="A12994" t="str">
        <f>T("   570231")</f>
        <v xml:space="preserve">   570231</v>
      </c>
      <c r="B12994" t="str">
        <f>T("   DE LAINE OU DE POILS FINS")</f>
        <v xml:space="preserve">   DE LAINE OU DE POILS FINS</v>
      </c>
      <c r="C12994" s="4">
        <v>53050</v>
      </c>
      <c r="D12994" s="4">
        <v>10911000</v>
      </c>
    </row>
    <row r="12995" spans="1:4" x14ac:dyDescent="0.25">
      <c r="A12995" t="str">
        <f>T("   570299")</f>
        <v xml:space="preserve">   570299</v>
      </c>
      <c r="B12995" t="str">
        <f>T("   D'AUTRES MATIERES TEXTILES")</f>
        <v xml:space="preserve">   D'AUTRES MATIERES TEXTILES</v>
      </c>
      <c r="C12995" s="4">
        <v>10088</v>
      </c>
      <c r="D12995" s="4">
        <v>16745238</v>
      </c>
    </row>
    <row r="12996" spans="1:4" x14ac:dyDescent="0.25">
      <c r="A12996" t="str">
        <f>T("   570320")</f>
        <v xml:space="preserve">   570320</v>
      </c>
      <c r="B12996" t="str">
        <f>T("   DE NYLON OU D'AUTRES POLYAMIDES")</f>
        <v xml:space="preserve">   DE NYLON OU D'AUTRES POLYAMIDES</v>
      </c>
      <c r="C12996" s="4">
        <v>1102</v>
      </c>
      <c r="D12996" s="4">
        <v>262391</v>
      </c>
    </row>
    <row r="12997" spans="1:4" x14ac:dyDescent="0.25">
      <c r="A12997" t="str">
        <f>T("   570330")</f>
        <v xml:space="preserve">   570330</v>
      </c>
      <c r="B12997" t="str">
        <f>T("   D'AUTRES MATIERES TEXTILES SYNTHETIQUES OU DE MATIERES TEXTILES ARTIFICIELLES")</f>
        <v xml:space="preserve">   D'AUTRES MATIERES TEXTILES SYNTHETIQUES OU DE MATIERES TEXTILES ARTIFICIELLES</v>
      </c>
      <c r="C12997" s="4">
        <v>46216</v>
      </c>
      <c r="D12997" s="4">
        <v>134515568</v>
      </c>
    </row>
    <row r="12998" spans="1:4" x14ac:dyDescent="0.25">
      <c r="A12998" t="str">
        <f>T("   570390")</f>
        <v xml:space="preserve">   570390</v>
      </c>
      <c r="B12998" t="str">
        <f>T("   D'AUTRES MATIERES TEXTILES")</f>
        <v xml:space="preserve">   D'AUTRES MATIERES TEXTILES</v>
      </c>
      <c r="C12998" s="4">
        <v>46866</v>
      </c>
      <c r="D12998" s="4">
        <v>18445775</v>
      </c>
    </row>
    <row r="12999" spans="1:4" x14ac:dyDescent="0.25">
      <c r="A12999" t="str">
        <f>T("   570490")</f>
        <v xml:space="preserve">   570490</v>
      </c>
      <c r="B12999" t="str">
        <f>T("   AUTRES")</f>
        <v xml:space="preserve">   AUTRES</v>
      </c>
      <c r="C12999" s="4">
        <v>119383</v>
      </c>
      <c r="D12999" s="4">
        <v>31238607</v>
      </c>
    </row>
    <row r="13000" spans="1:4" x14ac:dyDescent="0.25">
      <c r="A13000" t="str">
        <f>T("   570500")</f>
        <v xml:space="preserve">   570500</v>
      </c>
      <c r="B13000" t="str">
        <f>T("   AUTRES TAPIS ET REVETEMENTS DE SOL EN MATIERES TEXTILES, MEME CONFECTIONNES.")</f>
        <v xml:space="preserve">   AUTRES TAPIS ET REVETEMENTS DE SOL EN MATIERES TEXTILES, MEME CONFECTIONNES.</v>
      </c>
      <c r="C13000" s="4">
        <v>271471.46000000002</v>
      </c>
      <c r="D13000" s="4">
        <v>78613391</v>
      </c>
    </row>
    <row r="13001" spans="1:4" x14ac:dyDescent="0.25">
      <c r="A13001" t="str">
        <f>T("   580219")</f>
        <v xml:space="preserve">   580219</v>
      </c>
      <c r="B13001" t="str">
        <f>T("   AUTRES")</f>
        <v xml:space="preserve">   AUTRES</v>
      </c>
      <c r="C13001" s="4">
        <v>167303</v>
      </c>
      <c r="D13001" s="4">
        <v>98593899</v>
      </c>
    </row>
    <row r="13002" spans="1:4" x14ac:dyDescent="0.25">
      <c r="A13002" t="str">
        <f>T("   580410")</f>
        <v xml:space="preserve">   580410</v>
      </c>
      <c r="B13002" t="str">
        <f>T("   TULLES, TULLESBOBINOTS ET TISSUS A MAILLES NOUEES")</f>
        <v xml:space="preserve">   TULLES, TULLESBOBINOTS ET TISSUS A MAILLES NOUEES</v>
      </c>
      <c r="C13002" s="4">
        <v>20505</v>
      </c>
      <c r="D13002" s="4">
        <v>11754197</v>
      </c>
    </row>
    <row r="13003" spans="1:4" x14ac:dyDescent="0.25">
      <c r="A13003" t="str">
        <f>T("   580429")</f>
        <v xml:space="preserve">   580429</v>
      </c>
      <c r="B13003" t="str">
        <f>T("   D'AUTRES MATIERES TEXTILES")</f>
        <v xml:space="preserve">   D'AUTRES MATIERES TEXTILES</v>
      </c>
      <c r="C13003" s="4">
        <v>25070</v>
      </c>
      <c r="D13003" s="4">
        <v>11000000</v>
      </c>
    </row>
    <row r="13004" spans="1:4" x14ac:dyDescent="0.25">
      <c r="A13004" t="str">
        <f>T("   580631")</f>
        <v xml:space="preserve">   580631</v>
      </c>
      <c r="B13004" t="str">
        <f>T("   DE COTON")</f>
        <v xml:space="preserve">   DE COTON</v>
      </c>
      <c r="C13004" s="4">
        <v>1010</v>
      </c>
      <c r="D13004" s="4">
        <v>164811</v>
      </c>
    </row>
    <row r="13005" spans="1:4" x14ac:dyDescent="0.25">
      <c r="A13005" t="str">
        <f>T("   580639")</f>
        <v xml:space="preserve">   580639</v>
      </c>
      <c r="B13005" t="str">
        <f>T("   D'AUTRES MATIERES TEXTILES")</f>
        <v xml:space="preserve">   D'AUTRES MATIERES TEXTILES</v>
      </c>
      <c r="C13005" s="4">
        <v>10601</v>
      </c>
      <c r="D13005" s="4">
        <v>3731868</v>
      </c>
    </row>
    <row r="13006" spans="1:4" x14ac:dyDescent="0.25">
      <c r="A13006" t="str">
        <f>T("   580640")</f>
        <v xml:space="preserve">   580640</v>
      </c>
      <c r="B13006" t="str">
        <f>T("   RUBANS SANS TRAME, EN FILS OU FIBRES PARALLELISES ET ENCOLLES (BOLDUCS)")</f>
        <v xml:space="preserve">   RUBANS SANS TRAME, EN FILS OU FIBRES PARALLELISES ET ENCOLLES (BOLDUCS)</v>
      </c>
      <c r="C13006" s="4">
        <v>14</v>
      </c>
      <c r="D13006" s="4">
        <v>2486089</v>
      </c>
    </row>
    <row r="13007" spans="1:4" x14ac:dyDescent="0.25">
      <c r="A13007" t="str">
        <f>T("   580790")</f>
        <v xml:space="preserve">   580790</v>
      </c>
      <c r="B13007" t="str">
        <f>T("   AUTRES")</f>
        <v xml:space="preserve">   AUTRES</v>
      </c>
      <c r="C13007" s="4">
        <v>1315</v>
      </c>
      <c r="D13007" s="4">
        <v>3401466</v>
      </c>
    </row>
    <row r="13008" spans="1:4" x14ac:dyDescent="0.25">
      <c r="A13008" t="str">
        <f>T("   580890")</f>
        <v xml:space="preserve">   580890</v>
      </c>
      <c r="B13008" t="str">
        <f>T("   AUTRES")</f>
        <v xml:space="preserve">   AUTRES</v>
      </c>
      <c r="C13008" s="4">
        <v>17595</v>
      </c>
      <c r="D13008" s="4">
        <v>8216761</v>
      </c>
    </row>
    <row r="13009" spans="1:4" x14ac:dyDescent="0.25">
      <c r="A13009" t="str">
        <f>T("   581091")</f>
        <v xml:space="preserve">   581091</v>
      </c>
      <c r="B13009" t="str">
        <f>T("   DE COTON")</f>
        <v xml:space="preserve">   DE COTON</v>
      </c>
      <c r="C13009" s="4">
        <v>2402</v>
      </c>
      <c r="D13009" s="4">
        <v>4643900</v>
      </c>
    </row>
    <row r="13010" spans="1:4" x14ac:dyDescent="0.25">
      <c r="A13010" t="str">
        <f>T("   581099")</f>
        <v xml:space="preserve">   581099</v>
      </c>
      <c r="B13010" t="str">
        <f>T("   D'AUTRES MATIERES TEXTILES")</f>
        <v xml:space="preserve">   D'AUTRES MATIERES TEXTILES</v>
      </c>
      <c r="C13010" s="4">
        <v>1167389.3</v>
      </c>
      <c r="D13010" s="4">
        <v>621927024</v>
      </c>
    </row>
    <row r="13011" spans="1:4" x14ac:dyDescent="0.25">
      <c r="A13011" t="str">
        <f>T("   581100")</f>
        <v xml:space="preserve">   581100</v>
      </c>
      <c r="B13011" t="str">
        <f>T("   PRODUITS TEXTILES MATELASSES EN PIECES, CONSTITUES D'UNE OU PLUSIEURS COUCHES DE MATIER")</f>
        <v xml:space="preserve">   PRODUITS TEXTILES MATELASSES EN PIECES, CONSTITUES D'UNE OU PLUSIEURS COUCHES DE MATIER</v>
      </c>
      <c r="C13011" s="4">
        <v>274</v>
      </c>
      <c r="D13011" s="4">
        <v>2053811</v>
      </c>
    </row>
    <row r="13012" spans="1:4" x14ac:dyDescent="0.25">
      <c r="A13012" t="str">
        <f>T("   590110")</f>
        <v xml:space="preserve">   590110</v>
      </c>
      <c r="B13012" t="str">
        <f>T("   TISSUS ENDUITS DE COLLE OU DE MATIERES AMYLACEES, DES TYPES UTILISES POUR LA RELIURE,")</f>
        <v xml:space="preserve">   TISSUS ENDUITS DE COLLE OU DE MATIERES AMYLACEES, DES TYPES UTILISES POUR LA RELIURE,</v>
      </c>
      <c r="C13012" s="4">
        <v>20822</v>
      </c>
      <c r="D13012" s="4">
        <v>8580349</v>
      </c>
    </row>
    <row r="13013" spans="1:4" x14ac:dyDescent="0.25">
      <c r="A13013" t="str">
        <f>T("   590190")</f>
        <v xml:space="preserve">   590190</v>
      </c>
      <c r="B13013" t="str">
        <f>T("   AUTRES")</f>
        <v xml:space="preserve">   AUTRES</v>
      </c>
      <c r="C13013" s="4">
        <v>141599</v>
      </c>
      <c r="D13013" s="4">
        <v>113533574</v>
      </c>
    </row>
    <row r="13014" spans="1:4" x14ac:dyDescent="0.25">
      <c r="A13014" t="str">
        <f>T("   590310")</f>
        <v xml:space="preserve">   590310</v>
      </c>
      <c r="B13014" t="str">
        <f>T("   AVEC DU POLY(CHLORURE DE VINYLE)")</f>
        <v xml:space="preserve">   AVEC DU POLY(CHLORURE DE VINYLE)</v>
      </c>
      <c r="C13014" s="4">
        <v>80.930000000000007</v>
      </c>
      <c r="D13014" s="4">
        <v>43490</v>
      </c>
    </row>
    <row r="13015" spans="1:4" x14ac:dyDescent="0.25">
      <c r="A13015" t="str">
        <f>T("   590390")</f>
        <v xml:space="preserve">   590390</v>
      </c>
      <c r="B13015" t="str">
        <f>T("   AUTRES")</f>
        <v xml:space="preserve">   AUTRES</v>
      </c>
      <c r="C13015" s="4">
        <v>73506.7</v>
      </c>
      <c r="D13015" s="4">
        <v>76135446</v>
      </c>
    </row>
    <row r="13016" spans="1:4" x14ac:dyDescent="0.25">
      <c r="A13016" t="str">
        <f>T("   590490")</f>
        <v xml:space="preserve">   590490</v>
      </c>
      <c r="B13016" t="str">
        <f>T("   AUTRES")</f>
        <v xml:space="preserve">   AUTRES</v>
      </c>
      <c r="C13016" s="4">
        <v>17</v>
      </c>
      <c r="D13016" s="4">
        <v>96203</v>
      </c>
    </row>
    <row r="13017" spans="1:4" x14ac:dyDescent="0.25">
      <c r="A13017" t="str">
        <f>T("   590492")</f>
        <v xml:space="preserve">   590492</v>
      </c>
      <c r="B13017" t="str">
        <f>T("   REVETEMENT DE SOL AVEC UN AUTRE SUPPORT TEXTILE")</f>
        <v xml:space="preserve">   REVETEMENT DE SOL AVEC UN AUTRE SUPPORT TEXTILE</v>
      </c>
      <c r="C13017" s="4">
        <v>900</v>
      </c>
      <c r="D13017" s="4">
        <v>10920</v>
      </c>
    </row>
    <row r="13018" spans="1:4" x14ac:dyDescent="0.25">
      <c r="A13018" t="str">
        <f>T("   590610")</f>
        <v xml:space="preserve">   590610</v>
      </c>
      <c r="B13018" t="str">
        <f>T("   RUBANS ADHESIFS D'UNE LARGEUR N'EXCEDANT PAS 20 CM")</f>
        <v xml:space="preserve">   RUBANS ADHESIFS D'UNE LARGEUR N'EXCEDANT PAS 20 CM</v>
      </c>
      <c r="C13018" s="4">
        <v>13730</v>
      </c>
      <c r="D13018" s="4">
        <v>7647683</v>
      </c>
    </row>
    <row r="13019" spans="1:4" x14ac:dyDescent="0.25">
      <c r="A13019" t="str">
        <f>T("   590699")</f>
        <v xml:space="preserve">   590699</v>
      </c>
      <c r="B13019" t="str">
        <f>T("   AUTRES")</f>
        <v xml:space="preserve">   AUTRES</v>
      </c>
      <c r="C13019" s="4">
        <v>12</v>
      </c>
      <c r="D13019" s="4">
        <v>1623960</v>
      </c>
    </row>
    <row r="13020" spans="1:4" x14ac:dyDescent="0.25">
      <c r="A13020" t="str">
        <f>T("   590700")</f>
        <v xml:space="preserve">   590700</v>
      </c>
      <c r="B13020" t="str">
        <f>T("   AUTRES TISSUS IMPREGNES, ENDUITS OU RECOUVERTS; TOILES PEINTES POUR DECORS DE THEATRES,")</f>
        <v xml:space="preserve">   AUTRES TISSUS IMPREGNES, ENDUITS OU RECOUVERTS; TOILES PEINTES POUR DECORS DE THEATRES,</v>
      </c>
      <c r="C13020" s="4">
        <v>6706</v>
      </c>
      <c r="D13020" s="4">
        <v>5781289</v>
      </c>
    </row>
    <row r="13021" spans="1:4" x14ac:dyDescent="0.25">
      <c r="A13021" t="str">
        <f>T("   590900")</f>
        <v xml:space="preserve">   590900</v>
      </c>
      <c r="B13021" t="str">
        <f>T("   TUYAUX POUR POMPES ET TUYAUX SIMILAIRES, EN MATIERES TEXTILES, MEME AVEC ARMATURES OU A")</f>
        <v xml:space="preserve">   TUYAUX POUR POMPES ET TUYAUX SIMILAIRES, EN MATIERES TEXTILES, MEME AVEC ARMATURES OU A</v>
      </c>
      <c r="C13021" s="4">
        <v>85</v>
      </c>
      <c r="D13021" s="4">
        <v>1979268</v>
      </c>
    </row>
    <row r="13022" spans="1:4" x14ac:dyDescent="0.25">
      <c r="A13022" t="str">
        <f>T("   591000")</f>
        <v xml:space="preserve">   591000</v>
      </c>
      <c r="B13022" t="str">
        <f>T("   COURROIES TRANSPORTEUSES OU DE TRANSMISSION EN MATIERES TEXTILES, MEME IMPREGNEES, ENDU")</f>
        <v xml:space="preserve">   COURROIES TRANSPORTEUSES OU DE TRANSMISSION EN MATIERES TEXTILES, MEME IMPREGNEES, ENDU</v>
      </c>
      <c r="C13022" s="4">
        <v>24</v>
      </c>
      <c r="D13022" s="4">
        <v>663620</v>
      </c>
    </row>
    <row r="13023" spans="1:4" x14ac:dyDescent="0.25">
      <c r="A13023" t="str">
        <f>T("   591110")</f>
        <v xml:space="preserve">   591110</v>
      </c>
      <c r="B13023" t="str">
        <f>T("   TISSUS, FEUTRES ET TISSUS DOUBLES DE FEUTRE, COMBINES AVEC UNE OU PLUSIEURS COUCHES D")</f>
        <v xml:space="preserve">   TISSUS, FEUTRES ET TISSUS DOUBLES DE FEUTRE, COMBINES AVEC UNE OU PLUSIEURS COUCHES D</v>
      </c>
      <c r="C13023" s="4">
        <v>147</v>
      </c>
      <c r="D13023" s="4">
        <v>1936191</v>
      </c>
    </row>
    <row r="13024" spans="1:4" x14ac:dyDescent="0.25">
      <c r="A13024" t="str">
        <f>T("   591132")</f>
        <v xml:space="preserve">   591132</v>
      </c>
      <c r="B13024" t="str">
        <f>T("   D'UN POIDS AU M² EGAL OU SUPERIEUR A 650 G")</f>
        <v xml:space="preserve">   D'UN POIDS AU M² EGAL OU SUPERIEUR A 650 G</v>
      </c>
      <c r="C13024" s="4">
        <v>361</v>
      </c>
      <c r="D13024" s="4">
        <v>3838049</v>
      </c>
    </row>
    <row r="13025" spans="1:4" x14ac:dyDescent="0.25">
      <c r="A13025" t="str">
        <f>T("   591190")</f>
        <v xml:space="preserve">   591190</v>
      </c>
      <c r="B13025" t="str">
        <f>T("   AUTRES")</f>
        <v xml:space="preserve">   AUTRES</v>
      </c>
      <c r="C13025" s="4">
        <v>10921</v>
      </c>
      <c r="D13025" s="4">
        <v>22977284</v>
      </c>
    </row>
    <row r="13026" spans="1:4" x14ac:dyDescent="0.25">
      <c r="A13026" t="str">
        <f>T("   600290")</f>
        <v xml:space="preserve">   600290</v>
      </c>
      <c r="B13026" t="str">
        <f>T("   AUTRES")</f>
        <v xml:space="preserve">   AUTRES</v>
      </c>
      <c r="C13026" s="4">
        <v>44000</v>
      </c>
      <c r="D13026" s="4">
        <v>18569088</v>
      </c>
    </row>
    <row r="13027" spans="1:4" x14ac:dyDescent="0.25">
      <c r="A13027" t="str">
        <f>T("   600292")</f>
        <v xml:space="preserve">   600292</v>
      </c>
      <c r="B13027" t="str">
        <f>T("   AUTRES ETOFFES DE BONNETERIE EN COTON")</f>
        <v xml:space="preserve">   AUTRES ETOFFES DE BONNETERIE EN COTON</v>
      </c>
      <c r="C13027" s="4">
        <v>150</v>
      </c>
      <c r="D13027" s="4">
        <v>191250</v>
      </c>
    </row>
    <row r="13028" spans="1:4" x14ac:dyDescent="0.25">
      <c r="A13028" t="str">
        <f>T("   600522")</f>
        <v xml:space="preserve">   600522</v>
      </c>
      <c r="B13028" t="str">
        <f>T("   TEINTES")</f>
        <v xml:space="preserve">   TEINTES</v>
      </c>
      <c r="C13028" s="4">
        <v>1500</v>
      </c>
      <c r="D13028" s="4">
        <v>220000</v>
      </c>
    </row>
    <row r="13029" spans="1:4" x14ac:dyDescent="0.25">
      <c r="A13029" t="str">
        <f>T("   600532")</f>
        <v xml:space="preserve">   600532</v>
      </c>
      <c r="B13029" t="str">
        <f>T("   TEINTES")</f>
        <v xml:space="preserve">   TEINTES</v>
      </c>
      <c r="C13029" s="4">
        <v>419</v>
      </c>
      <c r="D13029" s="4">
        <v>704134</v>
      </c>
    </row>
    <row r="13030" spans="1:4" x14ac:dyDescent="0.25">
      <c r="A13030" t="str">
        <f>T("   610120")</f>
        <v xml:space="preserve">   610120</v>
      </c>
      <c r="B13030" t="str">
        <f>T("   DE COTON")</f>
        <v xml:space="preserve">   DE COTON</v>
      </c>
      <c r="C13030" s="4">
        <v>3524</v>
      </c>
      <c r="D13030" s="4">
        <v>772983</v>
      </c>
    </row>
    <row r="13031" spans="1:4" x14ac:dyDescent="0.25">
      <c r="A13031" t="str">
        <f>T("   610190")</f>
        <v xml:space="preserve">   610190</v>
      </c>
      <c r="B13031" t="str">
        <f>T("   D'AUTRES MATIERES TEXTILES")</f>
        <v xml:space="preserve">   D'AUTRES MATIERES TEXTILES</v>
      </c>
      <c r="C13031" s="4">
        <v>1166</v>
      </c>
      <c r="D13031" s="4">
        <v>2877256</v>
      </c>
    </row>
    <row r="13032" spans="1:4" x14ac:dyDescent="0.25">
      <c r="A13032" t="str">
        <f>T("   610210")</f>
        <v xml:space="preserve">   610210</v>
      </c>
      <c r="B13032" t="str">
        <f>T("   DE LAINE OU DE POILS FINS")</f>
        <v xml:space="preserve">   DE LAINE OU DE POILS FINS</v>
      </c>
      <c r="C13032" s="4">
        <v>3000</v>
      </c>
      <c r="D13032" s="4">
        <v>600000</v>
      </c>
    </row>
    <row r="13033" spans="1:4" x14ac:dyDescent="0.25">
      <c r="A13033" t="str">
        <f>T("   610220")</f>
        <v xml:space="preserve">   610220</v>
      </c>
      <c r="B13033" t="str">
        <f>T("   DE COTON")</f>
        <v xml:space="preserve">   DE COTON</v>
      </c>
      <c r="C13033" s="4">
        <v>2300</v>
      </c>
      <c r="D13033" s="4">
        <v>400000</v>
      </c>
    </row>
    <row r="13034" spans="1:4" x14ac:dyDescent="0.25">
      <c r="A13034" t="str">
        <f>T("   610290")</f>
        <v xml:space="preserve">   610290</v>
      </c>
      <c r="B13034" t="str">
        <f>T("   D'AUTRES MATIERES TEXTILES")</f>
        <v xml:space="preserve">   D'AUTRES MATIERES TEXTILES</v>
      </c>
      <c r="C13034" s="4">
        <v>4000</v>
      </c>
      <c r="D13034" s="4">
        <v>313557</v>
      </c>
    </row>
    <row r="13035" spans="1:4" x14ac:dyDescent="0.25">
      <c r="A13035" t="str">
        <f>T("   610310")</f>
        <v xml:space="preserve">   610310</v>
      </c>
      <c r="B13035" t="str">
        <f>T("   COSTUMES OU COMPLETS")</f>
        <v xml:space="preserve">   COSTUMES OU COMPLETS</v>
      </c>
      <c r="C13035" s="4">
        <v>5</v>
      </c>
      <c r="D13035" s="4">
        <v>268429</v>
      </c>
    </row>
    <row r="13036" spans="1:4" x14ac:dyDescent="0.25">
      <c r="A13036" t="str">
        <f>T("   610329")</f>
        <v xml:space="preserve">   610329</v>
      </c>
      <c r="B13036" t="str">
        <f>T("   D'AUTRES MATIERES TEXTILES")</f>
        <v xml:space="preserve">   D'AUTRES MATIERES TEXTILES</v>
      </c>
      <c r="C13036" s="4">
        <v>2062.9</v>
      </c>
      <c r="D13036" s="4">
        <v>2304089</v>
      </c>
    </row>
    <row r="13037" spans="1:4" x14ac:dyDescent="0.25">
      <c r="A13037" t="str">
        <f>T("   610332")</f>
        <v xml:space="preserve">   610332</v>
      </c>
      <c r="B13037" t="str">
        <f>T("   DE COTON")</f>
        <v xml:space="preserve">   DE COTON</v>
      </c>
      <c r="C13037" s="4">
        <v>921</v>
      </c>
      <c r="D13037" s="4">
        <v>5356858</v>
      </c>
    </row>
    <row r="13038" spans="1:4" x14ac:dyDescent="0.25">
      <c r="A13038" t="str">
        <f>T("   610339")</f>
        <v xml:space="preserve">   610339</v>
      </c>
      <c r="B13038" t="str">
        <f>T("   D'AUTRES MATIERES TEXTILES")</f>
        <v xml:space="preserve">   D'AUTRES MATIERES TEXTILES</v>
      </c>
      <c r="C13038" s="4">
        <v>12</v>
      </c>
      <c r="D13038" s="4">
        <v>74000</v>
      </c>
    </row>
    <row r="13039" spans="1:4" x14ac:dyDescent="0.25">
      <c r="A13039" t="str">
        <f>T("   610341")</f>
        <v xml:space="preserve">   610341</v>
      </c>
      <c r="B13039" t="str">
        <f>T("   DE LAINE OU DE POILS FINS")</f>
        <v xml:space="preserve">   DE LAINE OU DE POILS FINS</v>
      </c>
      <c r="C13039" s="4">
        <v>12000</v>
      </c>
      <c r="D13039" s="4">
        <v>4369198</v>
      </c>
    </row>
    <row r="13040" spans="1:4" x14ac:dyDescent="0.25">
      <c r="A13040" t="str">
        <f>T("   610342")</f>
        <v xml:space="preserve">   610342</v>
      </c>
      <c r="B13040" t="str">
        <f>T("   DE COTON")</f>
        <v xml:space="preserve">   DE COTON</v>
      </c>
      <c r="C13040" s="4">
        <v>47147</v>
      </c>
      <c r="D13040" s="4">
        <v>24038724</v>
      </c>
    </row>
    <row r="13041" spans="1:4" x14ac:dyDescent="0.25">
      <c r="A13041" t="str">
        <f>T("   610349")</f>
        <v xml:space="preserve">   610349</v>
      </c>
      <c r="B13041" t="str">
        <f>T("   D'AUTRES MATIERES TEXTILES")</f>
        <v xml:space="preserve">   D'AUTRES MATIERES TEXTILES</v>
      </c>
      <c r="C13041" s="4">
        <v>763</v>
      </c>
      <c r="D13041" s="4">
        <v>1570559</v>
      </c>
    </row>
    <row r="13042" spans="1:4" x14ac:dyDescent="0.25">
      <c r="A13042" t="str">
        <f>T("   610419")</f>
        <v xml:space="preserve">   610419</v>
      </c>
      <c r="B13042" t="str">
        <f>T("   D'AUTRES MATIERES TEXTILES")</f>
        <v xml:space="preserve">   D'AUTRES MATIERES TEXTILES</v>
      </c>
      <c r="C13042" s="4">
        <v>1190</v>
      </c>
      <c r="D13042" s="4">
        <v>1623141</v>
      </c>
    </row>
    <row r="13043" spans="1:4" x14ac:dyDescent="0.25">
      <c r="A13043" t="str">
        <f>T("   610429")</f>
        <v xml:space="preserve">   610429</v>
      </c>
      <c r="B13043" t="str">
        <f>T("   D'AUTRES MATIERES TEXTILES")</f>
        <v xml:space="preserve">   D'AUTRES MATIERES TEXTILES</v>
      </c>
      <c r="C13043" s="4">
        <v>10</v>
      </c>
      <c r="D13043" s="4">
        <v>381034</v>
      </c>
    </row>
    <row r="13044" spans="1:4" x14ac:dyDescent="0.25">
      <c r="A13044" t="str">
        <f>T("   610439")</f>
        <v xml:space="preserve">   610439</v>
      </c>
      <c r="B13044" t="str">
        <f>T("   D'AUTRES MATIERES TEXTILES")</f>
        <v xml:space="preserve">   D'AUTRES MATIERES TEXTILES</v>
      </c>
      <c r="C13044" s="4">
        <v>351</v>
      </c>
      <c r="D13044" s="4">
        <v>1170000</v>
      </c>
    </row>
    <row r="13045" spans="1:4" x14ac:dyDescent="0.25">
      <c r="A13045" t="str">
        <f>T("   610441")</f>
        <v xml:space="preserve">   610441</v>
      </c>
      <c r="B13045" t="str">
        <f>T("   DE LAINE OU DE POILS FINS")</f>
        <v xml:space="preserve">   DE LAINE OU DE POILS FINS</v>
      </c>
      <c r="C13045" s="4">
        <v>387</v>
      </c>
      <c r="D13045" s="4">
        <v>1072320</v>
      </c>
    </row>
    <row r="13046" spans="1:4" x14ac:dyDescent="0.25">
      <c r="A13046" t="str">
        <f>T("   610449")</f>
        <v xml:space="preserve">   610449</v>
      </c>
      <c r="B13046" t="str">
        <f>T("   D'AUTRES MATIERES TEXTILES")</f>
        <v xml:space="preserve">   D'AUTRES MATIERES TEXTILES</v>
      </c>
      <c r="C13046" s="4">
        <v>733</v>
      </c>
      <c r="D13046" s="4">
        <v>923592</v>
      </c>
    </row>
    <row r="13047" spans="1:4" x14ac:dyDescent="0.25">
      <c r="A13047" t="str">
        <f>T("   610469")</f>
        <v xml:space="preserve">   610469</v>
      </c>
      <c r="B13047" t="str">
        <f>T("   D'AUTRES MATIERES TEXTILES")</f>
        <v xml:space="preserve">   D'AUTRES MATIERES TEXTILES</v>
      </c>
      <c r="C13047" s="4">
        <v>13367</v>
      </c>
      <c r="D13047" s="4">
        <v>5081674</v>
      </c>
    </row>
    <row r="13048" spans="1:4" x14ac:dyDescent="0.25">
      <c r="A13048" t="str">
        <f>T("   610510")</f>
        <v xml:space="preserve">   610510</v>
      </c>
      <c r="B13048" t="str">
        <f>T("   DE COTON")</f>
        <v xml:space="preserve">   DE COTON</v>
      </c>
      <c r="C13048" s="4">
        <v>101976</v>
      </c>
      <c r="D13048" s="4">
        <v>35022406</v>
      </c>
    </row>
    <row r="13049" spans="1:4" x14ac:dyDescent="0.25">
      <c r="A13049" t="str">
        <f>T("   610520")</f>
        <v xml:space="preserve">   610520</v>
      </c>
      <c r="B13049" t="str">
        <f>T("   DE FIBRES SYNTHETIQUES OU ARTIFICIELLES")</f>
        <v xml:space="preserve">   DE FIBRES SYNTHETIQUES OU ARTIFICIELLES</v>
      </c>
      <c r="C13049" s="4">
        <v>215</v>
      </c>
      <c r="D13049" s="4">
        <v>148394</v>
      </c>
    </row>
    <row r="13050" spans="1:4" x14ac:dyDescent="0.25">
      <c r="A13050" t="str">
        <f>T("   610590")</f>
        <v xml:space="preserve">   610590</v>
      </c>
      <c r="B13050" t="str">
        <f t="shared" ref="B13050:B13055" si="10">T("   D'AUTRES MATIERES TEXTILES")</f>
        <v xml:space="preserve">   D'AUTRES MATIERES TEXTILES</v>
      </c>
      <c r="C13050" s="4">
        <v>77330</v>
      </c>
      <c r="D13050" s="4">
        <v>36556047</v>
      </c>
    </row>
    <row r="13051" spans="1:4" x14ac:dyDescent="0.25">
      <c r="A13051" t="str">
        <f>T("   610690")</f>
        <v xml:space="preserve">   610690</v>
      </c>
      <c r="B13051" t="str">
        <f t="shared" si="10"/>
        <v xml:space="preserve">   D'AUTRES MATIERES TEXTILES</v>
      </c>
      <c r="C13051" s="4">
        <v>9724.1</v>
      </c>
      <c r="D13051" s="4">
        <v>12390285</v>
      </c>
    </row>
    <row r="13052" spans="1:4" x14ac:dyDescent="0.25">
      <c r="A13052" t="str">
        <f>T("   610719")</f>
        <v xml:space="preserve">   610719</v>
      </c>
      <c r="B13052" t="str">
        <f t="shared" si="10"/>
        <v xml:space="preserve">   D'AUTRES MATIERES TEXTILES</v>
      </c>
      <c r="C13052" s="4">
        <v>24000</v>
      </c>
      <c r="D13052" s="4">
        <v>13100000</v>
      </c>
    </row>
    <row r="13053" spans="1:4" x14ac:dyDescent="0.25">
      <c r="A13053" t="str">
        <f>T("   610729")</f>
        <v xml:space="preserve">   610729</v>
      </c>
      <c r="B13053" t="str">
        <f t="shared" si="10"/>
        <v xml:space="preserve">   D'AUTRES MATIERES TEXTILES</v>
      </c>
      <c r="C13053" s="4">
        <v>360</v>
      </c>
      <c r="D13053" s="4">
        <v>162000</v>
      </c>
    </row>
    <row r="13054" spans="1:4" x14ac:dyDescent="0.25">
      <c r="A13054" t="str">
        <f>T("   610799")</f>
        <v xml:space="preserve">   610799</v>
      </c>
      <c r="B13054" t="str">
        <f t="shared" si="10"/>
        <v xml:space="preserve">   D'AUTRES MATIERES TEXTILES</v>
      </c>
      <c r="C13054" s="4">
        <v>500</v>
      </c>
      <c r="D13054" s="4">
        <v>200000</v>
      </c>
    </row>
    <row r="13055" spans="1:4" x14ac:dyDescent="0.25">
      <c r="A13055" t="str">
        <f>T("   610829")</f>
        <v xml:space="preserve">   610829</v>
      </c>
      <c r="B13055" t="str">
        <f t="shared" si="10"/>
        <v xml:space="preserve">   D'AUTRES MATIERES TEXTILES</v>
      </c>
      <c r="C13055" s="4">
        <v>12000</v>
      </c>
      <c r="D13055" s="4">
        <v>6550000</v>
      </c>
    </row>
    <row r="13056" spans="1:4" x14ac:dyDescent="0.25">
      <c r="A13056" t="str">
        <f>T("   610831")</f>
        <v xml:space="preserve">   610831</v>
      </c>
      <c r="B13056" t="str">
        <f>T("   DE COTON")</f>
        <v xml:space="preserve">   DE COTON</v>
      </c>
      <c r="C13056" s="4">
        <v>117</v>
      </c>
      <c r="D13056" s="4">
        <v>1476566</v>
      </c>
    </row>
    <row r="13057" spans="1:4" x14ac:dyDescent="0.25">
      <c r="A13057" t="str">
        <f>T("   610891")</f>
        <v xml:space="preserve">   610891</v>
      </c>
      <c r="B13057" t="str">
        <f>T("   DE COTON")</f>
        <v xml:space="preserve">   DE COTON</v>
      </c>
      <c r="C13057" s="4">
        <v>2</v>
      </c>
      <c r="D13057" s="4">
        <v>37698</v>
      </c>
    </row>
    <row r="13058" spans="1:4" x14ac:dyDescent="0.25">
      <c r="A13058" t="str">
        <f>T("   610899")</f>
        <v xml:space="preserve">   610899</v>
      </c>
      <c r="B13058" t="str">
        <f>T("   D'AUTRES MATIERES TEXTILES")</f>
        <v xml:space="preserve">   D'AUTRES MATIERES TEXTILES</v>
      </c>
      <c r="C13058" s="4">
        <v>215</v>
      </c>
      <c r="D13058" s="4">
        <v>183975</v>
      </c>
    </row>
    <row r="13059" spans="1:4" x14ac:dyDescent="0.25">
      <c r="A13059" t="str">
        <f>T("   610910")</f>
        <v xml:space="preserve">   610910</v>
      </c>
      <c r="B13059" t="str">
        <f>T("   DE COTON")</f>
        <v xml:space="preserve">   DE COTON</v>
      </c>
      <c r="C13059" s="4">
        <v>287461.42</v>
      </c>
      <c r="D13059" s="4">
        <v>310702909</v>
      </c>
    </row>
    <row r="13060" spans="1:4" x14ac:dyDescent="0.25">
      <c r="A13060" t="str">
        <f>T("   610990")</f>
        <v xml:space="preserve">   610990</v>
      </c>
      <c r="B13060" t="str">
        <f>T("   D'AUTRES MATIERES TEXTILES")</f>
        <v xml:space="preserve">   D'AUTRES MATIERES TEXTILES</v>
      </c>
      <c r="C13060" s="4">
        <v>3514508.5</v>
      </c>
      <c r="D13060" s="4">
        <v>811281222</v>
      </c>
    </row>
    <row r="13061" spans="1:4" x14ac:dyDescent="0.25">
      <c r="A13061" t="str">
        <f>T("   611019")</f>
        <v xml:space="preserve">   611019</v>
      </c>
      <c r="B13061" t="str">
        <f>T("   AUTRES")</f>
        <v xml:space="preserve">   AUTRES</v>
      </c>
      <c r="C13061" s="4">
        <v>1500</v>
      </c>
      <c r="D13061" s="4">
        <v>420000</v>
      </c>
    </row>
    <row r="13062" spans="1:4" x14ac:dyDescent="0.25">
      <c r="A13062" t="str">
        <f>T("   611020")</f>
        <v xml:space="preserve">   611020</v>
      </c>
      <c r="B13062" t="str">
        <f>T("   DE COTON")</f>
        <v xml:space="preserve">   DE COTON</v>
      </c>
      <c r="C13062" s="4">
        <v>960</v>
      </c>
      <c r="D13062" s="4">
        <v>2062634</v>
      </c>
    </row>
    <row r="13063" spans="1:4" x14ac:dyDescent="0.25">
      <c r="A13063" t="str">
        <f>T("   611090")</f>
        <v xml:space="preserve">   611090</v>
      </c>
      <c r="B13063" t="str">
        <f>T("   D’AUTRES MATIERES TEXTILES")</f>
        <v xml:space="preserve">   D’AUTRES MATIERES TEXTILES</v>
      </c>
      <c r="C13063" s="4">
        <v>80</v>
      </c>
      <c r="D13063" s="4">
        <v>629721</v>
      </c>
    </row>
    <row r="13064" spans="1:4" x14ac:dyDescent="0.25">
      <c r="A13064" t="str">
        <f>T("   611120")</f>
        <v xml:space="preserve">   611120</v>
      </c>
      <c r="B13064" t="str">
        <f>T("   DE COTON")</f>
        <v xml:space="preserve">   DE COTON</v>
      </c>
      <c r="C13064" s="4">
        <v>386</v>
      </c>
      <c r="D13064" s="4">
        <v>1285277</v>
      </c>
    </row>
    <row r="13065" spans="1:4" x14ac:dyDescent="0.25">
      <c r="A13065" t="str">
        <f>T("   611190")</f>
        <v xml:space="preserve">   611190</v>
      </c>
      <c r="B13065" t="str">
        <f>T("   D'AUTRES MATIERES TEXTILES")</f>
        <v xml:space="preserve">   D'AUTRES MATIERES TEXTILES</v>
      </c>
      <c r="C13065" s="4">
        <v>2797</v>
      </c>
      <c r="D13065" s="4">
        <v>6340846</v>
      </c>
    </row>
    <row r="13066" spans="1:4" x14ac:dyDescent="0.25">
      <c r="A13066" t="str">
        <f>T("   611300")</f>
        <v xml:space="preserve">   611300</v>
      </c>
      <c r="B13066" t="str">
        <f>T("   VETEMENTS CONFECTIONNES EN ETOFFES DE BONNETERIE DES N°S 59.03, 59.06 OU 59.07.")</f>
        <v xml:space="preserve">   VETEMENTS CONFECTIONNES EN ETOFFES DE BONNETERIE DES N°S 59.03, 59.06 OU 59.07.</v>
      </c>
      <c r="C13066" s="4">
        <v>4066.6</v>
      </c>
      <c r="D13066" s="4">
        <v>2978310</v>
      </c>
    </row>
    <row r="13067" spans="1:4" x14ac:dyDescent="0.25">
      <c r="A13067" t="str">
        <f>T("   611420")</f>
        <v xml:space="preserve">   611420</v>
      </c>
      <c r="B13067" t="str">
        <f>T("   DE COTON")</f>
        <v xml:space="preserve">   DE COTON</v>
      </c>
      <c r="C13067" s="4">
        <v>491</v>
      </c>
      <c r="D13067" s="4">
        <v>1899229</v>
      </c>
    </row>
    <row r="13068" spans="1:4" x14ac:dyDescent="0.25">
      <c r="A13068" t="str">
        <f>T("   611490")</f>
        <v xml:space="preserve">   611490</v>
      </c>
      <c r="B13068" t="str">
        <f>T("   D'AUTRES MATIERES TEXTILES")</f>
        <v xml:space="preserve">   D'AUTRES MATIERES TEXTILES</v>
      </c>
      <c r="C13068" s="4">
        <v>211401</v>
      </c>
      <c r="D13068" s="4">
        <v>117307717</v>
      </c>
    </row>
    <row r="13069" spans="1:4" x14ac:dyDescent="0.25">
      <c r="A13069" t="str">
        <f>T("   611519")</f>
        <v xml:space="preserve">   611519</v>
      </c>
      <c r="B13069" t="str">
        <f>T("   COLLANTS EN BONNETERIE D'AUTRES MATIERES TEXTILES")</f>
        <v xml:space="preserve">   COLLANTS EN BONNETERIE D'AUTRES MATIERES TEXTILES</v>
      </c>
      <c r="C13069" s="4">
        <v>8091</v>
      </c>
      <c r="D13069" s="4">
        <v>13446260</v>
      </c>
    </row>
    <row r="13070" spans="1:4" x14ac:dyDescent="0.25">
      <c r="A13070" t="str">
        <f>T("   611599")</f>
        <v xml:space="preserve">   611599</v>
      </c>
      <c r="B13070" t="str">
        <f>T("   D'AUTRES MATIERES TEXTILES")</f>
        <v xml:space="preserve">   D'AUTRES MATIERES TEXTILES</v>
      </c>
      <c r="C13070" s="4">
        <v>22817</v>
      </c>
      <c r="D13070" s="4">
        <v>14483887</v>
      </c>
    </row>
    <row r="13071" spans="1:4" x14ac:dyDescent="0.25">
      <c r="A13071" t="str">
        <f>T("   611610")</f>
        <v xml:space="preserve">   611610</v>
      </c>
      <c r="B13071" t="str">
        <f>T("   IMPREGNES, ENDUITS OU RECOUVERTS DE MATIERES PLASTIQUES OU DE CAOUTCHOUC")</f>
        <v xml:space="preserve">   IMPREGNES, ENDUITS OU RECOUVERTS DE MATIERES PLASTIQUES OU DE CAOUTCHOUC</v>
      </c>
      <c r="C13071" s="4">
        <v>717.4</v>
      </c>
      <c r="D13071" s="4">
        <v>7955356</v>
      </c>
    </row>
    <row r="13072" spans="1:4" x14ac:dyDescent="0.25">
      <c r="A13072" t="str">
        <f>T("   611691")</f>
        <v xml:space="preserve">   611691</v>
      </c>
      <c r="B13072" t="str">
        <f>T("   DE LAINE OU DE POILS FINS")</f>
        <v xml:space="preserve">   DE LAINE OU DE POILS FINS</v>
      </c>
      <c r="C13072" s="4">
        <v>732</v>
      </c>
      <c r="D13072" s="4">
        <v>386000</v>
      </c>
    </row>
    <row r="13073" spans="1:4" x14ac:dyDescent="0.25">
      <c r="A13073" t="str">
        <f>T("   611693")</f>
        <v xml:space="preserve">   611693</v>
      </c>
      <c r="B13073" t="str">
        <f>T("   DE FIBRES SYNTHETIQUES")</f>
        <v xml:space="preserve">   DE FIBRES SYNTHETIQUES</v>
      </c>
      <c r="C13073" s="4">
        <v>11</v>
      </c>
      <c r="D13073" s="4">
        <v>169632</v>
      </c>
    </row>
    <row r="13074" spans="1:4" x14ac:dyDescent="0.25">
      <c r="A13074" t="str">
        <f>T("   611699")</f>
        <v xml:space="preserve">   611699</v>
      </c>
      <c r="B13074" t="str">
        <f>T("   D'AUTRES MATIERES TEXTILES")</f>
        <v xml:space="preserve">   D'AUTRES MATIERES TEXTILES</v>
      </c>
      <c r="C13074" s="4">
        <v>78</v>
      </c>
      <c r="D13074" s="4">
        <v>373743</v>
      </c>
    </row>
    <row r="13075" spans="1:4" x14ac:dyDescent="0.25">
      <c r="A13075" t="str">
        <f>T("   611710")</f>
        <v xml:space="preserve">   611710</v>
      </c>
      <c r="B13075" t="str">
        <f>T("   CHALES, ECHARPES, FOULARDS, CACHENEZ, CACHECOL, MANTILLES, VOILES, VOILETTES ET ART")</f>
        <v xml:space="preserve">   CHALES, ECHARPES, FOULARDS, CACHENEZ, CACHECOL, MANTILLES, VOILES, VOILETTES ET ART</v>
      </c>
      <c r="C13075" s="4">
        <v>11213</v>
      </c>
      <c r="D13075" s="4">
        <v>6704000</v>
      </c>
    </row>
    <row r="13076" spans="1:4" x14ac:dyDescent="0.25">
      <c r="A13076" t="str">
        <f>T("   611780")</f>
        <v xml:space="preserve">   611780</v>
      </c>
      <c r="B13076" t="str">
        <f>T("   AUTRES ACCESSOIRES")</f>
        <v xml:space="preserve">   AUTRES ACCESSOIRES</v>
      </c>
      <c r="C13076" s="4">
        <v>21817</v>
      </c>
      <c r="D13076" s="4">
        <v>6746731</v>
      </c>
    </row>
    <row r="13077" spans="1:4" x14ac:dyDescent="0.25">
      <c r="A13077" t="str">
        <f>T("   611790")</f>
        <v xml:space="preserve">   611790</v>
      </c>
      <c r="B13077" t="str">
        <f>T("   PARTIES")</f>
        <v xml:space="preserve">   PARTIES</v>
      </c>
      <c r="C13077" s="4">
        <v>12057</v>
      </c>
      <c r="D13077" s="4">
        <v>6942457</v>
      </c>
    </row>
    <row r="13078" spans="1:4" x14ac:dyDescent="0.25">
      <c r="A13078" t="str">
        <f>T("   620111")</f>
        <v xml:space="preserve">   620111</v>
      </c>
      <c r="B13078" t="str">
        <f>T("   DE LAINE OU DE POILS FINS")</f>
        <v xml:space="preserve">   DE LAINE OU DE POILS FINS</v>
      </c>
      <c r="C13078" s="4">
        <v>298</v>
      </c>
      <c r="D13078" s="4">
        <v>13481463</v>
      </c>
    </row>
    <row r="13079" spans="1:4" x14ac:dyDescent="0.25">
      <c r="A13079" t="str">
        <f>T("   620113")</f>
        <v xml:space="preserve">   620113</v>
      </c>
      <c r="B13079" t="str">
        <f>T("   DE FIBRES SYNTHETIQUES OU ARTIFICIELLES")</f>
        <v xml:space="preserve">   DE FIBRES SYNTHETIQUES OU ARTIFICIELLES</v>
      </c>
      <c r="C13079" s="4">
        <v>2608</v>
      </c>
      <c r="D13079" s="4">
        <v>1150753</v>
      </c>
    </row>
    <row r="13080" spans="1:4" x14ac:dyDescent="0.25">
      <c r="A13080" t="str">
        <f>T("   620119")</f>
        <v xml:space="preserve">   620119</v>
      </c>
      <c r="B13080" t="str">
        <f>T("   D'AUTRES MATIERES TEXTILES")</f>
        <v xml:space="preserve">   D'AUTRES MATIERES TEXTILES</v>
      </c>
      <c r="C13080" s="4">
        <v>1094</v>
      </c>
      <c r="D13080" s="4">
        <v>1303163</v>
      </c>
    </row>
    <row r="13081" spans="1:4" x14ac:dyDescent="0.25">
      <c r="A13081" t="str">
        <f>T("   620192")</f>
        <v xml:space="preserve">   620192</v>
      </c>
      <c r="B13081" t="str">
        <f>T("   DE COTON")</f>
        <v xml:space="preserve">   DE COTON</v>
      </c>
      <c r="C13081" s="4">
        <v>64</v>
      </c>
      <c r="D13081" s="4">
        <v>41750</v>
      </c>
    </row>
    <row r="13082" spans="1:4" x14ac:dyDescent="0.25">
      <c r="A13082" t="str">
        <f>T("   620193")</f>
        <v xml:space="preserve">   620193</v>
      </c>
      <c r="B13082" t="str">
        <f>T("   DE FIBRES SYNTHETIQUES OU ARTIFICIELLES")</f>
        <v xml:space="preserve">   DE FIBRES SYNTHETIQUES OU ARTIFICIELLES</v>
      </c>
      <c r="C13082" s="4">
        <v>2340</v>
      </c>
      <c r="D13082" s="4">
        <v>655729</v>
      </c>
    </row>
    <row r="13083" spans="1:4" x14ac:dyDescent="0.25">
      <c r="A13083" t="str">
        <f>T("   620199")</f>
        <v xml:space="preserve">   620199</v>
      </c>
      <c r="B13083" t="str">
        <f>T("   D'AUTRES MATIERES TEXTILES")</f>
        <v xml:space="preserve">   D'AUTRES MATIERES TEXTILES</v>
      </c>
      <c r="C13083" s="4">
        <v>1849</v>
      </c>
      <c r="D13083" s="4">
        <v>1101405</v>
      </c>
    </row>
    <row r="13084" spans="1:4" x14ac:dyDescent="0.25">
      <c r="A13084" t="str">
        <f>T("   620213")</f>
        <v xml:space="preserve">   620213</v>
      </c>
      <c r="B13084" t="str">
        <f>T("   DE FIBRES SYNTHETIQUES OU ARTIFICIELLES")</f>
        <v xml:space="preserve">   DE FIBRES SYNTHETIQUES OU ARTIFICIELLES</v>
      </c>
      <c r="C13084" s="4">
        <v>5022</v>
      </c>
      <c r="D13084" s="4">
        <v>1138747</v>
      </c>
    </row>
    <row r="13085" spans="1:4" x14ac:dyDescent="0.25">
      <c r="A13085" t="str">
        <f>T("   620299")</f>
        <v xml:space="preserve">   620299</v>
      </c>
      <c r="B13085" t="str">
        <f>T("   D'AUTRES MATIERES TEXTILES")</f>
        <v xml:space="preserve">   D'AUTRES MATIERES TEXTILES</v>
      </c>
      <c r="C13085" s="4">
        <v>1079</v>
      </c>
      <c r="D13085" s="4">
        <v>241440</v>
      </c>
    </row>
    <row r="13086" spans="1:4" x14ac:dyDescent="0.25">
      <c r="A13086" t="str">
        <f>T("   620311")</f>
        <v xml:space="preserve">   620311</v>
      </c>
      <c r="B13086" t="str">
        <f>T("   DE LAINE OU DE POILS FINS")</f>
        <v xml:space="preserve">   DE LAINE OU DE POILS FINS</v>
      </c>
      <c r="C13086" s="4">
        <v>1739</v>
      </c>
      <c r="D13086" s="4">
        <v>5806735</v>
      </c>
    </row>
    <row r="13087" spans="1:4" x14ac:dyDescent="0.25">
      <c r="A13087" t="str">
        <f>T("   620319")</f>
        <v xml:space="preserve">   620319</v>
      </c>
      <c r="B13087" t="str">
        <f>T("   D'AUTRES MATIERES TEXTILES")</f>
        <v xml:space="preserve">   D'AUTRES MATIERES TEXTILES</v>
      </c>
      <c r="C13087" s="4">
        <v>3758</v>
      </c>
      <c r="D13087" s="4">
        <v>8159398</v>
      </c>
    </row>
    <row r="13088" spans="1:4" x14ac:dyDescent="0.25">
      <c r="A13088" t="str">
        <f>T("   620322")</f>
        <v xml:space="preserve">   620322</v>
      </c>
      <c r="B13088" t="str">
        <f>T("   DE COTON")</f>
        <v xml:space="preserve">   DE COTON</v>
      </c>
      <c r="C13088" s="4">
        <v>43186.400000000001</v>
      </c>
      <c r="D13088" s="4">
        <v>6475989</v>
      </c>
    </row>
    <row r="13089" spans="1:4" x14ac:dyDescent="0.25">
      <c r="A13089" t="str">
        <f>T("   620329")</f>
        <v xml:space="preserve">   620329</v>
      </c>
      <c r="B13089" t="str">
        <f>T("   D'AUTRES MATIERES TEXTILES")</f>
        <v xml:space="preserve">   D'AUTRES MATIERES TEXTILES</v>
      </c>
      <c r="C13089" s="4">
        <v>6189.6</v>
      </c>
      <c r="D13089" s="4">
        <v>2339307</v>
      </c>
    </row>
    <row r="13090" spans="1:4" x14ac:dyDescent="0.25">
      <c r="A13090" t="str">
        <f>T("   620339")</f>
        <v xml:space="preserve">   620339</v>
      </c>
      <c r="B13090" t="str">
        <f>T("   D'AUTRES MATIERES TEXTILES")</f>
        <v xml:space="preserve">   D'AUTRES MATIERES TEXTILES</v>
      </c>
      <c r="C13090" s="4">
        <v>111416</v>
      </c>
      <c r="D13090" s="4">
        <v>46090280</v>
      </c>
    </row>
    <row r="13091" spans="1:4" x14ac:dyDescent="0.25">
      <c r="A13091" t="str">
        <f>T("   620341")</f>
        <v xml:space="preserve">   620341</v>
      </c>
      <c r="B13091" t="str">
        <f>T("   DE LAINE OU DE POILS FINS")</f>
        <v xml:space="preserve">   DE LAINE OU DE POILS FINS</v>
      </c>
      <c r="C13091" s="4">
        <v>56</v>
      </c>
      <c r="D13091" s="4">
        <v>187605</v>
      </c>
    </row>
    <row r="13092" spans="1:4" x14ac:dyDescent="0.25">
      <c r="A13092" t="str">
        <f>T("   620342")</f>
        <v xml:space="preserve">   620342</v>
      </c>
      <c r="B13092" t="str">
        <f>T("   DE COTON")</f>
        <v xml:space="preserve">   DE COTON</v>
      </c>
      <c r="C13092" s="4">
        <v>782122</v>
      </c>
      <c r="D13092" s="4">
        <v>357966155</v>
      </c>
    </row>
    <row r="13093" spans="1:4" x14ac:dyDescent="0.25">
      <c r="A13093" t="str">
        <f>T("   620343")</f>
        <v xml:space="preserve">   620343</v>
      </c>
      <c r="B13093" t="str">
        <f>T("   DE FIBRES SYNTHETIQUES")</f>
        <v xml:space="preserve">   DE FIBRES SYNTHETIQUES</v>
      </c>
      <c r="C13093" s="4">
        <v>390</v>
      </c>
      <c r="D13093" s="4">
        <v>2701898</v>
      </c>
    </row>
    <row r="13094" spans="1:4" x14ac:dyDescent="0.25">
      <c r="A13094" t="str">
        <f>T("   620349")</f>
        <v xml:space="preserve">   620349</v>
      </c>
      <c r="B13094" t="str">
        <f>T("   D'AUTRES MATIERES TEXTILES")</f>
        <v xml:space="preserve">   D'AUTRES MATIERES TEXTILES</v>
      </c>
      <c r="C13094" s="4">
        <v>416939</v>
      </c>
      <c r="D13094" s="4">
        <v>194594713</v>
      </c>
    </row>
    <row r="13095" spans="1:4" x14ac:dyDescent="0.25">
      <c r="A13095" t="str">
        <f>T("   620411")</f>
        <v xml:space="preserve">   620411</v>
      </c>
      <c r="B13095" t="str">
        <f>T("   DE LAINE OU DE POILS FINS")</f>
        <v xml:space="preserve">   DE LAINE OU DE POILS FINS</v>
      </c>
      <c r="C13095" s="4">
        <v>377</v>
      </c>
      <c r="D13095" s="4">
        <v>600000</v>
      </c>
    </row>
    <row r="13096" spans="1:4" x14ac:dyDescent="0.25">
      <c r="A13096" t="str">
        <f>T("   620412")</f>
        <v xml:space="preserve">   620412</v>
      </c>
      <c r="B13096" t="str">
        <f>T("   DE COTON")</f>
        <v xml:space="preserve">   DE COTON</v>
      </c>
      <c r="C13096" s="4">
        <v>5823</v>
      </c>
      <c r="D13096" s="4">
        <v>5090809</v>
      </c>
    </row>
    <row r="13097" spans="1:4" x14ac:dyDescent="0.25">
      <c r="A13097" t="str">
        <f>T("   620419")</f>
        <v xml:space="preserve">   620419</v>
      </c>
      <c r="B13097" t="str">
        <f>T("   D'AUTRES MATIERES TEXTILES")</f>
        <v xml:space="preserve">   D'AUTRES MATIERES TEXTILES</v>
      </c>
      <c r="C13097" s="4">
        <v>152</v>
      </c>
      <c r="D13097" s="4">
        <v>4982967</v>
      </c>
    </row>
    <row r="13098" spans="1:4" x14ac:dyDescent="0.25">
      <c r="A13098" t="str">
        <f>T("   620429")</f>
        <v xml:space="preserve">   620429</v>
      </c>
      <c r="B13098" t="str">
        <f>T("   D'AUTRES MATIERES TEXTILES")</f>
        <v xml:space="preserve">   D'AUTRES MATIERES TEXTILES</v>
      </c>
      <c r="C13098" s="4">
        <v>932</v>
      </c>
      <c r="D13098" s="4">
        <v>4786262</v>
      </c>
    </row>
    <row r="13099" spans="1:4" x14ac:dyDescent="0.25">
      <c r="A13099" t="str">
        <f>T("   620439")</f>
        <v xml:space="preserve">   620439</v>
      </c>
      <c r="B13099" t="str">
        <f>T("   D'AUTRES MATIERES TEXTILES")</f>
        <v xml:space="preserve">   D'AUTRES MATIERES TEXTILES</v>
      </c>
      <c r="C13099" s="4">
        <v>154</v>
      </c>
      <c r="D13099" s="4">
        <v>734676</v>
      </c>
    </row>
    <row r="13100" spans="1:4" x14ac:dyDescent="0.25">
      <c r="A13100" t="str">
        <f>T("   620441")</f>
        <v xml:space="preserve">   620441</v>
      </c>
      <c r="B13100" t="str">
        <f>T("   DE LAINE OU DE POILS FINS")</f>
        <v xml:space="preserve">   DE LAINE OU DE POILS FINS</v>
      </c>
      <c r="C13100" s="4">
        <v>345</v>
      </c>
      <c r="D13100" s="4">
        <v>1186632</v>
      </c>
    </row>
    <row r="13101" spans="1:4" x14ac:dyDescent="0.25">
      <c r="A13101" t="str">
        <f>T("   620442")</f>
        <v xml:space="preserve">   620442</v>
      </c>
      <c r="B13101" t="str">
        <f>T("   DE COTON")</f>
        <v xml:space="preserve">   DE COTON</v>
      </c>
      <c r="C13101" s="4">
        <v>111</v>
      </c>
      <c r="D13101" s="4">
        <v>4139979</v>
      </c>
    </row>
    <row r="13102" spans="1:4" x14ac:dyDescent="0.25">
      <c r="A13102" t="str">
        <f>T("   620449")</f>
        <v xml:space="preserve">   620449</v>
      </c>
      <c r="B13102" t="str">
        <f>T("   D'AUTRES MATIERES TEXTILES")</f>
        <v xml:space="preserve">   D'AUTRES MATIERES TEXTILES</v>
      </c>
      <c r="C13102" s="4">
        <v>1143</v>
      </c>
      <c r="D13102" s="4">
        <v>3962656</v>
      </c>
    </row>
    <row r="13103" spans="1:4" x14ac:dyDescent="0.25">
      <c r="A13103" t="str">
        <f>T("   620459")</f>
        <v xml:space="preserve">   620459</v>
      </c>
      <c r="B13103" t="str">
        <f>T("   D'AUTRES MATIERES TEXTILES")</f>
        <v xml:space="preserve">   D'AUTRES MATIERES TEXTILES</v>
      </c>
      <c r="C13103" s="4">
        <v>334</v>
      </c>
      <c r="D13103" s="4">
        <v>2956412</v>
      </c>
    </row>
    <row r="13104" spans="1:4" x14ac:dyDescent="0.25">
      <c r="A13104" t="str">
        <f>T("   620469")</f>
        <v xml:space="preserve">   620469</v>
      </c>
      <c r="B13104" t="str">
        <f>T("   D'AUTRES MATIERES TEXTILES")</f>
        <v xml:space="preserve">   D'AUTRES MATIERES TEXTILES</v>
      </c>
      <c r="C13104" s="4">
        <v>14000</v>
      </c>
      <c r="D13104" s="4">
        <v>8210704</v>
      </c>
    </row>
    <row r="13105" spans="1:4" x14ac:dyDescent="0.25">
      <c r="A13105" t="str">
        <f>T("   620520")</f>
        <v xml:space="preserve">   620520</v>
      </c>
      <c r="B13105" t="str">
        <f>T("   DE COTON")</f>
        <v xml:space="preserve">   DE COTON</v>
      </c>
      <c r="C13105" s="4">
        <v>21657</v>
      </c>
      <c r="D13105" s="4">
        <v>47905755</v>
      </c>
    </row>
    <row r="13106" spans="1:4" x14ac:dyDescent="0.25">
      <c r="A13106" t="str">
        <f>T("   620530")</f>
        <v xml:space="preserve">   620530</v>
      </c>
      <c r="B13106" t="str">
        <f>T("   DE FIBRES SYNTHETIQUES OU ARTIFICIELLES")</f>
        <v xml:space="preserve">   DE FIBRES SYNTHETIQUES OU ARTIFICIELLES</v>
      </c>
      <c r="C13106" s="4">
        <v>553.17999999999995</v>
      </c>
      <c r="D13106" s="4">
        <v>4015327</v>
      </c>
    </row>
    <row r="13107" spans="1:4" x14ac:dyDescent="0.25">
      <c r="A13107" t="str">
        <f>T("   620590")</f>
        <v xml:space="preserve">   620590</v>
      </c>
      <c r="B13107" t="str">
        <f>T("   D'AUTRES MATIERES TEXTILES")</f>
        <v xml:space="preserve">   D'AUTRES MATIERES TEXTILES</v>
      </c>
      <c r="C13107" s="4">
        <v>379487.2</v>
      </c>
      <c r="D13107" s="4">
        <v>204180999</v>
      </c>
    </row>
    <row r="13108" spans="1:4" x14ac:dyDescent="0.25">
      <c r="A13108" t="str">
        <f>T("   620630")</f>
        <v xml:space="preserve">   620630</v>
      </c>
      <c r="B13108" t="str">
        <f>T("   DE COTON")</f>
        <v xml:space="preserve">   DE COTON</v>
      </c>
      <c r="C13108" s="4">
        <v>105</v>
      </c>
      <c r="D13108" s="4">
        <v>8789764</v>
      </c>
    </row>
    <row r="13109" spans="1:4" x14ac:dyDescent="0.25">
      <c r="A13109" t="str">
        <f>T("   620690")</f>
        <v xml:space="preserve">   620690</v>
      </c>
      <c r="B13109" t="str">
        <f>T("   D'AUTRES MATIERES TEXTILES")</f>
        <v xml:space="preserve">   D'AUTRES MATIERES TEXTILES</v>
      </c>
      <c r="C13109" s="4">
        <v>3684</v>
      </c>
      <c r="D13109" s="4">
        <v>4359569</v>
      </c>
    </row>
    <row r="13110" spans="1:4" x14ac:dyDescent="0.25">
      <c r="A13110" t="str">
        <f>T("   620799")</f>
        <v xml:space="preserve">   620799</v>
      </c>
      <c r="B13110" t="str">
        <f>T("   D'AUTRES MATIERES TEXTILES")</f>
        <v xml:space="preserve">   D'AUTRES MATIERES TEXTILES</v>
      </c>
      <c r="C13110" s="4">
        <v>15040</v>
      </c>
      <c r="D13110" s="4">
        <v>8868352</v>
      </c>
    </row>
    <row r="13111" spans="1:4" x14ac:dyDescent="0.25">
      <c r="A13111" t="str">
        <f>T("   620811")</f>
        <v xml:space="preserve">   620811</v>
      </c>
      <c r="B13111" t="str">
        <f>T("   DE FIBRES SYNTHETIQUES OU ARTIFICIELLES")</f>
        <v xml:space="preserve">   DE FIBRES SYNTHETIQUES OU ARTIFICIELLES</v>
      </c>
      <c r="C13111" s="4">
        <v>7000</v>
      </c>
      <c r="D13111" s="4">
        <v>1966139</v>
      </c>
    </row>
    <row r="13112" spans="1:4" x14ac:dyDescent="0.25">
      <c r="A13112" t="str">
        <f>T("   620819")</f>
        <v xml:space="preserve">   620819</v>
      </c>
      <c r="B13112" t="str">
        <f>T("   D'AUTRES MATIERES TEXTILES")</f>
        <v xml:space="preserve">   D'AUTRES MATIERES TEXTILES</v>
      </c>
      <c r="C13112" s="4">
        <v>21752</v>
      </c>
      <c r="D13112" s="4">
        <v>199446290</v>
      </c>
    </row>
    <row r="13113" spans="1:4" x14ac:dyDescent="0.25">
      <c r="A13113" t="str">
        <f>T("   620822")</f>
        <v xml:space="preserve">   620822</v>
      </c>
      <c r="B13113" t="str">
        <f>T("   DE FIBRES SYNTHETIQUES OU ARTIFICIELLES")</f>
        <v xml:space="preserve">   DE FIBRES SYNTHETIQUES OU ARTIFICIELLES</v>
      </c>
      <c r="C13113" s="4">
        <v>554</v>
      </c>
      <c r="D13113" s="4">
        <v>2595633</v>
      </c>
    </row>
    <row r="13114" spans="1:4" x14ac:dyDescent="0.25">
      <c r="A13114" t="str">
        <f>T("   620829")</f>
        <v xml:space="preserve">   620829</v>
      </c>
      <c r="B13114" t="str">
        <f>T("   D'AUTRES MATIERES TEXTILES")</f>
        <v xml:space="preserve">   D'AUTRES MATIERES TEXTILES</v>
      </c>
      <c r="C13114" s="4">
        <v>28559</v>
      </c>
      <c r="D13114" s="4">
        <v>14622830</v>
      </c>
    </row>
    <row r="13115" spans="1:4" x14ac:dyDescent="0.25">
      <c r="A13115" t="str">
        <f>T("   620891")</f>
        <v xml:space="preserve">   620891</v>
      </c>
      <c r="B13115" t="str">
        <f>T("   DE COTON")</f>
        <v xml:space="preserve">   DE COTON</v>
      </c>
      <c r="C13115" s="4">
        <v>560</v>
      </c>
      <c r="D13115" s="4">
        <v>155000</v>
      </c>
    </row>
    <row r="13116" spans="1:4" x14ac:dyDescent="0.25">
      <c r="A13116" t="str">
        <f>T("   620899")</f>
        <v xml:space="preserve">   620899</v>
      </c>
      <c r="B13116" t="str">
        <f>T("   D'AUTRES MATIERES TEXTILES")</f>
        <v xml:space="preserve">   D'AUTRES MATIERES TEXTILES</v>
      </c>
      <c r="C13116" s="4">
        <v>99</v>
      </c>
      <c r="D13116" s="4">
        <v>223804</v>
      </c>
    </row>
    <row r="13117" spans="1:4" x14ac:dyDescent="0.25">
      <c r="A13117" t="str">
        <f>T("   620920")</f>
        <v xml:space="preserve">   620920</v>
      </c>
      <c r="B13117" t="str">
        <f>T("   DE COTON")</f>
        <v xml:space="preserve">   DE COTON</v>
      </c>
      <c r="C13117" s="4">
        <v>15</v>
      </c>
      <c r="D13117" s="4">
        <v>33775</v>
      </c>
    </row>
    <row r="13118" spans="1:4" x14ac:dyDescent="0.25">
      <c r="A13118" t="str">
        <f>T("   620990")</f>
        <v xml:space="preserve">   620990</v>
      </c>
      <c r="B13118" t="str">
        <f>T("   D'AUTRES MATIERES TEXTILES")</f>
        <v xml:space="preserve">   D'AUTRES MATIERES TEXTILES</v>
      </c>
      <c r="C13118" s="4">
        <v>3652</v>
      </c>
      <c r="D13118" s="4">
        <v>4346502</v>
      </c>
    </row>
    <row r="13119" spans="1:4" x14ac:dyDescent="0.25">
      <c r="A13119" t="str">
        <f>T("   621010")</f>
        <v xml:space="preserve">   621010</v>
      </c>
      <c r="B13119" t="str">
        <f>T("   EN PRODUITS DES N°S 56.02 OU 56.03")</f>
        <v xml:space="preserve">   EN PRODUITS DES N°S 56.02 OU 56.03</v>
      </c>
      <c r="C13119" s="4">
        <v>456</v>
      </c>
      <c r="D13119" s="4">
        <v>1975844</v>
      </c>
    </row>
    <row r="13120" spans="1:4" x14ac:dyDescent="0.25">
      <c r="A13120" t="str">
        <f>T("   621020")</f>
        <v xml:space="preserve">   621020</v>
      </c>
      <c r="B13120" t="str">
        <f>T("   AUTRES VETEMENTS, DES TYPES VISES DANS LES N°S 6201.11 A 6201.19")</f>
        <v xml:space="preserve">   AUTRES VETEMENTS, DES TYPES VISES DANS LES N°S 6201.11 A 6201.19</v>
      </c>
      <c r="C13120" s="4">
        <v>3109.3</v>
      </c>
      <c r="D13120" s="4">
        <v>6555621</v>
      </c>
    </row>
    <row r="13121" spans="1:4" x14ac:dyDescent="0.25">
      <c r="A13121" t="str">
        <f>T("   621030")</f>
        <v xml:space="preserve">   621030</v>
      </c>
      <c r="B13121" t="str">
        <f>T("   AUTRES VETEMENTS, DES TYPES VISES DANS LES N°S 6202.11 A 6202.19")</f>
        <v xml:space="preserve">   AUTRES VETEMENTS, DES TYPES VISES DANS LES N°S 6202.11 A 6202.19</v>
      </c>
      <c r="C13121" s="4">
        <v>56265</v>
      </c>
      <c r="D13121" s="4">
        <v>15884683</v>
      </c>
    </row>
    <row r="13122" spans="1:4" x14ac:dyDescent="0.25">
      <c r="A13122" t="str">
        <f>T("   621040")</f>
        <v xml:space="preserve">   621040</v>
      </c>
      <c r="B13122" t="str">
        <f>T("   AUTRES VETEMENTS POUR HOMMES OU GARCONNETS")</f>
        <v xml:space="preserve">   AUTRES VETEMENTS POUR HOMMES OU GARCONNETS</v>
      </c>
      <c r="C13122" s="4">
        <v>445679.34</v>
      </c>
      <c r="D13122" s="4">
        <v>382322604</v>
      </c>
    </row>
    <row r="13123" spans="1:4" x14ac:dyDescent="0.25">
      <c r="A13123" t="str">
        <f>T("   621050")</f>
        <v xml:space="preserve">   621050</v>
      </c>
      <c r="B13123" t="str">
        <f>T("   AUTRES VETEMENTS POUR FEMMES OU FILLETTES")</f>
        <v xml:space="preserve">   AUTRES VETEMENTS POUR FEMMES OU FILLETTES</v>
      </c>
      <c r="C13123" s="4">
        <v>57021</v>
      </c>
      <c r="D13123" s="4">
        <v>31200624</v>
      </c>
    </row>
    <row r="13124" spans="1:4" x14ac:dyDescent="0.25">
      <c r="A13124" t="str">
        <f>T("   621111")</f>
        <v xml:space="preserve">   621111</v>
      </c>
      <c r="B13124" t="str">
        <f>T("   POUR HOMMES OU GARCONNETS")</f>
        <v xml:space="preserve">   POUR HOMMES OU GARCONNETS</v>
      </c>
      <c r="C13124" s="4">
        <v>719</v>
      </c>
      <c r="D13124" s="4">
        <v>4920000</v>
      </c>
    </row>
    <row r="13125" spans="1:4" x14ac:dyDescent="0.25">
      <c r="A13125" t="str">
        <f>T("   621112")</f>
        <v xml:space="preserve">   621112</v>
      </c>
      <c r="B13125" t="str">
        <f>T("   POUR FEMMES OU FILLETTES")</f>
        <v xml:space="preserve">   POUR FEMMES OU FILLETTES</v>
      </c>
      <c r="C13125" s="4">
        <v>215</v>
      </c>
      <c r="D13125" s="4">
        <v>196915</v>
      </c>
    </row>
    <row r="13126" spans="1:4" x14ac:dyDescent="0.25">
      <c r="A13126" t="str">
        <f>T("   621132")</f>
        <v xml:space="preserve">   621132</v>
      </c>
      <c r="B13126" t="str">
        <f>T("   DE COTON")</f>
        <v xml:space="preserve">   DE COTON</v>
      </c>
      <c r="C13126" s="4">
        <v>1901</v>
      </c>
      <c r="D13126" s="4">
        <v>28447817</v>
      </c>
    </row>
    <row r="13127" spans="1:4" x14ac:dyDescent="0.25">
      <c r="A13127" t="str">
        <f>T("   621133")</f>
        <v xml:space="preserve">   621133</v>
      </c>
      <c r="B13127" t="str">
        <f>T("   DE FIBRES SYNTHETIQUES OU ARTIFICIELLES")</f>
        <v xml:space="preserve">   DE FIBRES SYNTHETIQUES OU ARTIFICIELLES</v>
      </c>
      <c r="C13127" s="4">
        <v>8096</v>
      </c>
      <c r="D13127" s="4">
        <v>35699232</v>
      </c>
    </row>
    <row r="13128" spans="1:4" x14ac:dyDescent="0.25">
      <c r="A13128" t="str">
        <f>T("   621139")</f>
        <v xml:space="preserve">   621139</v>
      </c>
      <c r="B13128" t="str">
        <f>T("   D'AUTRES MATIERES TEXTILES")</f>
        <v xml:space="preserve">   D'AUTRES MATIERES TEXTILES</v>
      </c>
      <c r="C13128" s="4">
        <v>14479.2</v>
      </c>
      <c r="D13128" s="4">
        <v>11128543</v>
      </c>
    </row>
    <row r="13129" spans="1:4" x14ac:dyDescent="0.25">
      <c r="A13129" t="str">
        <f>T("   621142")</f>
        <v xml:space="preserve">   621142</v>
      </c>
      <c r="B13129" t="str">
        <f>T("   DE COTON")</f>
        <v xml:space="preserve">   DE COTON</v>
      </c>
      <c r="C13129" s="4">
        <v>526</v>
      </c>
      <c r="D13129" s="4">
        <v>7144049</v>
      </c>
    </row>
    <row r="13130" spans="1:4" x14ac:dyDescent="0.25">
      <c r="A13130" t="str">
        <f>T("   621143")</f>
        <v xml:space="preserve">   621143</v>
      </c>
      <c r="B13130" t="str">
        <f>T("   DE FIBRES SYNTHETIQUES OU ARTIFICIELLES")</f>
        <v xml:space="preserve">   DE FIBRES SYNTHETIQUES OU ARTIFICIELLES</v>
      </c>
      <c r="C13130" s="4">
        <v>30</v>
      </c>
      <c r="D13130" s="4">
        <v>529891</v>
      </c>
    </row>
    <row r="13131" spans="1:4" x14ac:dyDescent="0.25">
      <c r="A13131" t="str">
        <f>T("   621149")</f>
        <v xml:space="preserve">   621149</v>
      </c>
      <c r="B13131" t="str">
        <f>T("   D'AUTRES MATIERES TEXTILES")</f>
        <v xml:space="preserve">   D'AUTRES MATIERES TEXTILES</v>
      </c>
      <c r="C13131" s="4">
        <v>473</v>
      </c>
      <c r="D13131" s="4">
        <v>2534107</v>
      </c>
    </row>
    <row r="13132" spans="1:4" x14ac:dyDescent="0.25">
      <c r="A13132" t="str">
        <f>T("   621210")</f>
        <v xml:space="preserve">   621210</v>
      </c>
      <c r="B13132" t="str">
        <f>T("   SOUTIENSGORGE ET BUSTIERS")</f>
        <v xml:space="preserve">   SOUTIENSGORGE ET BUSTIERS</v>
      </c>
      <c r="C13132" s="4">
        <v>125</v>
      </c>
      <c r="D13132" s="4">
        <v>1690409</v>
      </c>
    </row>
    <row r="13133" spans="1:4" x14ac:dyDescent="0.25">
      <c r="A13133" t="str">
        <f>T("   621220")</f>
        <v xml:space="preserve">   621220</v>
      </c>
      <c r="B13133" t="str">
        <f>T("   GAINES ET GAINESCULOTTES")</f>
        <v xml:space="preserve">   GAINES ET GAINESCULOTTES</v>
      </c>
      <c r="C13133" s="4">
        <v>149</v>
      </c>
      <c r="D13133" s="4">
        <v>700125</v>
      </c>
    </row>
    <row r="13134" spans="1:4" x14ac:dyDescent="0.25">
      <c r="A13134" t="str">
        <f>T("   621290")</f>
        <v xml:space="preserve">   621290</v>
      </c>
      <c r="B13134" t="str">
        <f>T("   AUTRES")</f>
        <v xml:space="preserve">   AUTRES</v>
      </c>
      <c r="C13134" s="4">
        <v>91</v>
      </c>
      <c r="D13134" s="4">
        <v>385080</v>
      </c>
    </row>
    <row r="13135" spans="1:4" x14ac:dyDescent="0.25">
      <c r="A13135" t="str">
        <f>T("   621410")</f>
        <v xml:space="preserve">   621410</v>
      </c>
      <c r="B13135" t="str">
        <f>T("   DE SOIE OU DE DECHETS DE SOIE")</f>
        <v xml:space="preserve">   DE SOIE OU DE DECHETS DE SOIE</v>
      </c>
      <c r="C13135" s="4">
        <v>3.6</v>
      </c>
      <c r="D13135" s="4">
        <v>237349</v>
      </c>
    </row>
    <row r="13136" spans="1:4" x14ac:dyDescent="0.25">
      <c r="A13136" t="str">
        <f>T("   621490")</f>
        <v xml:space="preserve">   621490</v>
      </c>
      <c r="B13136" t="str">
        <f>T("   D'AUTRES MATIERES TEXTILES")</f>
        <v xml:space="preserve">   D'AUTRES MATIERES TEXTILES</v>
      </c>
      <c r="C13136" s="4">
        <v>1727.5</v>
      </c>
      <c r="D13136" s="4">
        <v>1845143</v>
      </c>
    </row>
    <row r="13137" spans="1:4" x14ac:dyDescent="0.25">
      <c r="A13137" t="str">
        <f>T("   621590")</f>
        <v xml:space="preserve">   621590</v>
      </c>
      <c r="B13137" t="str">
        <f>T("   D'AUTRES MATIERES TEXTILES")</f>
        <v xml:space="preserve">   D'AUTRES MATIERES TEXTILES</v>
      </c>
      <c r="C13137" s="4">
        <v>1344</v>
      </c>
      <c r="D13137" s="4">
        <v>619050</v>
      </c>
    </row>
    <row r="13138" spans="1:4" x14ac:dyDescent="0.25">
      <c r="A13138" t="str">
        <f>T("   621600")</f>
        <v xml:space="preserve">   621600</v>
      </c>
      <c r="B13138" t="str">
        <f>T("   GANTS, MITAINES ET MOUFLES.")</f>
        <v xml:space="preserve">   GANTS, MITAINES ET MOUFLES.</v>
      </c>
      <c r="C13138" s="4">
        <v>18</v>
      </c>
      <c r="D13138" s="4">
        <v>841621</v>
      </c>
    </row>
    <row r="13139" spans="1:4" x14ac:dyDescent="0.25">
      <c r="A13139" t="str">
        <f>T("   621710")</f>
        <v xml:space="preserve">   621710</v>
      </c>
      <c r="B13139" t="str">
        <f>T("   ACCESSOIRES")</f>
        <v xml:space="preserve">   ACCESSOIRES</v>
      </c>
      <c r="C13139" s="4">
        <v>43300.7</v>
      </c>
      <c r="D13139" s="4">
        <v>18517410</v>
      </c>
    </row>
    <row r="13140" spans="1:4" x14ac:dyDescent="0.25">
      <c r="A13140" t="str">
        <f>T("   621790")</f>
        <v xml:space="preserve">   621790</v>
      </c>
      <c r="B13140" t="str">
        <f>T("   PARTIES")</f>
        <v xml:space="preserve">   PARTIES</v>
      </c>
      <c r="C13140" s="4">
        <v>1100</v>
      </c>
      <c r="D13140" s="4">
        <v>590596</v>
      </c>
    </row>
    <row r="13141" spans="1:4" x14ac:dyDescent="0.25">
      <c r="A13141" t="str">
        <f>T("   630190")</f>
        <v xml:space="preserve">   630190</v>
      </c>
      <c r="B13141" t="str">
        <f>T("   AUTRES COUVERTURES")</f>
        <v xml:space="preserve">   AUTRES COUVERTURES</v>
      </c>
      <c r="C13141" s="4">
        <v>4557</v>
      </c>
      <c r="D13141" s="4">
        <v>1806823</v>
      </c>
    </row>
    <row r="13142" spans="1:4" x14ac:dyDescent="0.25">
      <c r="A13142" t="str">
        <f>T("   630210")</f>
        <v xml:space="preserve">   630210</v>
      </c>
      <c r="B13142" t="str">
        <f>T("   LINGE DE LIT EN BONNETERIE")</f>
        <v xml:space="preserve">   LINGE DE LIT EN BONNETERIE</v>
      </c>
      <c r="C13142" s="4">
        <v>960</v>
      </c>
      <c r="D13142" s="4">
        <v>450000</v>
      </c>
    </row>
    <row r="13143" spans="1:4" x14ac:dyDescent="0.25">
      <c r="A13143" t="str">
        <f>T("   630221")</f>
        <v xml:space="preserve">   630221</v>
      </c>
      <c r="B13143" t="str">
        <f>T("   DE COTON")</f>
        <v xml:space="preserve">   DE COTON</v>
      </c>
      <c r="C13143" s="4">
        <v>5544</v>
      </c>
      <c r="D13143" s="4">
        <v>14715042</v>
      </c>
    </row>
    <row r="13144" spans="1:4" x14ac:dyDescent="0.25">
      <c r="A13144" t="str">
        <f>T("   630222")</f>
        <v xml:space="preserve">   630222</v>
      </c>
      <c r="B13144" t="str">
        <f>T("   DE FIBRES SYNTHETIQUES OU ARTIFICIELLES")</f>
        <v xml:space="preserve">   DE FIBRES SYNTHETIQUES OU ARTIFICIELLES</v>
      </c>
      <c r="C13144" s="4">
        <v>100</v>
      </c>
      <c r="D13144" s="4">
        <v>324150</v>
      </c>
    </row>
    <row r="13145" spans="1:4" x14ac:dyDescent="0.25">
      <c r="A13145" t="str">
        <f>T("   630229")</f>
        <v xml:space="preserve">   630229</v>
      </c>
      <c r="B13145" t="str">
        <f>T("   D'AUTRES MATIERES TEXTILES")</f>
        <v xml:space="preserve">   D'AUTRES MATIERES TEXTILES</v>
      </c>
      <c r="C13145" s="4">
        <v>9267</v>
      </c>
      <c r="D13145" s="4">
        <v>5193911</v>
      </c>
    </row>
    <row r="13146" spans="1:4" x14ac:dyDescent="0.25">
      <c r="A13146" t="str">
        <f>T("   630231")</f>
        <v xml:space="preserve">   630231</v>
      </c>
      <c r="B13146" t="str">
        <f>T("   DE COTON")</f>
        <v xml:space="preserve">   DE COTON</v>
      </c>
      <c r="C13146" s="4">
        <v>2159</v>
      </c>
      <c r="D13146" s="4">
        <v>7743162</v>
      </c>
    </row>
    <row r="13147" spans="1:4" x14ac:dyDescent="0.25">
      <c r="A13147" t="str">
        <f>T("   630239")</f>
        <v xml:space="preserve">   630239</v>
      </c>
      <c r="B13147" t="str">
        <f>T("   D'AUTRES MATIERES TEXTILES")</f>
        <v xml:space="preserve">   D'AUTRES MATIERES TEXTILES</v>
      </c>
      <c r="C13147" s="4">
        <v>9116</v>
      </c>
      <c r="D13147" s="4">
        <v>3072721</v>
      </c>
    </row>
    <row r="13148" spans="1:4" x14ac:dyDescent="0.25">
      <c r="A13148" t="str">
        <f>T("   630240")</f>
        <v xml:space="preserve">   630240</v>
      </c>
      <c r="B13148" t="str">
        <f>T("   LINGE DE TABLE EN BONNETERIE")</f>
        <v xml:space="preserve">   LINGE DE TABLE EN BONNETERIE</v>
      </c>
      <c r="C13148" s="4">
        <v>140</v>
      </c>
      <c r="D13148" s="4">
        <v>616124</v>
      </c>
    </row>
    <row r="13149" spans="1:4" x14ac:dyDescent="0.25">
      <c r="A13149" t="str">
        <f>T("   630251")</f>
        <v xml:space="preserve">   630251</v>
      </c>
      <c r="B13149" t="str">
        <f>T("   DE COTON")</f>
        <v xml:space="preserve">   DE COTON</v>
      </c>
      <c r="C13149" s="4">
        <v>1758</v>
      </c>
      <c r="D13149" s="4">
        <v>2182451</v>
      </c>
    </row>
    <row r="13150" spans="1:4" x14ac:dyDescent="0.25">
      <c r="A13150" t="str">
        <f>T("   630253")</f>
        <v xml:space="preserve">   630253</v>
      </c>
      <c r="B13150" t="str">
        <f>T("   DE FIBRES SYNTHETIQUES OU ARTIFICIELLES")</f>
        <v xml:space="preserve">   DE FIBRES SYNTHETIQUES OU ARTIFICIELLES</v>
      </c>
      <c r="C13150" s="4">
        <v>1520</v>
      </c>
      <c r="D13150" s="4">
        <v>6374249</v>
      </c>
    </row>
    <row r="13151" spans="1:4" x14ac:dyDescent="0.25">
      <c r="A13151" t="str">
        <f>T("   630259")</f>
        <v xml:space="preserve">   630259</v>
      </c>
      <c r="B13151" t="str">
        <f>T("   D'AUTRES MATIERES TEXTILES")</f>
        <v xml:space="preserve">   D'AUTRES MATIERES TEXTILES</v>
      </c>
      <c r="C13151" s="4">
        <v>21741</v>
      </c>
      <c r="D13151" s="4">
        <v>10075597</v>
      </c>
    </row>
    <row r="13152" spans="1:4" x14ac:dyDescent="0.25">
      <c r="A13152" t="str">
        <f>T("   630260")</f>
        <v xml:space="preserve">   630260</v>
      </c>
      <c r="B13152" t="str">
        <f>T("   LINGE DE TOILETTE OU DE CUISINE, BOUCLE DU GENRE EPONGE, DE COTON")</f>
        <v xml:space="preserve">   LINGE DE TOILETTE OU DE CUISINE, BOUCLE DU GENRE EPONGE, DE COTON</v>
      </c>
      <c r="C13152" s="4">
        <v>2600</v>
      </c>
      <c r="D13152" s="4">
        <v>2086601</v>
      </c>
    </row>
    <row r="13153" spans="1:4" x14ac:dyDescent="0.25">
      <c r="A13153" t="str">
        <f>T("   630291")</f>
        <v xml:space="preserve">   630291</v>
      </c>
      <c r="B13153" t="str">
        <f>T("   DE COTON")</f>
        <v xml:space="preserve">   DE COTON</v>
      </c>
      <c r="C13153" s="4">
        <v>5405</v>
      </c>
      <c r="D13153" s="4">
        <v>1531774</v>
      </c>
    </row>
    <row r="13154" spans="1:4" x14ac:dyDescent="0.25">
      <c r="A13154" t="str">
        <f>T("   630299")</f>
        <v xml:space="preserve">   630299</v>
      </c>
      <c r="B13154" t="str">
        <f>T("   D'AUTRES MATIERES TEXTILES")</f>
        <v xml:space="preserve">   D'AUTRES MATIERES TEXTILES</v>
      </c>
      <c r="C13154" s="4">
        <v>1727</v>
      </c>
      <c r="D13154" s="4">
        <v>8458016</v>
      </c>
    </row>
    <row r="13155" spans="1:4" x14ac:dyDescent="0.25">
      <c r="A13155" t="str">
        <f>T("   630312")</f>
        <v xml:space="preserve">   630312</v>
      </c>
      <c r="B13155" t="str">
        <f>T("   DE FIBRES SYNTHETIQUES")</f>
        <v xml:space="preserve">   DE FIBRES SYNTHETIQUES</v>
      </c>
      <c r="C13155" s="4">
        <v>1000</v>
      </c>
      <c r="D13155" s="4">
        <v>1206966</v>
      </c>
    </row>
    <row r="13156" spans="1:4" x14ac:dyDescent="0.25">
      <c r="A13156" t="str">
        <f>T("   630319")</f>
        <v xml:space="preserve">   630319</v>
      </c>
      <c r="B13156" t="str">
        <f>T("   D'AUTRES MATIERES TEXTILES")</f>
        <v xml:space="preserve">   D'AUTRES MATIERES TEXTILES</v>
      </c>
      <c r="C13156" s="4">
        <v>47550</v>
      </c>
      <c r="D13156" s="4">
        <v>22172698</v>
      </c>
    </row>
    <row r="13157" spans="1:4" x14ac:dyDescent="0.25">
      <c r="A13157" t="str">
        <f>T("   630399")</f>
        <v xml:space="preserve">   630399</v>
      </c>
      <c r="B13157" t="str">
        <f>T("   D'AUTRES MATIERES TEXTILES")</f>
        <v xml:space="preserve">   D'AUTRES MATIERES TEXTILES</v>
      </c>
      <c r="C13157" s="4">
        <v>236277</v>
      </c>
      <c r="D13157" s="4">
        <v>44324020</v>
      </c>
    </row>
    <row r="13158" spans="1:4" x14ac:dyDescent="0.25">
      <c r="A13158" t="str">
        <f>T("   630411")</f>
        <v xml:space="preserve">   630411</v>
      </c>
      <c r="B13158" t="str">
        <f>T("   EN BONNETERIE")</f>
        <v xml:space="preserve">   EN BONNETERIE</v>
      </c>
      <c r="C13158" s="4">
        <v>24015</v>
      </c>
      <c r="D13158" s="4">
        <v>13266380</v>
      </c>
    </row>
    <row r="13159" spans="1:4" x14ac:dyDescent="0.25">
      <c r="A13159" t="str">
        <f>T("   630419")</f>
        <v xml:space="preserve">   630419</v>
      </c>
      <c r="B13159" t="str">
        <f>T("   AUTRES")</f>
        <v xml:space="preserve">   AUTRES</v>
      </c>
      <c r="C13159" s="4">
        <v>1357</v>
      </c>
      <c r="D13159" s="4">
        <v>978692</v>
      </c>
    </row>
    <row r="13160" spans="1:4" x14ac:dyDescent="0.25">
      <c r="A13160" t="str">
        <f>T("   630491")</f>
        <v xml:space="preserve">   630491</v>
      </c>
      <c r="B13160" t="str">
        <f>T("   EN BONNETERIE")</f>
        <v xml:space="preserve">   EN BONNETERIE</v>
      </c>
      <c r="C13160" s="4">
        <v>5515058</v>
      </c>
      <c r="D13160" s="4">
        <v>14543418557</v>
      </c>
    </row>
    <row r="13161" spans="1:4" x14ac:dyDescent="0.25">
      <c r="A13161" t="str">
        <f>T("   630492")</f>
        <v xml:space="preserve">   630492</v>
      </c>
      <c r="B13161" t="str">
        <f>T("   AUTRES QU'EN BONNETERIE, DE COTON")</f>
        <v xml:space="preserve">   AUTRES QU'EN BONNETERIE, DE COTON</v>
      </c>
      <c r="C13161" s="4">
        <v>25.38</v>
      </c>
      <c r="D13161" s="4">
        <v>13645</v>
      </c>
    </row>
    <row r="13162" spans="1:4" x14ac:dyDescent="0.25">
      <c r="A13162" t="str">
        <f>T("   630493")</f>
        <v xml:space="preserve">   630493</v>
      </c>
      <c r="B13162" t="str">
        <f>T("   AUTRES QU'EN BONNETERIE, DE FIBRES SYNTHETIQUES")</f>
        <v xml:space="preserve">   AUTRES QU'EN BONNETERIE, DE FIBRES SYNTHETIQUES</v>
      </c>
      <c r="C13162" s="4">
        <v>10000</v>
      </c>
      <c r="D13162" s="4">
        <v>5461500</v>
      </c>
    </row>
    <row r="13163" spans="1:4" x14ac:dyDescent="0.25">
      <c r="A13163" t="str">
        <f>T("   630499")</f>
        <v xml:space="preserve">   630499</v>
      </c>
      <c r="B13163" t="str">
        <f>T("   AUTRES QU'EN BONNETERIE, D'AUTRES MATIERES TEXTILES")</f>
        <v xml:space="preserve">   AUTRES QU'EN BONNETERIE, D'AUTRES MATIERES TEXTILES</v>
      </c>
      <c r="C13163" s="4">
        <v>15800</v>
      </c>
      <c r="D13163" s="4">
        <v>3924510</v>
      </c>
    </row>
    <row r="13164" spans="1:4" x14ac:dyDescent="0.25">
      <c r="A13164" t="str">
        <f>T("   630510")</f>
        <v xml:space="preserve">   630510</v>
      </c>
      <c r="B13164" t="str">
        <f>T("   DE JUTE OU D'AUTRES FIBRES TEXTILES LIBERIENNES DU N° 53.03")</f>
        <v xml:space="preserve">   DE JUTE OU D'AUTRES FIBRES TEXTILES LIBERIENNES DU N° 53.03</v>
      </c>
      <c r="C13164" s="4">
        <v>1260355</v>
      </c>
      <c r="D13164" s="4">
        <v>184852449</v>
      </c>
    </row>
    <row r="13165" spans="1:4" x14ac:dyDescent="0.25">
      <c r="A13165" t="str">
        <f>T("   630520")</f>
        <v xml:space="preserve">   630520</v>
      </c>
      <c r="B13165" t="str">
        <f>T("   DE COTON")</f>
        <v xml:space="preserve">   DE COTON</v>
      </c>
      <c r="C13165" s="4">
        <v>11897</v>
      </c>
      <c r="D13165" s="4">
        <v>23223313</v>
      </c>
    </row>
    <row r="13166" spans="1:4" x14ac:dyDescent="0.25">
      <c r="A13166" t="str">
        <f>T("   630533")</f>
        <v xml:space="preserve">   630533</v>
      </c>
      <c r="B13166" t="str">
        <f>T("   AUTRES, OBTENUES A PARTIR DE LAMES OU FORMES SIMILAIRES DE POLYETHYLENE OU DE POLYPR")</f>
        <v xml:space="preserve">   AUTRES, OBTENUES A PARTIR DE LAMES OU FORMES SIMILAIRES DE POLYETHYLENE OU DE POLYPR</v>
      </c>
      <c r="C13166" s="4">
        <v>318495</v>
      </c>
      <c r="D13166" s="4">
        <v>242903777</v>
      </c>
    </row>
    <row r="13167" spans="1:4" x14ac:dyDescent="0.25">
      <c r="A13167" t="str">
        <f>T("   630539")</f>
        <v xml:space="preserve">   630539</v>
      </c>
      <c r="B13167" t="str">
        <f>T("   AUTRES")</f>
        <v xml:space="preserve">   AUTRES</v>
      </c>
      <c r="C13167" s="4">
        <v>20203</v>
      </c>
      <c r="D13167" s="4">
        <v>6539210</v>
      </c>
    </row>
    <row r="13168" spans="1:4" x14ac:dyDescent="0.25">
      <c r="A13168" t="str">
        <f>T("   630590")</f>
        <v xml:space="preserve">   630590</v>
      </c>
      <c r="B13168" t="str">
        <f>T("   D'AUTRES MATIERES TEXTILES")</f>
        <v xml:space="preserve">   D'AUTRES MATIERES TEXTILES</v>
      </c>
      <c r="C13168" s="4">
        <v>30972</v>
      </c>
      <c r="D13168" s="4">
        <v>22608217</v>
      </c>
    </row>
    <row r="13169" spans="1:4" x14ac:dyDescent="0.25">
      <c r="A13169" t="str">
        <f>T("   630612")</f>
        <v xml:space="preserve">   630612</v>
      </c>
      <c r="B13169" t="str">
        <f>T("   DE FIBRES SYNTHETIQUES")</f>
        <v xml:space="preserve">   DE FIBRES SYNTHETIQUES</v>
      </c>
      <c r="C13169" s="4">
        <v>33333</v>
      </c>
      <c r="D13169" s="4">
        <v>36738687</v>
      </c>
    </row>
    <row r="13170" spans="1:4" x14ac:dyDescent="0.25">
      <c r="A13170" t="str">
        <f>T("   630619")</f>
        <v xml:space="preserve">   630619</v>
      </c>
      <c r="B13170" t="str">
        <f>T("   D'AUTRES MATIERES TEXTILES")</f>
        <v xml:space="preserve">   D'AUTRES MATIERES TEXTILES</v>
      </c>
      <c r="C13170" s="4">
        <v>24736</v>
      </c>
      <c r="D13170" s="4">
        <v>20930513</v>
      </c>
    </row>
    <row r="13171" spans="1:4" x14ac:dyDescent="0.25">
      <c r="A13171" t="str">
        <f>T("   630622")</f>
        <v xml:space="preserve">   630622</v>
      </c>
      <c r="B13171" t="str">
        <f>T("   DE FIBRES SYNTHETIQUES")</f>
        <v xml:space="preserve">   DE FIBRES SYNTHETIQUES</v>
      </c>
      <c r="C13171" s="4">
        <v>5878</v>
      </c>
      <c r="D13171" s="4">
        <v>43292635</v>
      </c>
    </row>
    <row r="13172" spans="1:4" x14ac:dyDescent="0.25">
      <c r="A13172" t="str">
        <f>T("   630629")</f>
        <v xml:space="preserve">   630629</v>
      </c>
      <c r="B13172" t="str">
        <f>T("   D'AUTRES MATIERES TEXTILES")</f>
        <v xml:space="preserve">   D'AUTRES MATIERES TEXTILES</v>
      </c>
      <c r="C13172" s="4">
        <v>66115</v>
      </c>
      <c r="D13172" s="4">
        <v>54803548</v>
      </c>
    </row>
    <row r="13173" spans="1:4" x14ac:dyDescent="0.25">
      <c r="A13173" t="str">
        <f>T("   630630")</f>
        <v xml:space="preserve">   630630</v>
      </c>
      <c r="B13173" t="str">
        <f>T("   VOILES")</f>
        <v xml:space="preserve">   VOILES</v>
      </c>
      <c r="C13173" s="4">
        <v>7087</v>
      </c>
      <c r="D13173" s="4">
        <v>41783435</v>
      </c>
    </row>
    <row r="13174" spans="1:4" x14ac:dyDescent="0.25">
      <c r="A13174" t="str">
        <f>T("   630639")</f>
        <v xml:space="preserve">   630639</v>
      </c>
      <c r="B13174" t="str">
        <f>T("   VOILES D'AUTRES MATIERES TEXTILES")</f>
        <v xml:space="preserve">   VOILES D'AUTRES MATIERES TEXTILES</v>
      </c>
      <c r="C13174" s="4">
        <v>62</v>
      </c>
      <c r="D13174" s="4">
        <v>853126</v>
      </c>
    </row>
    <row r="13175" spans="1:4" x14ac:dyDescent="0.25">
      <c r="A13175" t="str">
        <f>T("   630640")</f>
        <v xml:space="preserve">   630640</v>
      </c>
      <c r="B13175" t="str">
        <f>T("   MATELAS PNEUMATIQUES")</f>
        <v xml:space="preserve">   MATELAS PNEUMATIQUES</v>
      </c>
      <c r="C13175" s="4">
        <v>5750</v>
      </c>
      <c r="D13175" s="4">
        <v>9831528</v>
      </c>
    </row>
    <row r="13176" spans="1:4" x14ac:dyDescent="0.25">
      <c r="A13176" t="str">
        <f>T("   630641")</f>
        <v xml:space="preserve">   630641</v>
      </c>
      <c r="B13176" t="str">
        <f>T("   MATELAS PNEUMATIQUES DE COTON")</f>
        <v xml:space="preserve">   MATELAS PNEUMATIQUES DE COTON</v>
      </c>
      <c r="C13176" s="4">
        <v>2095</v>
      </c>
      <c r="D13176" s="4">
        <v>310261</v>
      </c>
    </row>
    <row r="13177" spans="1:4" x14ac:dyDescent="0.25">
      <c r="A13177" t="str">
        <f>T("   630649")</f>
        <v xml:space="preserve">   630649</v>
      </c>
      <c r="B13177" t="str">
        <f>T("   MATELAS PNEUMATIQUES D'AUTRES MATIERES TEXTILES")</f>
        <v xml:space="preserve">   MATELAS PNEUMATIQUES D'AUTRES MATIERES TEXTILES</v>
      </c>
      <c r="C13177" s="4">
        <v>7368</v>
      </c>
      <c r="D13177" s="4">
        <v>3979058</v>
      </c>
    </row>
    <row r="13178" spans="1:4" x14ac:dyDescent="0.25">
      <c r="A13178" t="str">
        <f>T("   630691")</f>
        <v xml:space="preserve">   630691</v>
      </c>
      <c r="B13178" t="str">
        <f>T("   AUTRES ARTICLES DU N. 63.06 DE COTON")</f>
        <v xml:space="preserve">   AUTRES ARTICLES DU N. 63.06 DE COTON</v>
      </c>
      <c r="C13178" s="4">
        <v>21695</v>
      </c>
      <c r="D13178" s="4">
        <v>9295181</v>
      </c>
    </row>
    <row r="13179" spans="1:4" x14ac:dyDescent="0.25">
      <c r="A13179" t="str">
        <f>T("   630699")</f>
        <v xml:space="preserve">   630699</v>
      </c>
      <c r="B13179" t="str">
        <f>T("   AUTRES ARTICLES DU 63.06 D'AUTRES MATIERES TEXTILES")</f>
        <v xml:space="preserve">   AUTRES ARTICLES DU 63.06 D'AUTRES MATIERES TEXTILES</v>
      </c>
      <c r="C13179" s="4">
        <v>7664</v>
      </c>
      <c r="D13179" s="4">
        <v>5476222</v>
      </c>
    </row>
    <row r="13180" spans="1:4" x14ac:dyDescent="0.25">
      <c r="A13180" t="str">
        <f>T("   630710")</f>
        <v xml:space="preserve">   630710</v>
      </c>
      <c r="B13180" t="str">
        <f>T("   SERPILLIERES OU WASSINGUES, LAVETTES, CHAMOISETTES ET ARTICLES D'ENTRETIEN SIMILAIRES")</f>
        <v xml:space="preserve">   SERPILLIERES OU WASSINGUES, LAVETTES, CHAMOISETTES ET ARTICLES D'ENTRETIEN SIMILAIRES</v>
      </c>
      <c r="C13180" s="4">
        <v>23054</v>
      </c>
      <c r="D13180" s="4">
        <v>22048984</v>
      </c>
    </row>
    <row r="13181" spans="1:4" x14ac:dyDescent="0.25">
      <c r="A13181" t="str">
        <f>T("   630720")</f>
        <v xml:space="preserve">   630720</v>
      </c>
      <c r="B13181" t="str">
        <f>T("   CEINTURES ET GILETS DE SAUVETAGE")</f>
        <v xml:space="preserve">   CEINTURES ET GILETS DE SAUVETAGE</v>
      </c>
      <c r="C13181" s="4">
        <v>8214</v>
      </c>
      <c r="D13181" s="4">
        <v>19881360</v>
      </c>
    </row>
    <row r="13182" spans="1:4" x14ac:dyDescent="0.25">
      <c r="A13182" t="str">
        <f>T("   630790")</f>
        <v xml:space="preserve">   630790</v>
      </c>
      <c r="B13182" t="str">
        <f>T("   AUTRES")</f>
        <v xml:space="preserve">   AUTRES</v>
      </c>
      <c r="C13182" s="4">
        <v>9285.2999999999993</v>
      </c>
      <c r="D13182" s="4">
        <v>48200998</v>
      </c>
    </row>
    <row r="13183" spans="1:4" x14ac:dyDescent="0.25">
      <c r="A13183" t="str">
        <f>T("   630800")</f>
        <v xml:space="preserve">   630800</v>
      </c>
      <c r="B13183" t="str">
        <f>T("   ASSORTIMENTS COMPOSES DE PIECES DE TISSUS ET DE FILS, MEME AVEC ACCESSOIRES, POUR LA CO")</f>
        <v xml:space="preserve">   ASSORTIMENTS COMPOSES DE PIECES DE TISSUS ET DE FILS, MEME AVEC ACCESSOIRES, POUR LA CO</v>
      </c>
      <c r="C13183" s="4">
        <v>1422.15</v>
      </c>
      <c r="D13183" s="4">
        <v>1310080</v>
      </c>
    </row>
    <row r="13184" spans="1:4" x14ac:dyDescent="0.25">
      <c r="A13184" t="str">
        <f>T("   630900")</f>
        <v xml:space="preserve">   630900</v>
      </c>
      <c r="B13184" t="str">
        <f>T("   ARTICLES DE FRIPERIE.")</f>
        <v xml:space="preserve">   ARTICLES DE FRIPERIE.</v>
      </c>
      <c r="C13184" s="4">
        <v>49048660.100000001</v>
      </c>
      <c r="D13184" s="4">
        <v>26779124372</v>
      </c>
    </row>
    <row r="13185" spans="1:4" x14ac:dyDescent="0.25">
      <c r="A13185" t="str">
        <f>T("   631010")</f>
        <v xml:space="preserve">   631010</v>
      </c>
      <c r="B13185" t="str">
        <f>T("   TRIES")</f>
        <v xml:space="preserve">   TRIES</v>
      </c>
      <c r="C13185" s="4">
        <v>58240</v>
      </c>
      <c r="D13185" s="4">
        <v>21603716</v>
      </c>
    </row>
    <row r="13186" spans="1:4" x14ac:dyDescent="0.25">
      <c r="A13186" t="str">
        <f>T("   631090")</f>
        <v xml:space="preserve">   631090</v>
      </c>
      <c r="B13186" t="str">
        <f>T("   AUTRES")</f>
        <v xml:space="preserve">   AUTRES</v>
      </c>
      <c r="C13186" s="4">
        <v>1025656.5</v>
      </c>
      <c r="D13186" s="4">
        <v>392393540</v>
      </c>
    </row>
    <row r="13187" spans="1:4" x14ac:dyDescent="0.25">
      <c r="A13187" t="str">
        <f>T("   640110")</f>
        <v xml:space="preserve">   640110</v>
      </c>
      <c r="B13187" t="str">
        <f>T("   CHAUSSURES COMPORTANT, A L'AVANT, UNE COQUILLE DE PROTECTION EN METAL")</f>
        <v xml:space="preserve">   CHAUSSURES COMPORTANT, A L'AVANT, UNE COQUILLE DE PROTECTION EN METAL</v>
      </c>
      <c r="C13187" s="4">
        <v>13799</v>
      </c>
      <c r="D13187" s="4">
        <v>71174962</v>
      </c>
    </row>
    <row r="13188" spans="1:4" x14ac:dyDescent="0.25">
      <c r="A13188" t="str">
        <f>T("   640192")</f>
        <v xml:space="preserve">   640192</v>
      </c>
      <c r="B13188" t="str">
        <f>T("   COUVRANT LA CHEVILLE MAIS NE COUVRANT PAS LE GENOU")</f>
        <v xml:space="preserve">   COUVRANT LA CHEVILLE MAIS NE COUVRANT PAS LE GENOU</v>
      </c>
      <c r="C13188" s="4">
        <v>3263</v>
      </c>
      <c r="D13188" s="4">
        <v>11004054</v>
      </c>
    </row>
    <row r="13189" spans="1:4" x14ac:dyDescent="0.25">
      <c r="A13189" t="str">
        <f>T("   640199")</f>
        <v xml:space="preserve">   640199</v>
      </c>
      <c r="B13189" t="str">
        <f>T("   AUTRES")</f>
        <v xml:space="preserve">   AUTRES</v>
      </c>
      <c r="C13189" s="4">
        <v>274395</v>
      </c>
      <c r="D13189" s="4">
        <v>90421952</v>
      </c>
    </row>
    <row r="13190" spans="1:4" x14ac:dyDescent="0.25">
      <c r="A13190" t="str">
        <f>T("   640212")</f>
        <v xml:space="preserve">   640212</v>
      </c>
      <c r="B13190" t="str">
        <f>T("   CHAUSSURES DE SKI ET CHAUSSURES POUR LE SURF DES NEIGES")</f>
        <v xml:space="preserve">   CHAUSSURES DE SKI ET CHAUSSURES POUR LE SURF DES NEIGES</v>
      </c>
      <c r="C13190" s="4">
        <v>300</v>
      </c>
      <c r="D13190" s="4">
        <v>108049</v>
      </c>
    </row>
    <row r="13191" spans="1:4" x14ac:dyDescent="0.25">
      <c r="A13191" t="str">
        <f>T("   640219")</f>
        <v xml:space="preserve">   640219</v>
      </c>
      <c r="B13191" t="str">
        <f>T("   AUTRES")</f>
        <v xml:space="preserve">   AUTRES</v>
      </c>
      <c r="C13191" s="4">
        <v>519052</v>
      </c>
      <c r="D13191" s="4">
        <v>136658768</v>
      </c>
    </row>
    <row r="13192" spans="1:4" x14ac:dyDescent="0.25">
      <c r="A13192" t="str">
        <f>T("   640220")</f>
        <v xml:space="preserve">   640220</v>
      </c>
      <c r="B13192" t="str">
        <f>T("   CHAUSSURES AVEC DESSUS EN LANIERES OU BRIDES FIXEES A LA SEMELLE PAR DES TETONS")</f>
        <v xml:space="preserve">   CHAUSSURES AVEC DESSUS EN LANIERES OU BRIDES FIXEES A LA SEMELLE PAR DES TETONS</v>
      </c>
      <c r="C13192" s="4">
        <v>2327284</v>
      </c>
      <c r="D13192" s="4">
        <v>504707083</v>
      </c>
    </row>
    <row r="13193" spans="1:4" x14ac:dyDescent="0.25">
      <c r="A13193" t="str">
        <f>T("   640291")</f>
        <v xml:space="preserve">   640291</v>
      </c>
      <c r="B13193" t="str">
        <f>T("   COUVRANT LA CHEVILLE")</f>
        <v xml:space="preserve">   COUVRANT LA CHEVILLE</v>
      </c>
      <c r="C13193" s="4">
        <v>1020</v>
      </c>
      <c r="D13193" s="4">
        <v>134660</v>
      </c>
    </row>
    <row r="13194" spans="1:4" x14ac:dyDescent="0.25">
      <c r="A13194" t="str">
        <f>T("   640299")</f>
        <v xml:space="preserve">   640299</v>
      </c>
      <c r="B13194" t="str">
        <f>T("   AUTRES")</f>
        <v xml:space="preserve">   AUTRES</v>
      </c>
      <c r="C13194" s="4">
        <v>2297184</v>
      </c>
      <c r="D13194" s="4">
        <v>961171333</v>
      </c>
    </row>
    <row r="13195" spans="1:4" x14ac:dyDescent="0.25">
      <c r="A13195" t="str">
        <f>T("   640312")</f>
        <v xml:space="preserve">   640312</v>
      </c>
      <c r="B13195" t="str">
        <f>T("   CHAUSSURES DE SKI ET CHAUSSURES POUR LE SURF DES NEIGES")</f>
        <v xml:space="preserve">   CHAUSSURES DE SKI ET CHAUSSURES POUR LE SURF DES NEIGES</v>
      </c>
      <c r="C13195" s="4">
        <v>4500</v>
      </c>
      <c r="D13195" s="4">
        <v>800000</v>
      </c>
    </row>
    <row r="13196" spans="1:4" x14ac:dyDescent="0.25">
      <c r="A13196" t="str">
        <f>T("   640319")</f>
        <v xml:space="preserve">   640319</v>
      </c>
      <c r="B13196" t="str">
        <f>T("   AUTRES")</f>
        <v xml:space="preserve">   AUTRES</v>
      </c>
      <c r="C13196" s="4">
        <v>433530</v>
      </c>
      <c r="D13196" s="4">
        <v>111445719</v>
      </c>
    </row>
    <row r="13197" spans="1:4" x14ac:dyDescent="0.25">
      <c r="A13197" t="str">
        <f>T("   640320")</f>
        <v xml:space="preserve">   640320</v>
      </c>
      <c r="B13197" t="str">
        <f>T("   CHAUSSURES A SEMELLES EXTERIEURES EN CUIR NATUREL ET DESSUS CONSTITUES PAR DES LANIER")</f>
        <v xml:space="preserve">   CHAUSSURES A SEMELLES EXTERIEURES EN CUIR NATUREL ET DESSUS CONSTITUES PAR DES LANIER</v>
      </c>
      <c r="C13197" s="4">
        <v>4132</v>
      </c>
      <c r="D13197" s="4">
        <v>3674247</v>
      </c>
    </row>
    <row r="13198" spans="1:4" x14ac:dyDescent="0.25">
      <c r="A13198" t="str">
        <f>T("   640340")</f>
        <v xml:space="preserve">   640340</v>
      </c>
      <c r="B13198" t="str">
        <f>T("   AUTRES CHAUSSURES, COMPORTANT, A L'AVANT, UNE COQUILLE DE PROTECTION EN METAL")</f>
        <v xml:space="preserve">   AUTRES CHAUSSURES, COMPORTANT, A L'AVANT, UNE COQUILLE DE PROTECTION EN METAL</v>
      </c>
      <c r="C13198" s="4">
        <v>13902.3</v>
      </c>
      <c r="D13198" s="4">
        <v>107808205</v>
      </c>
    </row>
    <row r="13199" spans="1:4" x14ac:dyDescent="0.25">
      <c r="A13199" t="str">
        <f>T("   640391")</f>
        <v xml:space="preserve">   640391</v>
      </c>
      <c r="B13199" t="str">
        <f>T("   COUVRANT LA CHEVILLE")</f>
        <v xml:space="preserve">   COUVRANT LA CHEVILLE</v>
      </c>
      <c r="C13199" s="4">
        <v>99600</v>
      </c>
      <c r="D13199" s="4">
        <v>45520862</v>
      </c>
    </row>
    <row r="13200" spans="1:4" x14ac:dyDescent="0.25">
      <c r="A13200" t="str">
        <f>T("   640399")</f>
        <v xml:space="preserve">   640399</v>
      </c>
      <c r="B13200" t="str">
        <f>T("   AUTRES")</f>
        <v xml:space="preserve">   AUTRES</v>
      </c>
      <c r="C13200" s="4">
        <v>38060</v>
      </c>
      <c r="D13200" s="4">
        <v>12683586</v>
      </c>
    </row>
    <row r="13201" spans="1:4" x14ac:dyDescent="0.25">
      <c r="A13201" t="str">
        <f>T("   640411")</f>
        <v xml:space="preserve">   640411</v>
      </c>
      <c r="B13201" t="str">
        <f>T("   CHAUSSURES DE SPORT; CHAUSSURES DITES DE TENNIS, DE BASKETBALL, DE GYMNASTIQUE, D'E")</f>
        <v xml:space="preserve">   CHAUSSURES DE SPORT; CHAUSSURES DITES DE TENNIS, DE BASKETBALL, DE GYMNASTIQUE, D'E</v>
      </c>
      <c r="C13201" s="4">
        <v>64</v>
      </c>
      <c r="D13201" s="4">
        <v>99579</v>
      </c>
    </row>
    <row r="13202" spans="1:4" x14ac:dyDescent="0.25">
      <c r="A13202" t="str">
        <f>T("   640419")</f>
        <v xml:space="preserve">   640419</v>
      </c>
      <c r="B13202" t="str">
        <f>T("   AUTRES")</f>
        <v xml:space="preserve">   AUTRES</v>
      </c>
      <c r="C13202" s="4">
        <v>319654</v>
      </c>
      <c r="D13202" s="4">
        <v>80299756</v>
      </c>
    </row>
    <row r="13203" spans="1:4" x14ac:dyDescent="0.25">
      <c r="A13203" t="str">
        <f>T("   640420")</f>
        <v xml:space="preserve">   640420</v>
      </c>
      <c r="B13203" t="str">
        <f>T("   CHAUSSURES A SEMELLES EXTERIEURES EN CUIR NATUREL OU RECONSTITUE")</f>
        <v xml:space="preserve">   CHAUSSURES A SEMELLES EXTERIEURES EN CUIR NATUREL OU RECONSTITUE</v>
      </c>
      <c r="C13203" s="4">
        <v>3420</v>
      </c>
      <c r="D13203" s="4">
        <v>700000</v>
      </c>
    </row>
    <row r="13204" spans="1:4" x14ac:dyDescent="0.25">
      <c r="A13204" t="str">
        <f>T("   640510")</f>
        <v xml:space="preserve">   640510</v>
      </c>
      <c r="B13204" t="str">
        <f>T("   A DESSUS EN CUIR NATUREL OU RECONSTITUE")</f>
        <v xml:space="preserve">   A DESSUS EN CUIR NATUREL OU RECONSTITUE</v>
      </c>
      <c r="C13204" s="4">
        <v>294</v>
      </c>
      <c r="D13204" s="4">
        <v>977000</v>
      </c>
    </row>
    <row r="13205" spans="1:4" x14ac:dyDescent="0.25">
      <c r="A13205" t="str">
        <f>T("   640520")</f>
        <v xml:space="preserve">   640520</v>
      </c>
      <c r="B13205" t="str">
        <f>T("   A DESSUS EN MATIERES TEXTILES")</f>
        <v xml:space="preserve">   A DESSUS EN MATIERES TEXTILES</v>
      </c>
      <c r="C13205" s="4">
        <v>12446</v>
      </c>
      <c r="D13205" s="4">
        <v>2860099</v>
      </c>
    </row>
    <row r="13206" spans="1:4" x14ac:dyDescent="0.25">
      <c r="A13206" t="str">
        <f>T("   640590")</f>
        <v xml:space="preserve">   640590</v>
      </c>
      <c r="B13206" t="str">
        <f>T("   AUTRES")</f>
        <v xml:space="preserve">   AUTRES</v>
      </c>
      <c r="C13206" s="4">
        <v>13908349.4</v>
      </c>
      <c r="D13206" s="4">
        <v>4149057213</v>
      </c>
    </row>
    <row r="13207" spans="1:4" x14ac:dyDescent="0.25">
      <c r="A13207" t="str">
        <f>T("   640620")</f>
        <v xml:space="preserve">   640620</v>
      </c>
      <c r="B13207" t="str">
        <f>T("   SEMELLES EXTERIEURES ET TALONS, EN CAOUTCHOUC OU EN MATIERE PLASTIQUE")</f>
        <v xml:space="preserve">   SEMELLES EXTERIEURES ET TALONS, EN CAOUTCHOUC OU EN MATIERE PLASTIQUE</v>
      </c>
      <c r="C13207" s="4">
        <v>2474</v>
      </c>
      <c r="D13207" s="4">
        <v>404430</v>
      </c>
    </row>
    <row r="13208" spans="1:4" x14ac:dyDescent="0.25">
      <c r="A13208" t="str">
        <f>T("   640699")</f>
        <v xml:space="preserve">   640699</v>
      </c>
      <c r="B13208" t="str">
        <f>T("   AUTRES PARTIES DE CHAUSSURES EN AUTRES MATIERES")</f>
        <v xml:space="preserve">   AUTRES PARTIES DE CHAUSSURES EN AUTRES MATIERES</v>
      </c>
      <c r="C13208" s="4">
        <v>29680</v>
      </c>
      <c r="D13208" s="4">
        <v>19756775</v>
      </c>
    </row>
    <row r="13209" spans="1:4" x14ac:dyDescent="0.25">
      <c r="A13209" t="str">
        <f>T("   650100")</f>
        <v xml:space="preserve">   650100</v>
      </c>
      <c r="B13209" t="str">
        <f>T("   CLOCHES NON DRESSEES (MISES EN FORME) NI TOURNUREES (MISES EN TOURNURE), PLATEAUX (DISQ")</f>
        <v xml:space="preserve">   CLOCHES NON DRESSEES (MISES EN FORME) NI TOURNUREES (MISES EN TOURNURE), PLATEAUX (DISQ</v>
      </c>
      <c r="C13209" s="4">
        <v>26</v>
      </c>
      <c r="D13209" s="4">
        <v>115863</v>
      </c>
    </row>
    <row r="13210" spans="1:4" x14ac:dyDescent="0.25">
      <c r="A13210" t="str">
        <f>T("   650510")</f>
        <v xml:space="preserve">   650510</v>
      </c>
      <c r="B13210" t="str">
        <f>T("   RESILLES ET FILETS A CHEVEUX EN CHEVEUX")</f>
        <v xml:space="preserve">   RESILLES ET FILETS A CHEVEUX EN CHEVEUX</v>
      </c>
      <c r="C13210" s="4">
        <v>4259</v>
      </c>
      <c r="D13210" s="4">
        <v>1207261</v>
      </c>
    </row>
    <row r="13211" spans="1:4" x14ac:dyDescent="0.25">
      <c r="A13211" t="str">
        <f>T("   650590")</f>
        <v xml:space="preserve">   650590</v>
      </c>
      <c r="B13211" t="str">
        <f>T("   AUTRES COIFFURES EN MATIERES TEXTILES,EN PIECES(MAIS NON EN BANDES)")</f>
        <v xml:space="preserve">   AUTRES COIFFURES EN MATIERES TEXTILES,EN PIECES(MAIS NON EN BANDES)</v>
      </c>
      <c r="C13211" s="4">
        <v>25506.25</v>
      </c>
      <c r="D13211" s="4">
        <v>35195405</v>
      </c>
    </row>
    <row r="13212" spans="1:4" x14ac:dyDescent="0.25">
      <c r="A13212" t="str">
        <f>T("   650610")</f>
        <v xml:space="preserve">   650610</v>
      </c>
      <c r="B13212" t="str">
        <f>T("   COIFFURES DE SECURITE")</f>
        <v xml:space="preserve">   COIFFURES DE SECURITE</v>
      </c>
      <c r="C13212" s="4">
        <v>209181</v>
      </c>
      <c r="D13212" s="4">
        <v>272665743</v>
      </c>
    </row>
    <row r="13213" spans="1:4" x14ac:dyDescent="0.25">
      <c r="A13213" t="str">
        <f>T("   650691")</f>
        <v xml:space="preserve">   650691</v>
      </c>
      <c r="B13213" t="str">
        <f>T("   EN CAOUTCHOUC OU EN MATIERE PLASTIQUE")</f>
        <v xml:space="preserve">   EN CAOUTCHOUC OU EN MATIERE PLASTIQUE</v>
      </c>
      <c r="C13213" s="4">
        <v>751.15</v>
      </c>
      <c r="D13213" s="4">
        <v>4492878</v>
      </c>
    </row>
    <row r="13214" spans="1:4" x14ac:dyDescent="0.25">
      <c r="A13214" t="str">
        <f>T("   650699")</f>
        <v xml:space="preserve">   650699</v>
      </c>
      <c r="B13214" t="str">
        <f>T("   EN AUTRES MATIERES")</f>
        <v xml:space="preserve">   EN AUTRES MATIERES</v>
      </c>
      <c r="C13214" s="4">
        <v>24030</v>
      </c>
      <c r="D13214" s="4">
        <v>18464734</v>
      </c>
    </row>
    <row r="13215" spans="1:4" x14ac:dyDescent="0.25">
      <c r="A13215" t="str">
        <f>T("   650700")</f>
        <v xml:space="preserve">   650700</v>
      </c>
      <c r="B13215" t="str">
        <f>T("   BANDES POUR GARNITURE INTERIEURE, COIFFES, COUVRECOIFFURES, CARCASSES, VISIERES ET JUG")</f>
        <v xml:space="preserve">   BANDES POUR GARNITURE INTERIEURE, COIFFES, COUVRECOIFFURES, CARCASSES, VISIERES ET JUG</v>
      </c>
      <c r="C13215" s="4">
        <v>130</v>
      </c>
      <c r="D13215" s="4">
        <v>150000</v>
      </c>
    </row>
    <row r="13216" spans="1:4" x14ac:dyDescent="0.25">
      <c r="A13216" t="str">
        <f>T("   660110")</f>
        <v xml:space="preserve">   660110</v>
      </c>
      <c r="B13216" t="str">
        <f>T("   PARASOLS DE JARDIN ET ARTICLES SIMILAIRES")</f>
        <v xml:space="preserve">   PARASOLS DE JARDIN ET ARTICLES SIMILAIRES</v>
      </c>
      <c r="C13216" s="4">
        <v>68192</v>
      </c>
      <c r="D13216" s="4">
        <v>38003664</v>
      </c>
    </row>
    <row r="13217" spans="1:4" x14ac:dyDescent="0.25">
      <c r="A13217" t="str">
        <f>T("   660199")</f>
        <v xml:space="preserve">   660199</v>
      </c>
      <c r="B13217" t="str">
        <f>T("   AUTRES")</f>
        <v xml:space="preserve">   AUTRES</v>
      </c>
      <c r="C13217" s="4">
        <v>66087</v>
      </c>
      <c r="D13217" s="4">
        <v>116442515</v>
      </c>
    </row>
    <row r="13218" spans="1:4" x14ac:dyDescent="0.25">
      <c r="A13218" t="str">
        <f>T("   660200")</f>
        <v xml:space="preserve">   660200</v>
      </c>
      <c r="B13218" t="str">
        <f>T("   CANNES, CANNESSIEGES, FOUETS, CRAVACHES ET ARTICLES SIMILAIRES.")</f>
        <v xml:space="preserve">   CANNES, CANNESSIEGES, FOUETS, CRAVACHES ET ARTICLES SIMILAIRES.</v>
      </c>
      <c r="C13218" s="4">
        <v>1753</v>
      </c>
      <c r="D13218" s="4">
        <v>1797031</v>
      </c>
    </row>
    <row r="13219" spans="1:4" x14ac:dyDescent="0.25">
      <c r="A13219" t="str">
        <f>T("   660310")</f>
        <v xml:space="preserve">   660310</v>
      </c>
      <c r="B13219" t="str">
        <f>T("   Poignees et pommeaux")</f>
        <v xml:space="preserve">   Poignees et pommeaux</v>
      </c>
      <c r="C13219" s="4">
        <v>6168</v>
      </c>
      <c r="D13219" s="4">
        <v>3311934</v>
      </c>
    </row>
    <row r="13220" spans="1:4" x14ac:dyDescent="0.25">
      <c r="A13220" t="str">
        <f>T("   660390")</f>
        <v xml:space="preserve">   660390</v>
      </c>
      <c r="B13220" t="str">
        <f>T("   AUTRES")</f>
        <v xml:space="preserve">   AUTRES</v>
      </c>
      <c r="C13220" s="4">
        <v>1511</v>
      </c>
      <c r="D13220" s="4">
        <v>841325</v>
      </c>
    </row>
    <row r="13221" spans="1:4" x14ac:dyDescent="0.25">
      <c r="A13221" t="str">
        <f>T("   670210")</f>
        <v xml:space="preserve">   670210</v>
      </c>
      <c r="B13221" t="str">
        <f>T("   EN MATIERES PLASTIQUES")</f>
        <v xml:space="preserve">   EN MATIERES PLASTIQUES</v>
      </c>
      <c r="C13221" s="4">
        <v>33304</v>
      </c>
      <c r="D13221" s="4">
        <v>14310293</v>
      </c>
    </row>
    <row r="13222" spans="1:4" x14ac:dyDescent="0.25">
      <c r="A13222" t="str">
        <f>T("   670290")</f>
        <v xml:space="preserve">   670290</v>
      </c>
      <c r="B13222" t="str">
        <f>T("   EN AUTRES MATIERES")</f>
        <v xml:space="preserve">   EN AUTRES MATIERES</v>
      </c>
      <c r="C13222" s="4">
        <v>50420</v>
      </c>
      <c r="D13222" s="4">
        <v>43968308</v>
      </c>
    </row>
    <row r="13223" spans="1:4" x14ac:dyDescent="0.25">
      <c r="A13223" t="str">
        <f>T("   670300")</f>
        <v xml:space="preserve">   670300</v>
      </c>
      <c r="B13223" t="str">
        <f>T("   CHEVEUX REMIS, AMINCIS, BLANCHIS OU AUTREMENT PREPARES; LAINE, POILS ET AUTRES MATIERES")</f>
        <v xml:space="preserve">   CHEVEUX REMIS, AMINCIS, BLANCHIS OU AUTREMENT PREPARES; LAINE, POILS ET AUTRES MATIERES</v>
      </c>
      <c r="C13223" s="4">
        <v>4680</v>
      </c>
      <c r="D13223" s="4">
        <v>2161894</v>
      </c>
    </row>
    <row r="13224" spans="1:4" x14ac:dyDescent="0.25">
      <c r="A13224" t="str">
        <f>T("   670419")</f>
        <v xml:space="preserve">   670419</v>
      </c>
      <c r="B13224" t="str">
        <f>T("   AUTRES")</f>
        <v xml:space="preserve">   AUTRES</v>
      </c>
      <c r="C13224" s="4">
        <v>162636</v>
      </c>
      <c r="D13224" s="4">
        <v>137345077</v>
      </c>
    </row>
    <row r="13225" spans="1:4" x14ac:dyDescent="0.25">
      <c r="A13225" t="str">
        <f>T("   670420")</f>
        <v xml:space="preserve">   670420</v>
      </c>
      <c r="B13225" t="str">
        <f>T("   EN CHEVEUX")</f>
        <v xml:space="preserve">   EN CHEVEUX</v>
      </c>
      <c r="C13225" s="4">
        <v>422145</v>
      </c>
      <c r="D13225" s="4">
        <v>114385097</v>
      </c>
    </row>
    <row r="13226" spans="1:4" x14ac:dyDescent="0.25">
      <c r="A13226" t="str">
        <f>T("   670490")</f>
        <v xml:space="preserve">   670490</v>
      </c>
      <c r="B13226" t="str">
        <f>T("   EN AUTRES MATIERES")</f>
        <v xml:space="preserve">   EN AUTRES MATIERES</v>
      </c>
      <c r="C13226" s="4">
        <v>2286</v>
      </c>
      <c r="D13226" s="4">
        <v>1252490</v>
      </c>
    </row>
    <row r="13227" spans="1:4" x14ac:dyDescent="0.25">
      <c r="A13227" t="str">
        <f>T("   680210")</f>
        <v xml:space="preserve">   680210</v>
      </c>
      <c r="B13227" t="str">
        <f>T("   CARREAUX, CUBES, DES ET ARTICLES SIMILAIRES, MEME DE FORME AUTRE QUE CARREE OU RECTAN")</f>
        <v xml:space="preserve">   CARREAUX, CUBES, DES ET ARTICLES SIMILAIRES, MEME DE FORME AUTRE QUE CARREE OU RECTAN</v>
      </c>
      <c r="C13227" s="4">
        <v>295693</v>
      </c>
      <c r="D13227" s="4">
        <v>38316996</v>
      </c>
    </row>
    <row r="13228" spans="1:4" x14ac:dyDescent="0.25">
      <c r="A13228" t="str">
        <f>T("   680221")</f>
        <v xml:space="preserve">   680221</v>
      </c>
      <c r="B13228" t="str">
        <f>T("   MARBRE, TRAVERTIN ET ALBATRE")</f>
        <v xml:space="preserve">   MARBRE, TRAVERTIN ET ALBATRE</v>
      </c>
      <c r="C13228" s="4">
        <v>80670</v>
      </c>
      <c r="D13228" s="4">
        <v>17159689</v>
      </c>
    </row>
    <row r="13229" spans="1:4" x14ac:dyDescent="0.25">
      <c r="A13229" t="str">
        <f>T("   680223")</f>
        <v xml:space="preserve">   680223</v>
      </c>
      <c r="B13229" t="str">
        <f>T("   GRANIT")</f>
        <v xml:space="preserve">   GRANIT</v>
      </c>
      <c r="C13229" s="4">
        <v>77507</v>
      </c>
      <c r="D13229" s="4">
        <v>22517474</v>
      </c>
    </row>
    <row r="13230" spans="1:4" x14ac:dyDescent="0.25">
      <c r="A13230" t="str">
        <f>T("   680229")</f>
        <v xml:space="preserve">   680229</v>
      </c>
      <c r="B13230" t="str">
        <f>T("   AUTRES PIERRES")</f>
        <v xml:space="preserve">   AUTRES PIERRES</v>
      </c>
      <c r="C13230" s="4">
        <v>93979</v>
      </c>
      <c r="D13230" s="4">
        <v>26984883</v>
      </c>
    </row>
    <row r="13231" spans="1:4" x14ac:dyDescent="0.25">
      <c r="A13231" t="str">
        <f>T("   680293")</f>
        <v xml:space="preserve">   680293</v>
      </c>
      <c r="B13231" t="str">
        <f>T("   GRANIT")</f>
        <v xml:space="preserve">   GRANIT</v>
      </c>
      <c r="C13231" s="4">
        <v>51927</v>
      </c>
      <c r="D13231" s="4">
        <v>10534151</v>
      </c>
    </row>
    <row r="13232" spans="1:4" x14ac:dyDescent="0.25">
      <c r="A13232" t="str">
        <f>T("   680299")</f>
        <v xml:space="preserve">   680299</v>
      </c>
      <c r="B13232" t="str">
        <f>T("   Autres pierres")</f>
        <v xml:space="preserve">   Autres pierres</v>
      </c>
      <c r="C13232" s="4">
        <v>26000</v>
      </c>
      <c r="D13232" s="4">
        <v>3925000</v>
      </c>
    </row>
    <row r="13233" spans="1:4" x14ac:dyDescent="0.25">
      <c r="A13233" t="str">
        <f>T("   680410")</f>
        <v xml:space="preserve">   680410</v>
      </c>
      <c r="B13233" t="str">
        <f>T("   Meules a moudre ou a defibrer")</f>
        <v xml:space="preserve">   Meules a moudre ou a defibrer</v>
      </c>
      <c r="C13233" s="4">
        <v>351</v>
      </c>
      <c r="D13233" s="4">
        <v>3621780</v>
      </c>
    </row>
    <row r="13234" spans="1:4" x14ac:dyDescent="0.25">
      <c r="A13234" t="str">
        <f>T("   680421")</f>
        <v xml:space="preserve">   680421</v>
      </c>
      <c r="B13234" t="str">
        <f>T("   EN DIAMANT NATUREL OU SYNTHETIQUE, AGGLOMERE")</f>
        <v xml:space="preserve">   EN DIAMANT NATUREL OU SYNTHETIQUE, AGGLOMERE</v>
      </c>
      <c r="C13234" s="4">
        <v>533</v>
      </c>
      <c r="D13234" s="4">
        <v>1861313</v>
      </c>
    </row>
    <row r="13235" spans="1:4" x14ac:dyDescent="0.25">
      <c r="A13235" t="str">
        <f>T("   680422")</f>
        <v xml:space="preserve">   680422</v>
      </c>
      <c r="B13235" t="str">
        <f>T("   EN AUTRES ABRASIFS AGGLOMERES OU EN CERAMIQUE")</f>
        <v xml:space="preserve">   EN AUTRES ABRASIFS AGGLOMERES OU EN CERAMIQUE</v>
      </c>
      <c r="C13235" s="4">
        <v>55590</v>
      </c>
      <c r="D13235" s="4">
        <v>22423871</v>
      </c>
    </row>
    <row r="13236" spans="1:4" x14ac:dyDescent="0.25">
      <c r="A13236" t="str">
        <f>T("   680430")</f>
        <v xml:space="preserve">   680430</v>
      </c>
      <c r="B13236" t="str">
        <f>T("   Pierres a aiguiser ou a polir a la main")</f>
        <v xml:space="preserve">   Pierres a aiguiser ou a polir a la main</v>
      </c>
      <c r="C13236" s="4">
        <v>434.15</v>
      </c>
      <c r="D13236" s="4">
        <v>2749222</v>
      </c>
    </row>
    <row r="13237" spans="1:4" x14ac:dyDescent="0.25">
      <c r="A13237" t="str">
        <f>T("   680510")</f>
        <v xml:space="preserve">   680510</v>
      </c>
      <c r="B13237" t="str">
        <f>T("   APPLIQUES SUR TISSUS EN MATIERES TEXTILES SEULEMENT")</f>
        <v xml:space="preserve">   APPLIQUES SUR TISSUS EN MATIERES TEXTILES SEULEMENT</v>
      </c>
      <c r="C13237" s="4">
        <v>241</v>
      </c>
      <c r="D13237" s="4">
        <v>1660176</v>
      </c>
    </row>
    <row r="13238" spans="1:4" x14ac:dyDescent="0.25">
      <c r="A13238" t="str">
        <f>T("   680520")</f>
        <v xml:space="preserve">   680520</v>
      </c>
      <c r="B13238" t="str">
        <f>T("   APPLIQUES SUR PAPIER OU CARTON SEULEMENT")</f>
        <v xml:space="preserve">   APPLIQUES SUR PAPIER OU CARTON SEULEMENT</v>
      </c>
      <c r="C13238" s="4">
        <v>9744</v>
      </c>
      <c r="D13238" s="4">
        <v>4628581</v>
      </c>
    </row>
    <row r="13239" spans="1:4" x14ac:dyDescent="0.25">
      <c r="A13239" t="str">
        <f>T("   680530")</f>
        <v xml:space="preserve">   680530</v>
      </c>
      <c r="B13239" t="str">
        <f>T("   APPLIQUES SUR D'AUTRES MATIERES")</f>
        <v xml:space="preserve">   APPLIQUES SUR D'AUTRES MATIERES</v>
      </c>
      <c r="C13239" s="4">
        <v>5289</v>
      </c>
      <c r="D13239" s="4">
        <v>11797479</v>
      </c>
    </row>
    <row r="13240" spans="1:4" x14ac:dyDescent="0.25">
      <c r="A13240" t="str">
        <f>T("   680610")</f>
        <v xml:space="preserve">   680610</v>
      </c>
      <c r="B13240" t="str">
        <f>T("   LAINES DE LAITIER, DE SCORIES, DE ROCHE ET LAINES MINERALES SIMILAIRES, MEME MELANGEE")</f>
        <v xml:space="preserve">   LAINES DE LAITIER, DE SCORIES, DE ROCHE ET LAINES MINERALES SIMILAIRES, MEME MELANGEE</v>
      </c>
      <c r="C13240" s="4">
        <v>835</v>
      </c>
      <c r="D13240" s="4">
        <v>4465776</v>
      </c>
    </row>
    <row r="13241" spans="1:4" x14ac:dyDescent="0.25">
      <c r="A13241" t="str">
        <f>T("   680620")</f>
        <v xml:space="preserve">   680620</v>
      </c>
      <c r="B13241" t="str">
        <f>T("   VERMICULITE EXPANSEE, ARGILES EXPANSEES, MOUSSE DE SCORIES ET PRODUITS MINERAUX SIMIL")</f>
        <v xml:space="preserve">   VERMICULITE EXPANSEE, ARGILES EXPANSEES, MOUSSE DE SCORIES ET PRODUITS MINERAUX SIMIL</v>
      </c>
      <c r="C13241" s="4">
        <v>3505</v>
      </c>
      <c r="D13241" s="4">
        <v>1052971</v>
      </c>
    </row>
    <row r="13242" spans="1:4" x14ac:dyDescent="0.25">
      <c r="A13242" t="str">
        <f>T("   680690")</f>
        <v xml:space="preserve">   680690</v>
      </c>
      <c r="B13242" t="str">
        <f>T("   AUTRES")</f>
        <v xml:space="preserve">   AUTRES</v>
      </c>
      <c r="C13242" s="4">
        <v>24287</v>
      </c>
      <c r="D13242" s="4">
        <v>32212969</v>
      </c>
    </row>
    <row r="13243" spans="1:4" x14ac:dyDescent="0.25">
      <c r="A13243" t="str">
        <f>T("   680710")</f>
        <v xml:space="preserve">   680710</v>
      </c>
      <c r="B13243" t="str">
        <f>T("   EN ROULEAUX")</f>
        <v xml:space="preserve">   EN ROULEAUX</v>
      </c>
      <c r="C13243" s="4">
        <v>256512.43</v>
      </c>
      <c r="D13243" s="4">
        <v>121761182</v>
      </c>
    </row>
    <row r="13244" spans="1:4" x14ac:dyDescent="0.25">
      <c r="A13244" t="str">
        <f>T("   680790")</f>
        <v xml:space="preserve">   680790</v>
      </c>
      <c r="B13244" t="str">
        <f>T("   AUTRES")</f>
        <v xml:space="preserve">   AUTRES</v>
      </c>
      <c r="C13244" s="4">
        <v>281465</v>
      </c>
      <c r="D13244" s="4">
        <v>58096235</v>
      </c>
    </row>
    <row r="13245" spans="1:4" x14ac:dyDescent="0.25">
      <c r="A13245" t="str">
        <f>T("   680800")</f>
        <v xml:space="preserve">   680800</v>
      </c>
      <c r="B13245" t="str">
        <f>T("   PANNEAUX, PLANCHES, CARREAUX, BLOCS ET ARTICLES SIMILAIRES, EN FIBRES VEGETALES, EN PAI")</f>
        <v xml:space="preserve">   PANNEAUX, PLANCHES, CARREAUX, BLOCS ET ARTICLES SIMILAIRES, EN FIBRES VEGETALES, EN PAI</v>
      </c>
      <c r="C13245" s="4">
        <v>95411</v>
      </c>
      <c r="D13245" s="4">
        <v>140351834</v>
      </c>
    </row>
    <row r="13246" spans="1:4" x14ac:dyDescent="0.25">
      <c r="A13246" t="str">
        <f>T("   680911")</f>
        <v xml:space="preserve">   680911</v>
      </c>
      <c r="B13246" t="str">
        <f>T("   REVETUS OU RENFORCES DE PAPIER OU DE CARTON UNIQUEMENT")</f>
        <v xml:space="preserve">   REVETUS OU RENFORCES DE PAPIER OU DE CARTON UNIQUEMENT</v>
      </c>
      <c r="C13246" s="4">
        <v>26814</v>
      </c>
      <c r="D13246" s="4">
        <v>14945922</v>
      </c>
    </row>
    <row r="13247" spans="1:4" x14ac:dyDescent="0.25">
      <c r="A13247" t="str">
        <f>T("   680919")</f>
        <v xml:space="preserve">   680919</v>
      </c>
      <c r="B13247" t="str">
        <f>T("   AUTRES")</f>
        <v xml:space="preserve">   AUTRES</v>
      </c>
      <c r="C13247" s="4">
        <v>22200</v>
      </c>
      <c r="D13247" s="4">
        <v>10922073</v>
      </c>
    </row>
    <row r="13248" spans="1:4" x14ac:dyDescent="0.25">
      <c r="A13248" t="str">
        <f>T("   680990")</f>
        <v xml:space="preserve">   680990</v>
      </c>
      <c r="B13248" t="str">
        <f>T("   AUTRES OUVRAGES")</f>
        <v xml:space="preserve">   AUTRES OUVRAGES</v>
      </c>
      <c r="C13248" s="4">
        <v>372304</v>
      </c>
      <c r="D13248" s="4">
        <v>156055174</v>
      </c>
    </row>
    <row r="13249" spans="1:4" x14ac:dyDescent="0.25">
      <c r="A13249" t="str">
        <f>T("   681019")</f>
        <v xml:space="preserve">   681019</v>
      </c>
      <c r="B13249" t="str">
        <f>T("   AUTRES")</f>
        <v xml:space="preserve">   AUTRES</v>
      </c>
      <c r="C13249" s="4">
        <v>2875905</v>
      </c>
      <c r="D13249" s="4">
        <v>191685950</v>
      </c>
    </row>
    <row r="13250" spans="1:4" x14ac:dyDescent="0.25">
      <c r="A13250" t="str">
        <f>T("   681099")</f>
        <v xml:space="preserve">   681099</v>
      </c>
      <c r="B13250" t="str">
        <f>T("   AUTRES")</f>
        <v xml:space="preserve">   AUTRES</v>
      </c>
      <c r="C13250" s="4">
        <v>236131</v>
      </c>
      <c r="D13250" s="4">
        <v>11841516</v>
      </c>
    </row>
    <row r="13251" spans="1:4" x14ac:dyDescent="0.25">
      <c r="A13251" t="str">
        <f>T("   681110")</f>
        <v xml:space="preserve">   681110</v>
      </c>
      <c r="B13251" t="str">
        <f>T("   PLAQUES ONDULEES,EN AMIANTE-CIMENT, CELLULOSE-CIMENT OU SIMILAIRES")</f>
        <v xml:space="preserve">   PLAQUES ONDULEES,EN AMIANTE-CIMENT, CELLULOSE-CIMENT OU SIMILAIRES</v>
      </c>
      <c r="C13251" s="4">
        <v>1173780</v>
      </c>
      <c r="D13251" s="4">
        <v>220566378</v>
      </c>
    </row>
    <row r="13252" spans="1:4" x14ac:dyDescent="0.25">
      <c r="A13252" t="str">
        <f>T("   681120")</f>
        <v xml:space="preserve">   681120</v>
      </c>
      <c r="B13252" t="str">
        <f>T("   PANNEAUX,TUILES ET ARTICLES SIMILAIRES,EN AMIANTE-CIMENT..")</f>
        <v xml:space="preserve">   PANNEAUX,TUILES ET ARTICLES SIMILAIRES,EN AMIANTE-CIMENT..</v>
      </c>
      <c r="C13252" s="4">
        <v>10573</v>
      </c>
      <c r="D13252" s="4">
        <v>1681639</v>
      </c>
    </row>
    <row r="13253" spans="1:4" x14ac:dyDescent="0.25">
      <c r="A13253" t="str">
        <f>T("   681140")</f>
        <v xml:space="preserve">   681140</v>
      </c>
      <c r="B13253" t="str">
        <f>T("   CONTENANT DE L'AMIANTE")</f>
        <v xml:space="preserve">   CONTENANT DE L'AMIANTE</v>
      </c>
      <c r="C13253" s="4">
        <v>18975</v>
      </c>
      <c r="D13253" s="4">
        <v>2210101</v>
      </c>
    </row>
    <row r="13254" spans="1:4" x14ac:dyDescent="0.25">
      <c r="A13254" t="str">
        <f>T("   681181")</f>
        <v xml:space="preserve">   681181</v>
      </c>
      <c r="B13254" t="str">
        <f>T("   PLAQUES ONDULEES")</f>
        <v xml:space="preserve">   PLAQUES ONDULEES</v>
      </c>
      <c r="C13254" s="4">
        <v>677300</v>
      </c>
      <c r="D13254" s="4">
        <v>55324951</v>
      </c>
    </row>
    <row r="13255" spans="1:4" x14ac:dyDescent="0.25">
      <c r="A13255" t="str">
        <f>T("   681182")</f>
        <v xml:space="preserve">   681182</v>
      </c>
      <c r="B13255" t="str">
        <f>T("   AUTRES PLAQUES, PANNEAUX, CARREAUX, TUILES ET ARTICLES SIMILAIRES")</f>
        <v xml:space="preserve">   AUTRES PLAQUES, PANNEAUX, CARREAUX, TUILES ET ARTICLES SIMILAIRES</v>
      </c>
      <c r="C13255" s="4">
        <v>625000</v>
      </c>
      <c r="D13255" s="4">
        <v>46397842</v>
      </c>
    </row>
    <row r="13256" spans="1:4" x14ac:dyDescent="0.25">
      <c r="A13256" t="str">
        <f>T("   681183")</f>
        <v xml:space="preserve">   681183</v>
      </c>
      <c r="B13256" t="str">
        <f>T("   ---POUR CALISATION D'EAU")</f>
        <v xml:space="preserve">   ---POUR CALISATION D'EAU</v>
      </c>
      <c r="C13256" s="4">
        <v>84800</v>
      </c>
      <c r="D13256" s="4">
        <v>8738699</v>
      </c>
    </row>
    <row r="13257" spans="1:4" x14ac:dyDescent="0.25">
      <c r="A13257" t="str">
        <f>T("   681189")</f>
        <v xml:space="preserve">   681189</v>
      </c>
      <c r="B13257" t="str">
        <f>T("   AUTRES OUVRAGES")</f>
        <v xml:space="preserve">   AUTRES OUVRAGES</v>
      </c>
      <c r="C13257" s="4">
        <v>2550</v>
      </c>
      <c r="D13257" s="4">
        <v>10998114</v>
      </c>
    </row>
    <row r="13258" spans="1:4" x14ac:dyDescent="0.25">
      <c r="A13258" t="str">
        <f>T("   681291")</f>
        <v xml:space="preserve">   681291</v>
      </c>
      <c r="B13258" t="str">
        <f>T("   VETEMENTS, ACCESSOIRES DU VETEMENT, CHAUSSURES ET COIFFURES")</f>
        <v xml:space="preserve">   VETEMENTS, ACCESSOIRES DU VETEMENT, CHAUSSURES ET COIFFURES</v>
      </c>
      <c r="C13258" s="4">
        <v>100</v>
      </c>
      <c r="D13258" s="4">
        <v>167000</v>
      </c>
    </row>
    <row r="13259" spans="1:4" x14ac:dyDescent="0.25">
      <c r="A13259" t="str">
        <f>T("   681293")</f>
        <v xml:space="preserve">   681293</v>
      </c>
      <c r="B13259" t="str">
        <f>T("   FEUILLES EN AMIANTE ET ELASTOMERES COMPRIMES, POUR JOINTS, MEME PRESENTES EN ROULEAU")</f>
        <v xml:space="preserve">   FEUILLES EN AMIANTE ET ELASTOMERES COMPRIMES, POUR JOINTS, MEME PRESENTES EN ROULEAU</v>
      </c>
      <c r="C13259" s="4">
        <v>850</v>
      </c>
      <c r="D13259" s="4">
        <v>3870033</v>
      </c>
    </row>
    <row r="13260" spans="1:4" x14ac:dyDescent="0.25">
      <c r="A13260" t="str">
        <f>T("   681381")</f>
        <v xml:space="preserve">   681381</v>
      </c>
      <c r="B13260" t="str">
        <f>T("   GARNITURES DE FREINS")</f>
        <v xml:space="preserve">   GARNITURES DE FREINS</v>
      </c>
      <c r="C13260" s="4">
        <v>440</v>
      </c>
      <c r="D13260" s="4">
        <v>2446882</v>
      </c>
    </row>
    <row r="13261" spans="1:4" x14ac:dyDescent="0.25">
      <c r="A13261" t="str">
        <f>T("   681389")</f>
        <v xml:space="preserve">   681389</v>
      </c>
      <c r="B13261" t="str">
        <f>T("   AUTRES")</f>
        <v xml:space="preserve">   AUTRES</v>
      </c>
      <c r="C13261" s="4">
        <v>200</v>
      </c>
      <c r="D13261" s="4">
        <v>1699782</v>
      </c>
    </row>
    <row r="13262" spans="1:4" x14ac:dyDescent="0.25">
      <c r="A13262" t="str">
        <f>T("   681490")</f>
        <v xml:space="preserve">   681490</v>
      </c>
      <c r="B13262" t="str">
        <f>T("   AUTRES")</f>
        <v xml:space="preserve">   AUTRES</v>
      </c>
      <c r="C13262" s="4">
        <v>213</v>
      </c>
      <c r="D13262" s="4">
        <v>2755058</v>
      </c>
    </row>
    <row r="13263" spans="1:4" x14ac:dyDescent="0.25">
      <c r="A13263" t="str">
        <f>T("   681510")</f>
        <v xml:space="preserve">   681510</v>
      </c>
      <c r="B13263" t="str">
        <f>T("   OUVRAGES EN GRAPHITE OU EN AUTRE CARBONE, POUR USAGES AUTRES QU'ELECTRIQUES")</f>
        <v xml:space="preserve">   OUVRAGES EN GRAPHITE OU EN AUTRE CARBONE, POUR USAGES AUTRES QU'ELECTRIQUES</v>
      </c>
      <c r="C13263" s="4">
        <v>4</v>
      </c>
      <c r="D13263" s="4">
        <v>98591</v>
      </c>
    </row>
    <row r="13264" spans="1:4" x14ac:dyDescent="0.25">
      <c r="A13264" t="str">
        <f>T("   681520")</f>
        <v xml:space="preserve">   681520</v>
      </c>
      <c r="B13264" t="str">
        <f>T("   Ouvrages en tourbe")</f>
        <v xml:space="preserve">   Ouvrages en tourbe</v>
      </c>
      <c r="C13264" s="4">
        <v>52</v>
      </c>
      <c r="D13264" s="4">
        <v>619814</v>
      </c>
    </row>
    <row r="13265" spans="1:4" x14ac:dyDescent="0.25">
      <c r="A13265" t="str">
        <f>T("   681599")</f>
        <v xml:space="preserve">   681599</v>
      </c>
      <c r="B13265" t="str">
        <f>T("   AUTRES")</f>
        <v xml:space="preserve">   AUTRES</v>
      </c>
      <c r="C13265" s="4">
        <v>780</v>
      </c>
      <c r="D13265" s="4">
        <v>43693</v>
      </c>
    </row>
    <row r="13266" spans="1:4" x14ac:dyDescent="0.25">
      <c r="A13266" t="str">
        <f>T("   690210")</f>
        <v xml:space="preserve">   690210</v>
      </c>
      <c r="B13266" t="str">
        <f>T("   CONTENANT EN POIDS PLUS DE 50 % DES ELEMENTS MG, CA OU CR, PRIS ISOLEMENT OU ENSEMBLE")</f>
        <v xml:space="preserve">   CONTENANT EN POIDS PLUS DE 50 % DES ELEMENTS MG, CA OU CR, PRIS ISOLEMENT OU ENSEMBLE</v>
      </c>
      <c r="C13266" s="4">
        <v>215576</v>
      </c>
      <c r="D13266" s="4">
        <v>151186135</v>
      </c>
    </row>
    <row r="13267" spans="1:4" x14ac:dyDescent="0.25">
      <c r="A13267" t="str">
        <f>T("   690220")</f>
        <v xml:space="preserve">   690220</v>
      </c>
      <c r="B13267" t="str">
        <f>T("   CONTENANT EN POIDS PLUS DE 50 % D'ALUMINE (AL2O3), DE SILICE (SIO2) OU D'UN MELANGE O")</f>
        <v xml:space="preserve">   CONTENANT EN POIDS PLUS DE 50 % D'ALUMINE (AL2O3), DE SILICE (SIO2) OU D'UN MELANGE O</v>
      </c>
      <c r="C13267" s="4">
        <v>286674</v>
      </c>
      <c r="D13267" s="4">
        <v>176489317</v>
      </c>
    </row>
    <row r="13268" spans="1:4" x14ac:dyDescent="0.25">
      <c r="A13268" t="str">
        <f>T("   690290")</f>
        <v xml:space="preserve">   690290</v>
      </c>
      <c r="B13268" t="str">
        <f>T("   AUTRES")</f>
        <v xml:space="preserve">   AUTRES</v>
      </c>
      <c r="C13268" s="4">
        <v>94115</v>
      </c>
      <c r="D13268" s="4">
        <v>12284077</v>
      </c>
    </row>
    <row r="13269" spans="1:4" x14ac:dyDescent="0.25">
      <c r="A13269" t="str">
        <f>T("   690310")</f>
        <v xml:space="preserve">   690310</v>
      </c>
      <c r="B13269" t="str">
        <f>T("   CONTENANT EN POIDS PLUS DE 50 % DE GRAPHITE OU D'AUTRE CARBONE OU D'UN MELANGE DE CES")</f>
        <v xml:space="preserve">   CONTENANT EN POIDS PLUS DE 50 % DE GRAPHITE OU D'AUTRE CARBONE OU D'UN MELANGE DE CES</v>
      </c>
      <c r="C13269" s="4">
        <v>17</v>
      </c>
      <c r="D13269" s="4">
        <v>5488292</v>
      </c>
    </row>
    <row r="13270" spans="1:4" x14ac:dyDescent="0.25">
      <c r="A13270" t="str">
        <f>T("   690320")</f>
        <v xml:space="preserve">   690320</v>
      </c>
      <c r="B13270" t="str">
        <f>T("   CONTENANT EN POIDS PLUS DE 50 % D'ALUMINE (A12O3) OU D'UN MELANGE OU COMBINAISON D'AL")</f>
        <v xml:space="preserve">   CONTENANT EN POIDS PLUS DE 50 % D'ALUMINE (A12O3) OU D'UN MELANGE OU COMBINAISON D'AL</v>
      </c>
      <c r="C13270" s="4">
        <v>266371</v>
      </c>
      <c r="D13270" s="4">
        <v>15743039</v>
      </c>
    </row>
    <row r="13271" spans="1:4" x14ac:dyDescent="0.25">
      <c r="A13271" t="str">
        <f>T("   690390")</f>
        <v xml:space="preserve">   690390</v>
      </c>
      <c r="B13271" t="str">
        <f>T("   AUTRES")</f>
        <v xml:space="preserve">   AUTRES</v>
      </c>
      <c r="C13271" s="4">
        <v>337884</v>
      </c>
      <c r="D13271" s="4">
        <v>8404599</v>
      </c>
    </row>
    <row r="13272" spans="1:4" x14ac:dyDescent="0.25">
      <c r="A13272" t="str">
        <f>T("   690410")</f>
        <v xml:space="preserve">   690410</v>
      </c>
      <c r="B13272" t="str">
        <f>T("   BRIQUES DE CONSTRUCTION")</f>
        <v xml:space="preserve">   BRIQUES DE CONSTRUCTION</v>
      </c>
      <c r="C13272" s="4">
        <v>22260</v>
      </c>
      <c r="D13272" s="4">
        <v>3342608</v>
      </c>
    </row>
    <row r="13273" spans="1:4" x14ac:dyDescent="0.25">
      <c r="A13273" t="str">
        <f>T("   690510")</f>
        <v xml:space="preserve">   690510</v>
      </c>
      <c r="B13273" t="str">
        <f>T("   TUILES")</f>
        <v xml:space="preserve">   TUILES</v>
      </c>
      <c r="C13273" s="4">
        <v>4083336</v>
      </c>
      <c r="D13273" s="4">
        <v>288585862</v>
      </c>
    </row>
    <row r="13274" spans="1:4" x14ac:dyDescent="0.25">
      <c r="A13274" t="str">
        <f>T("   690590")</f>
        <v xml:space="preserve">   690590</v>
      </c>
      <c r="B13274" t="str">
        <f>T("   AUTRES")</f>
        <v xml:space="preserve">   AUTRES</v>
      </c>
      <c r="C13274" s="4">
        <v>837157</v>
      </c>
      <c r="D13274" s="4">
        <v>102618486</v>
      </c>
    </row>
    <row r="13275" spans="1:4" x14ac:dyDescent="0.25">
      <c r="A13275" t="str">
        <f>T("   690710")</f>
        <v xml:space="preserve">   690710</v>
      </c>
      <c r="B13275" t="str">
        <f>T("   CARREAUX, CUBES, DES ET ARTICLES SIMILAIRES, MEME DE FORME AUTRE QUE CARREE OU RECTAN")</f>
        <v xml:space="preserve">   CARREAUX, CUBES, DES ET ARTICLES SIMILAIRES, MEME DE FORME AUTRE QUE CARREE OU RECTAN</v>
      </c>
      <c r="C13275" s="4">
        <v>208039</v>
      </c>
      <c r="D13275" s="4">
        <v>39049316</v>
      </c>
    </row>
    <row r="13276" spans="1:4" x14ac:dyDescent="0.25">
      <c r="A13276" t="str">
        <f>T("   690790")</f>
        <v xml:space="preserve">   690790</v>
      </c>
      <c r="B13276" t="str">
        <f>T("   AUTRES")</f>
        <v xml:space="preserve">   AUTRES</v>
      </c>
      <c r="C13276" s="4">
        <v>7033282</v>
      </c>
      <c r="D13276" s="4">
        <v>887693448</v>
      </c>
    </row>
    <row r="13277" spans="1:4" x14ac:dyDescent="0.25">
      <c r="A13277" t="str">
        <f>T("   690810")</f>
        <v xml:space="preserve">   690810</v>
      </c>
      <c r="B13277" t="str">
        <f>T("   CARREAUX, CUBES, DES ET ARTICLES SIMILAIRES, MEME DE FORME AUTRE QUE CARREE OU RECTAN")</f>
        <v xml:space="preserve">   CARREAUX, CUBES, DES ET ARTICLES SIMILAIRES, MEME DE FORME AUTRE QUE CARREE OU RECTAN</v>
      </c>
      <c r="C13277" s="4">
        <v>1413884</v>
      </c>
      <c r="D13277" s="4">
        <v>208631838</v>
      </c>
    </row>
    <row r="13278" spans="1:4" x14ac:dyDescent="0.25">
      <c r="A13278" t="str">
        <f>T("   690890")</f>
        <v xml:space="preserve">   690890</v>
      </c>
      <c r="B13278" t="str">
        <f>T("   AUTRES")</f>
        <v xml:space="preserve">   AUTRES</v>
      </c>
      <c r="C13278" s="4">
        <v>61326228</v>
      </c>
      <c r="D13278" s="4">
        <v>7701293615</v>
      </c>
    </row>
    <row r="13279" spans="1:4" x14ac:dyDescent="0.25">
      <c r="A13279" t="str">
        <f>T("   690919")</f>
        <v xml:space="preserve">   690919</v>
      </c>
      <c r="B13279" t="str">
        <f>T("   AUTRES")</f>
        <v xml:space="preserve">   AUTRES</v>
      </c>
      <c r="C13279" s="4">
        <v>26374</v>
      </c>
      <c r="D13279" s="4">
        <v>10953712</v>
      </c>
    </row>
    <row r="13280" spans="1:4" x14ac:dyDescent="0.25">
      <c r="A13280" t="str">
        <f>T("   690990")</f>
        <v xml:space="preserve">   690990</v>
      </c>
      <c r="B13280" t="str">
        <f>T("   AUTRES")</f>
        <v xml:space="preserve">   AUTRES</v>
      </c>
      <c r="C13280" s="4">
        <v>2338</v>
      </c>
      <c r="D13280" s="4">
        <v>683264</v>
      </c>
    </row>
    <row r="13281" spans="1:4" x14ac:dyDescent="0.25">
      <c r="A13281" t="str">
        <f>T("   691010")</f>
        <v xml:space="preserve">   691010</v>
      </c>
      <c r="B13281" t="str">
        <f>T("   EN PORCELAINE")</f>
        <v xml:space="preserve">   EN PORCELAINE</v>
      </c>
      <c r="C13281" s="4">
        <v>379783</v>
      </c>
      <c r="D13281" s="4">
        <v>148621823</v>
      </c>
    </row>
    <row r="13282" spans="1:4" x14ac:dyDescent="0.25">
      <c r="A13282" t="str">
        <f>T("   691090")</f>
        <v xml:space="preserve">   691090</v>
      </c>
      <c r="B13282" t="str">
        <f>T("   AUTRES")</f>
        <v xml:space="preserve">   AUTRES</v>
      </c>
      <c r="C13282" s="4">
        <v>1776252</v>
      </c>
      <c r="D13282" s="4">
        <v>640166200</v>
      </c>
    </row>
    <row r="13283" spans="1:4" x14ac:dyDescent="0.25">
      <c r="A13283" t="str">
        <f>T("   691110")</f>
        <v xml:space="preserve">   691110</v>
      </c>
      <c r="B13283" t="str">
        <f>T("   ARTICLES POUR LE SERVICE DE LA TABLE OU DE LA CUISINE")</f>
        <v xml:space="preserve">   ARTICLES POUR LE SERVICE DE LA TABLE OU DE LA CUISINE</v>
      </c>
      <c r="C13283" s="4">
        <v>209776.71</v>
      </c>
      <c r="D13283" s="4">
        <v>94246766</v>
      </c>
    </row>
    <row r="13284" spans="1:4" x14ac:dyDescent="0.25">
      <c r="A13284" t="str">
        <f>T("   691190")</f>
        <v xml:space="preserve">   691190</v>
      </c>
      <c r="B13284" t="str">
        <f>T("   AUTRES")</f>
        <v xml:space="preserve">   AUTRES</v>
      </c>
      <c r="C13284" s="4">
        <v>49827</v>
      </c>
      <c r="D13284" s="4">
        <v>20033581</v>
      </c>
    </row>
    <row r="13285" spans="1:4" x14ac:dyDescent="0.25">
      <c r="A13285" t="str">
        <f>T("   691200")</f>
        <v xml:space="preserve">   691200</v>
      </c>
      <c r="B13285" t="str">
        <f>T("   VAISSELLE, AUTRES ARTICLES DE MENAGE OU D'ECONOMIE DOMESTIQUE ET ARTICLES D'HYGIENE OU")</f>
        <v xml:space="preserve">   VAISSELLE, AUTRES ARTICLES DE MENAGE OU D'ECONOMIE DOMESTIQUE ET ARTICLES D'HYGIENE OU</v>
      </c>
      <c r="C13285" s="4">
        <v>323983</v>
      </c>
      <c r="D13285" s="4">
        <v>110635804</v>
      </c>
    </row>
    <row r="13286" spans="1:4" x14ac:dyDescent="0.25">
      <c r="A13286" t="str">
        <f>T("   691310")</f>
        <v xml:space="preserve">   691310</v>
      </c>
      <c r="B13286" t="str">
        <f>T("   EN PORCELAINE")</f>
        <v xml:space="preserve">   EN PORCELAINE</v>
      </c>
      <c r="C13286" s="4">
        <v>8</v>
      </c>
      <c r="D13286" s="4">
        <v>58669</v>
      </c>
    </row>
    <row r="13287" spans="1:4" x14ac:dyDescent="0.25">
      <c r="A13287" t="str">
        <f>T("   691390")</f>
        <v xml:space="preserve">   691390</v>
      </c>
      <c r="B13287" t="str">
        <f>T("   AUTRES")</f>
        <v xml:space="preserve">   AUTRES</v>
      </c>
      <c r="C13287" s="4">
        <v>1643</v>
      </c>
      <c r="D13287" s="4">
        <v>938769</v>
      </c>
    </row>
    <row r="13288" spans="1:4" x14ac:dyDescent="0.25">
      <c r="A13288" t="str">
        <f>T("   691410")</f>
        <v xml:space="preserve">   691410</v>
      </c>
      <c r="B13288" t="str">
        <f>T("   EN PORCELAINE")</f>
        <v xml:space="preserve">   EN PORCELAINE</v>
      </c>
      <c r="C13288" s="4">
        <v>21</v>
      </c>
      <c r="D13288" s="4">
        <v>90863</v>
      </c>
    </row>
    <row r="13289" spans="1:4" x14ac:dyDescent="0.25">
      <c r="A13289" t="str">
        <f>T("   691490")</f>
        <v xml:space="preserve">   691490</v>
      </c>
      <c r="B13289" t="str">
        <f>T("   AUTRES")</f>
        <v xml:space="preserve">   AUTRES</v>
      </c>
      <c r="C13289" s="4">
        <v>230088</v>
      </c>
      <c r="D13289" s="4">
        <v>52786211</v>
      </c>
    </row>
    <row r="13290" spans="1:4" x14ac:dyDescent="0.25">
      <c r="A13290" t="str">
        <f>T("   700220")</f>
        <v xml:space="preserve">   700220</v>
      </c>
      <c r="B13290" t="str">
        <f>T("   BARRES OU BAGUETTES")</f>
        <v xml:space="preserve">   BARRES OU BAGUETTES</v>
      </c>
      <c r="C13290" s="4">
        <v>53000</v>
      </c>
      <c r="D13290" s="4">
        <v>11930909</v>
      </c>
    </row>
    <row r="13291" spans="1:4" x14ac:dyDescent="0.25">
      <c r="A13291" t="str">
        <f>T("   700239")</f>
        <v xml:space="preserve">   700239</v>
      </c>
      <c r="B13291" t="str">
        <f>T("   AUTRES")</f>
        <v xml:space="preserve">   AUTRES</v>
      </c>
      <c r="C13291" s="4">
        <v>18034</v>
      </c>
      <c r="D13291" s="4">
        <v>7755818</v>
      </c>
    </row>
    <row r="13292" spans="1:4" x14ac:dyDescent="0.25">
      <c r="A13292" t="str">
        <f>T("   700319")</f>
        <v xml:space="preserve">   700319</v>
      </c>
      <c r="B13292" t="str">
        <f>T("   AUTRES")</f>
        <v xml:space="preserve">   AUTRES</v>
      </c>
      <c r="C13292" s="4">
        <v>196476</v>
      </c>
      <c r="D13292" s="4">
        <v>31108693</v>
      </c>
    </row>
    <row r="13293" spans="1:4" x14ac:dyDescent="0.25">
      <c r="A13293" t="str">
        <f>T("   700420")</f>
        <v xml:space="preserve">   700420</v>
      </c>
      <c r="B13293" t="str">
        <f>T("   VERRE COLORE DANS LA MASSE, OPACIFIE, PLAQUE (DOUBLE) OU A COUCHE ABSORBANTE, REFLECH")</f>
        <v xml:space="preserve">   VERRE COLORE DANS LA MASSE, OPACIFIE, PLAQUE (DOUBLE) OU A COUCHE ABSORBANTE, REFLECH</v>
      </c>
      <c r="C13293" s="4">
        <v>26000</v>
      </c>
      <c r="D13293" s="4">
        <v>5390679</v>
      </c>
    </row>
    <row r="13294" spans="1:4" x14ac:dyDescent="0.25">
      <c r="A13294" t="str">
        <f>T("   700490")</f>
        <v xml:space="preserve">   700490</v>
      </c>
      <c r="B13294" t="str">
        <f>T("   AUTRE VERRE")</f>
        <v xml:space="preserve">   AUTRE VERRE</v>
      </c>
      <c r="C13294" s="4">
        <v>114212</v>
      </c>
      <c r="D13294" s="4">
        <v>23075010</v>
      </c>
    </row>
    <row r="13295" spans="1:4" x14ac:dyDescent="0.25">
      <c r="A13295" t="str">
        <f>T("   700510")</f>
        <v xml:space="preserve">   700510</v>
      </c>
      <c r="B13295" t="str">
        <f>T("   GLACE NON ARMEE, A COUCHE ABSORBANTE, REFLECHISSANTE OU NON REFLECHISSANTE")</f>
        <v xml:space="preserve">   GLACE NON ARMEE, A COUCHE ABSORBANTE, REFLECHISSANTE OU NON REFLECHISSANTE</v>
      </c>
      <c r="C13295" s="4">
        <v>48031</v>
      </c>
      <c r="D13295" s="4">
        <v>12444742</v>
      </c>
    </row>
    <row r="13296" spans="1:4" x14ac:dyDescent="0.25">
      <c r="A13296" t="str">
        <f>T("   700529")</f>
        <v xml:space="preserve">   700529</v>
      </c>
      <c r="B13296" t="str">
        <f>T("   AUTRE")</f>
        <v xml:space="preserve">   AUTRE</v>
      </c>
      <c r="C13296" s="4">
        <v>2689058</v>
      </c>
      <c r="D13296" s="4">
        <v>659571149</v>
      </c>
    </row>
    <row r="13297" spans="1:4" x14ac:dyDescent="0.25">
      <c r="A13297" t="str">
        <f>T("   700600")</f>
        <v xml:space="preserve">   700600</v>
      </c>
      <c r="B13297" t="str">
        <f>T("   VERRE DES N°S 70.03, 70.04 OU 70.05, COURBE, BISEAUTE, GRAVE, PERCE, EMAILLE OU AUTREME")</f>
        <v xml:space="preserve">   VERRE DES N°S 70.03, 70.04 OU 70.05, COURBE, BISEAUTE, GRAVE, PERCE, EMAILLE OU AUTREME</v>
      </c>
      <c r="C13297" s="4">
        <v>898662</v>
      </c>
      <c r="D13297" s="4">
        <v>116082949</v>
      </c>
    </row>
    <row r="13298" spans="1:4" x14ac:dyDescent="0.25">
      <c r="A13298" t="str">
        <f>T("   700711")</f>
        <v xml:space="preserve">   700711</v>
      </c>
      <c r="B13298" t="str">
        <f>T("   DE DIMENSIONS ET FORMATS PERMETTANT LEUR EMPLOI DANS LES AUTOMOBILES, VEHICULES AERI")</f>
        <v xml:space="preserve">   DE DIMENSIONS ET FORMATS PERMETTANT LEUR EMPLOI DANS LES AUTOMOBILES, VEHICULES AERI</v>
      </c>
      <c r="C13298" s="4">
        <v>25272</v>
      </c>
      <c r="D13298" s="4">
        <v>29902725</v>
      </c>
    </row>
    <row r="13299" spans="1:4" x14ac:dyDescent="0.25">
      <c r="A13299" t="str">
        <f>T("   700719")</f>
        <v xml:space="preserve">   700719</v>
      </c>
      <c r="B13299" t="str">
        <f>T("   AUTRES")</f>
        <v xml:space="preserve">   AUTRES</v>
      </c>
      <c r="C13299" s="4">
        <v>5721</v>
      </c>
      <c r="D13299" s="4">
        <v>4251637</v>
      </c>
    </row>
    <row r="13300" spans="1:4" x14ac:dyDescent="0.25">
      <c r="A13300" t="str">
        <f>T("   700721")</f>
        <v xml:space="preserve">   700721</v>
      </c>
      <c r="B13300" t="str">
        <f>T("   DE DIMENSIONS ET FORMATS PERMETTANT LEUR EMPLOI DANS LES AUTOMOBILES, VEHICULES AERI")</f>
        <v xml:space="preserve">   DE DIMENSIONS ET FORMATS PERMETTANT LEUR EMPLOI DANS LES AUTOMOBILES, VEHICULES AERI</v>
      </c>
      <c r="C13300" s="4">
        <v>69546</v>
      </c>
      <c r="D13300" s="4">
        <v>32159182</v>
      </c>
    </row>
    <row r="13301" spans="1:4" x14ac:dyDescent="0.25">
      <c r="A13301" t="str">
        <f>T("   700729")</f>
        <v xml:space="preserve">   700729</v>
      </c>
      <c r="B13301" t="str">
        <f>T("   AUTRES")</f>
        <v xml:space="preserve">   AUTRES</v>
      </c>
      <c r="C13301" s="4">
        <v>79309</v>
      </c>
      <c r="D13301" s="4">
        <v>27960131</v>
      </c>
    </row>
    <row r="13302" spans="1:4" x14ac:dyDescent="0.25">
      <c r="A13302" t="str">
        <f>T("   700800")</f>
        <v xml:space="preserve">   700800</v>
      </c>
      <c r="B13302" t="str">
        <f>T("   VITRAGES ISOLANTS A PAROIS MULTIPLES.")</f>
        <v xml:space="preserve">   VITRAGES ISOLANTS A PAROIS MULTIPLES.</v>
      </c>
      <c r="C13302" s="4">
        <v>180960</v>
      </c>
      <c r="D13302" s="4">
        <v>43222006</v>
      </c>
    </row>
    <row r="13303" spans="1:4" x14ac:dyDescent="0.25">
      <c r="A13303" t="str">
        <f>T("   700910")</f>
        <v xml:space="preserve">   700910</v>
      </c>
      <c r="B13303" t="str">
        <f>T("   Miroirs retroviseurs pour vehicules")</f>
        <v xml:space="preserve">   Miroirs retroviseurs pour vehicules</v>
      </c>
      <c r="C13303" s="4">
        <v>249</v>
      </c>
      <c r="D13303" s="4">
        <v>2920847</v>
      </c>
    </row>
    <row r="13304" spans="1:4" x14ac:dyDescent="0.25">
      <c r="A13304" t="str">
        <f>T("   700991")</f>
        <v xml:space="preserve">   700991</v>
      </c>
      <c r="B13304" t="str">
        <f>T("   NON ENCADRES")</f>
        <v xml:space="preserve">   NON ENCADRES</v>
      </c>
      <c r="C13304" s="4">
        <v>40004</v>
      </c>
      <c r="D13304" s="4">
        <v>9467416</v>
      </c>
    </row>
    <row r="13305" spans="1:4" x14ac:dyDescent="0.25">
      <c r="A13305" t="str">
        <f>T("   700992")</f>
        <v xml:space="preserve">   700992</v>
      </c>
      <c r="B13305" t="str">
        <f>T("   ENCADRES")</f>
        <v xml:space="preserve">   ENCADRES</v>
      </c>
      <c r="C13305" s="4">
        <v>8552.81</v>
      </c>
      <c r="D13305" s="4">
        <v>5538560</v>
      </c>
    </row>
    <row r="13306" spans="1:4" x14ac:dyDescent="0.25">
      <c r="A13306" t="str">
        <f>T("   701010")</f>
        <v xml:space="preserve">   701010</v>
      </c>
      <c r="B13306" t="str">
        <f>T("   AMPOULES")</f>
        <v xml:space="preserve">   AMPOULES</v>
      </c>
      <c r="C13306" s="4">
        <v>4500</v>
      </c>
      <c r="D13306" s="4">
        <v>1500000</v>
      </c>
    </row>
    <row r="13307" spans="1:4" x14ac:dyDescent="0.25">
      <c r="A13307" t="str">
        <f>T("   701020")</f>
        <v xml:space="preserve">   701020</v>
      </c>
      <c r="B13307" t="str">
        <f>T("   BOUCHONS, COUVERCLES ET AUTRES DISPOSITIFS DE FERMETURE")</f>
        <v xml:space="preserve">   BOUCHONS, COUVERCLES ET AUTRES DISPOSITIFS DE FERMETURE</v>
      </c>
      <c r="C13307" s="4">
        <v>236</v>
      </c>
      <c r="D13307" s="4">
        <v>697842</v>
      </c>
    </row>
    <row r="13308" spans="1:4" x14ac:dyDescent="0.25">
      <c r="A13308" t="str">
        <f>T("   701090")</f>
        <v xml:space="preserve">   701090</v>
      </c>
      <c r="B13308" t="str">
        <f>T("   AUTRES")</f>
        <v xml:space="preserve">   AUTRES</v>
      </c>
      <c r="C13308" s="4">
        <v>8616912</v>
      </c>
      <c r="D13308" s="4">
        <v>4090885849</v>
      </c>
    </row>
    <row r="13309" spans="1:4" x14ac:dyDescent="0.25">
      <c r="A13309" t="str">
        <f>T("   701091")</f>
        <v xml:space="preserve">   701091</v>
      </c>
      <c r="B13309" t="str">
        <f>T("   BOUTEILLES,BONBONNES,FLACONS,BOCAUX,POTS,RECIPIENTS SIMILAIRES EXCEDANT 1L")</f>
        <v xml:space="preserve">   BOUTEILLES,BONBONNES,FLACONS,BOCAUX,POTS,RECIPIENTS SIMILAIRES EXCEDANT 1L</v>
      </c>
      <c r="C13309" s="4">
        <v>3100</v>
      </c>
      <c r="D13309" s="4">
        <v>160356</v>
      </c>
    </row>
    <row r="13310" spans="1:4" x14ac:dyDescent="0.25">
      <c r="A13310" t="str">
        <f>T("   701092")</f>
        <v xml:space="preserve">   701092</v>
      </c>
      <c r="B13310" t="str">
        <f>T("   BOUTEILLES,BONBONNES,FLACONS,BOCAUX,POTS,RECIPIENTS SIMILAIRES +0,33L A 1L")</f>
        <v xml:space="preserve">   BOUTEILLES,BONBONNES,FLACONS,BOCAUX,POTS,RECIPIENTS SIMILAIRES +0,33L A 1L</v>
      </c>
      <c r="C13310" s="4">
        <v>189010</v>
      </c>
      <c r="D13310" s="4">
        <v>9346497</v>
      </c>
    </row>
    <row r="13311" spans="1:4" x14ac:dyDescent="0.25">
      <c r="A13311" t="str">
        <f>T("   701094")</f>
        <v xml:space="preserve">   701094</v>
      </c>
      <c r="B13311" t="str">
        <f>T("   BOUTEILLES,BONBONNES,FLACONS,BOCAUX,POTS ET SIMILAIRES, DE 0,15L OU MOINS")</f>
        <v xml:space="preserve">   BOUTEILLES,BONBONNES,FLACONS,BOCAUX,POTS ET SIMILAIRES, DE 0,15L OU MOINS</v>
      </c>
      <c r="C13311" s="4">
        <v>510</v>
      </c>
      <c r="D13311" s="4">
        <v>118082</v>
      </c>
    </row>
    <row r="13312" spans="1:4" x14ac:dyDescent="0.25">
      <c r="A13312" t="str">
        <f>T("   701110")</f>
        <v xml:space="preserve">   701110</v>
      </c>
      <c r="B13312" t="str">
        <f>T("   POUR L'ECLAIRAGE ELECTRIQUE")</f>
        <v xml:space="preserve">   POUR L'ECLAIRAGE ELECTRIQUE</v>
      </c>
      <c r="C13312" s="4">
        <v>65487</v>
      </c>
      <c r="D13312" s="4">
        <v>35458873</v>
      </c>
    </row>
    <row r="13313" spans="1:4" x14ac:dyDescent="0.25">
      <c r="A13313" t="str">
        <f>T("   701190")</f>
        <v xml:space="preserve">   701190</v>
      </c>
      <c r="B13313" t="str">
        <f>T("   AUTRES")</f>
        <v xml:space="preserve">   AUTRES</v>
      </c>
      <c r="C13313" s="4">
        <v>510276</v>
      </c>
      <c r="D13313" s="4">
        <v>150813124</v>
      </c>
    </row>
    <row r="13314" spans="1:4" x14ac:dyDescent="0.25">
      <c r="A13314" t="str">
        <f>T("   701310")</f>
        <v xml:space="preserve">   701310</v>
      </c>
      <c r="B13314" t="str">
        <f>T("   OBJETS EN VITROCERAME")</f>
        <v xml:space="preserve">   OBJETS EN VITROCERAME</v>
      </c>
      <c r="C13314" s="4">
        <v>62765</v>
      </c>
      <c r="D13314" s="4">
        <v>15324515</v>
      </c>
    </row>
    <row r="13315" spans="1:4" x14ac:dyDescent="0.25">
      <c r="A13315" t="str">
        <f>T("   701328")</f>
        <v xml:space="preserve">   701328</v>
      </c>
      <c r="B13315" t="str">
        <f>T("   AUTRES")</f>
        <v xml:space="preserve">   AUTRES</v>
      </c>
      <c r="C13315" s="4">
        <v>127439</v>
      </c>
      <c r="D13315" s="4">
        <v>33600993</v>
      </c>
    </row>
    <row r="13316" spans="1:4" x14ac:dyDescent="0.25">
      <c r="A13316" t="str">
        <f>T("   701329")</f>
        <v xml:space="preserve">   701329</v>
      </c>
      <c r="B13316" t="str">
        <f>T("   AUTRES VERRES A BOIRE,AUTRES QU'EN VITROCERAME")</f>
        <v xml:space="preserve">   AUTRES VERRES A BOIRE,AUTRES QU'EN VITROCERAME</v>
      </c>
      <c r="C13316" s="4">
        <v>28820</v>
      </c>
      <c r="D13316" s="4">
        <v>8873650</v>
      </c>
    </row>
    <row r="13317" spans="1:4" x14ac:dyDescent="0.25">
      <c r="A13317" t="str">
        <f>T("   701333")</f>
        <v xml:space="preserve">   701333</v>
      </c>
      <c r="B13317" t="str">
        <f>T("   EN CRISTAL AU PLOMB")</f>
        <v xml:space="preserve">   EN CRISTAL AU PLOMB</v>
      </c>
      <c r="C13317" s="4">
        <v>42000</v>
      </c>
      <c r="D13317" s="4">
        <v>10721000</v>
      </c>
    </row>
    <row r="13318" spans="1:4" x14ac:dyDescent="0.25">
      <c r="A13318" t="str">
        <f>T("   701337")</f>
        <v xml:space="preserve">   701337</v>
      </c>
      <c r="B13318" t="str">
        <f>T("   AUTRES")</f>
        <v xml:space="preserve">   AUTRES</v>
      </c>
      <c r="C13318" s="4">
        <v>75673</v>
      </c>
      <c r="D13318" s="4">
        <v>47444799</v>
      </c>
    </row>
    <row r="13319" spans="1:4" x14ac:dyDescent="0.25">
      <c r="A13319" t="str">
        <f>T("   701349")</f>
        <v xml:space="preserve">   701349</v>
      </c>
      <c r="B13319" t="str">
        <f>T("   AUTRES")</f>
        <v xml:space="preserve">   AUTRES</v>
      </c>
      <c r="C13319" s="4">
        <v>62174</v>
      </c>
      <c r="D13319" s="4">
        <v>26732729</v>
      </c>
    </row>
    <row r="13320" spans="1:4" x14ac:dyDescent="0.25">
      <c r="A13320" t="str">
        <f>T("   701399")</f>
        <v xml:space="preserve">   701399</v>
      </c>
      <c r="B13320" t="str">
        <f>T("   AUTRES")</f>
        <v xml:space="preserve">   AUTRES</v>
      </c>
      <c r="C13320" s="4">
        <v>164246.26999999999</v>
      </c>
      <c r="D13320" s="4">
        <v>89517307</v>
      </c>
    </row>
    <row r="13321" spans="1:4" x14ac:dyDescent="0.25">
      <c r="A13321" t="str">
        <f>T("   701400")</f>
        <v xml:space="preserve">   701400</v>
      </c>
      <c r="B13321" t="str">
        <f>T("   VERRERIE DE SIGNALISATION ET ELEMENTS D'OPTIQUE EN VERRE (AUTRES QUE CEUX DU N° 70.15),")</f>
        <v xml:space="preserve">   VERRERIE DE SIGNALISATION ET ELEMENTS D'OPTIQUE EN VERRE (AUTRES QUE CEUX DU N° 70.15),</v>
      </c>
      <c r="C13321" s="4">
        <v>2</v>
      </c>
      <c r="D13321" s="4">
        <v>33264</v>
      </c>
    </row>
    <row r="13322" spans="1:4" x14ac:dyDescent="0.25">
      <c r="A13322" t="str">
        <f>T("   701590")</f>
        <v xml:space="preserve">   701590</v>
      </c>
      <c r="B13322" t="str">
        <f>T("   AUTRES")</f>
        <v xml:space="preserve">   AUTRES</v>
      </c>
      <c r="C13322" s="4">
        <v>4</v>
      </c>
      <c r="D13322" s="4">
        <v>420000</v>
      </c>
    </row>
    <row r="13323" spans="1:4" x14ac:dyDescent="0.25">
      <c r="A13323" t="str">
        <f>T("   701610")</f>
        <v xml:space="preserve">   701610</v>
      </c>
      <c r="B13323" t="str">
        <f>T("   CUBES, DES ET AUTRE VERRERIE, MEME SUR SUPPORT, POUR MOSAIQUES OU DECORATIONS SIMILAI")</f>
        <v xml:space="preserve">   CUBES, DES ET AUTRE VERRERIE, MEME SUR SUPPORT, POUR MOSAIQUES OU DECORATIONS SIMILAI</v>
      </c>
      <c r="C13323" s="4">
        <v>22785</v>
      </c>
      <c r="D13323" s="4">
        <v>6550581</v>
      </c>
    </row>
    <row r="13324" spans="1:4" x14ac:dyDescent="0.25">
      <c r="A13324" t="str">
        <f>T("   701690")</f>
        <v xml:space="preserve">   701690</v>
      </c>
      <c r="B13324" t="str">
        <f>T("   AUTRES")</f>
        <v xml:space="preserve">   AUTRES</v>
      </c>
      <c r="C13324" s="4">
        <v>79758</v>
      </c>
      <c r="D13324" s="4">
        <v>26852379</v>
      </c>
    </row>
    <row r="13325" spans="1:4" x14ac:dyDescent="0.25">
      <c r="A13325" t="str">
        <f>T("   701710")</f>
        <v xml:space="preserve">   701710</v>
      </c>
      <c r="B13325" t="str">
        <f>T("   EN QUARTZ OU EN AUTRE SILICE FONDUS")</f>
        <v xml:space="preserve">   EN QUARTZ OU EN AUTRE SILICE FONDUS</v>
      </c>
      <c r="C13325" s="4">
        <v>1632.5</v>
      </c>
      <c r="D13325" s="4">
        <v>3854880</v>
      </c>
    </row>
    <row r="13326" spans="1:4" x14ac:dyDescent="0.25">
      <c r="A13326" t="str">
        <f>T("   701720")</f>
        <v xml:space="preserve">   701720</v>
      </c>
      <c r="B13326" t="str">
        <f>T("   EN AUTRE VERRE D'UN COEFFICIENT DE DILATATION LINEAIRE N'EXCEDANT PAS 5 X 106 PAR KE")</f>
        <v xml:space="preserve">   EN AUTRE VERRE D'UN COEFFICIENT DE DILATATION LINEAIRE N'EXCEDANT PAS 5 X 106 PAR KE</v>
      </c>
      <c r="C13326" s="4">
        <v>79.58</v>
      </c>
      <c r="D13326" s="4">
        <v>1086983</v>
      </c>
    </row>
    <row r="13327" spans="1:4" x14ac:dyDescent="0.25">
      <c r="A13327" t="str">
        <f>T("   701790")</f>
        <v xml:space="preserve">   701790</v>
      </c>
      <c r="B13327" t="str">
        <f>T("   AUTRE")</f>
        <v xml:space="preserve">   AUTRE</v>
      </c>
      <c r="C13327" s="4">
        <v>3211</v>
      </c>
      <c r="D13327" s="4">
        <v>33090219</v>
      </c>
    </row>
    <row r="13328" spans="1:4" x14ac:dyDescent="0.25">
      <c r="A13328" t="str">
        <f>T("   701820")</f>
        <v xml:space="preserve">   701820</v>
      </c>
      <c r="B13328" t="str">
        <f>T("   MICROSPHERES DE VERRE D'UN DIAMETRE N'EXCEDANT PAS 1 MM")</f>
        <v xml:space="preserve">   MICROSPHERES DE VERRE D'UN DIAMETRE N'EXCEDANT PAS 1 MM</v>
      </c>
      <c r="C13328" s="4">
        <v>10000</v>
      </c>
      <c r="D13328" s="4">
        <v>4817370</v>
      </c>
    </row>
    <row r="13329" spans="1:4" x14ac:dyDescent="0.25">
      <c r="A13329" t="str">
        <f>T("   701890")</f>
        <v xml:space="preserve">   701890</v>
      </c>
      <c r="B13329" t="str">
        <f>T("   AUTRES")</f>
        <v xml:space="preserve">   AUTRES</v>
      </c>
      <c r="C13329" s="4">
        <v>100</v>
      </c>
      <c r="D13329" s="4">
        <v>75000</v>
      </c>
    </row>
    <row r="13330" spans="1:4" x14ac:dyDescent="0.25">
      <c r="A13330" t="str">
        <f>T("   701919")</f>
        <v xml:space="preserve">   701919</v>
      </c>
      <c r="B13330" t="str">
        <f>T("   AUTRES")</f>
        <v xml:space="preserve">   AUTRES</v>
      </c>
      <c r="C13330" s="4">
        <v>628</v>
      </c>
      <c r="D13330" s="4">
        <v>264424</v>
      </c>
    </row>
    <row r="13331" spans="1:4" x14ac:dyDescent="0.25">
      <c r="A13331" t="str">
        <f>T("   701939")</f>
        <v xml:space="preserve">   701939</v>
      </c>
      <c r="B13331" t="str">
        <f>T("   AUTRES")</f>
        <v xml:space="preserve">   AUTRES</v>
      </c>
      <c r="C13331" s="4">
        <v>11731</v>
      </c>
      <c r="D13331" s="4">
        <v>3575110</v>
      </c>
    </row>
    <row r="13332" spans="1:4" x14ac:dyDescent="0.25">
      <c r="A13332" t="str">
        <f>T("   701990")</f>
        <v xml:space="preserve">   701990</v>
      </c>
      <c r="B13332" t="str">
        <f>T("   AUTRES")</f>
        <v xml:space="preserve">   AUTRES</v>
      </c>
      <c r="C13332" s="4">
        <v>6948.45</v>
      </c>
      <c r="D13332" s="4">
        <v>17273467</v>
      </c>
    </row>
    <row r="13333" spans="1:4" x14ac:dyDescent="0.25">
      <c r="A13333" t="str">
        <f>T("   702000")</f>
        <v xml:space="preserve">   702000</v>
      </c>
      <c r="B13333" t="str">
        <f>T("   AUTRES OUVRAGES EN VERRE.")</f>
        <v xml:space="preserve">   AUTRES OUVRAGES EN VERRE.</v>
      </c>
      <c r="C13333" s="4">
        <v>326146</v>
      </c>
      <c r="D13333" s="4">
        <v>83949573</v>
      </c>
    </row>
    <row r="13334" spans="1:4" x14ac:dyDescent="0.25">
      <c r="A13334" t="str">
        <f>T("   710229")</f>
        <v xml:space="preserve">   710229</v>
      </c>
      <c r="B13334" t="str">
        <f>T("   AUTRES")</f>
        <v xml:space="preserve">   AUTRES</v>
      </c>
      <c r="C13334" s="4">
        <v>8211</v>
      </c>
      <c r="D13334" s="4">
        <v>1300000</v>
      </c>
    </row>
    <row r="13335" spans="1:4" x14ac:dyDescent="0.25">
      <c r="A13335" t="str">
        <f>T("   711019")</f>
        <v xml:space="preserve">   711019</v>
      </c>
      <c r="B13335" t="str">
        <f>T("   AUTRES")</f>
        <v xml:space="preserve">   AUTRES</v>
      </c>
      <c r="C13335" s="4">
        <v>0.8</v>
      </c>
      <c r="D13335" s="4">
        <v>1563441</v>
      </c>
    </row>
    <row r="13336" spans="1:4" x14ac:dyDescent="0.25">
      <c r="A13336" t="str">
        <f>T("   711419")</f>
        <v xml:space="preserve">   711419</v>
      </c>
      <c r="B13336" t="str">
        <f>T("   EN AUTRES METAUX PRECIEUX, MEME REVETUS, PLAQUES OU DOUBLES DE METAUX PRECIEUX")</f>
        <v xml:space="preserve">   EN AUTRES METAUX PRECIEUX, MEME REVETUS, PLAQUES OU DOUBLES DE METAUX PRECIEUX</v>
      </c>
      <c r="C13336" s="4">
        <v>60</v>
      </c>
      <c r="D13336" s="4">
        <v>1610303</v>
      </c>
    </row>
    <row r="13337" spans="1:4" x14ac:dyDescent="0.25">
      <c r="A13337" t="str">
        <f>T("   711420")</f>
        <v xml:space="preserve">   711420</v>
      </c>
      <c r="B13337" t="str">
        <f>T("   EN PLAQUES OU DOUBLES DE METAUX PRECIEUX SUR METAUX COMMUNS")</f>
        <v xml:space="preserve">   EN PLAQUES OU DOUBLES DE METAUX PRECIEUX SUR METAUX COMMUNS</v>
      </c>
      <c r="C13337" s="4">
        <v>340</v>
      </c>
      <c r="D13337" s="4">
        <v>175666</v>
      </c>
    </row>
    <row r="13338" spans="1:4" x14ac:dyDescent="0.25">
      <c r="A13338" t="str">
        <f>T("   711610")</f>
        <v xml:space="preserve">   711610</v>
      </c>
      <c r="B13338" t="str">
        <f>T("   EN PERLES FINES OU DE CULTURE")</f>
        <v xml:space="preserve">   EN PERLES FINES OU DE CULTURE</v>
      </c>
      <c r="C13338" s="4">
        <v>215</v>
      </c>
      <c r="D13338" s="4">
        <v>205000</v>
      </c>
    </row>
    <row r="13339" spans="1:4" x14ac:dyDescent="0.25">
      <c r="A13339" t="str">
        <f>T("   711711")</f>
        <v xml:space="preserve">   711711</v>
      </c>
      <c r="B13339" t="str">
        <f>T("   BOUTONS DE MANCHETTES ET BOUTONS SIMILAIRES")</f>
        <v xml:space="preserve">   BOUTONS DE MANCHETTES ET BOUTONS SIMILAIRES</v>
      </c>
      <c r="C13339" s="4">
        <v>14000</v>
      </c>
      <c r="D13339" s="4">
        <v>6471000</v>
      </c>
    </row>
    <row r="13340" spans="1:4" x14ac:dyDescent="0.25">
      <c r="A13340" t="str">
        <f>T("   711719")</f>
        <v xml:space="preserve">   711719</v>
      </c>
      <c r="B13340" t="str">
        <f>T("   AUTRES")</f>
        <v xml:space="preserve">   AUTRES</v>
      </c>
      <c r="C13340" s="4">
        <v>1233.25</v>
      </c>
      <c r="D13340" s="4">
        <v>7769314</v>
      </c>
    </row>
    <row r="13341" spans="1:4" x14ac:dyDescent="0.25">
      <c r="A13341" t="str">
        <f>T("   711790")</f>
        <v xml:space="preserve">   711790</v>
      </c>
      <c r="B13341" t="str">
        <f>T("   AUTRES")</f>
        <v xml:space="preserve">   AUTRES</v>
      </c>
      <c r="C13341" s="4">
        <v>103900.5</v>
      </c>
      <c r="D13341" s="4">
        <v>164548316</v>
      </c>
    </row>
    <row r="13342" spans="1:4" x14ac:dyDescent="0.25">
      <c r="A13342" t="str">
        <f>T("   720230")</f>
        <v xml:space="preserve">   720230</v>
      </c>
      <c r="B13342" t="str">
        <f>T("   FERROSILICOMANGANESE")</f>
        <v xml:space="preserve">   FERROSILICOMANGANESE</v>
      </c>
      <c r="C13342" s="4">
        <v>304390</v>
      </c>
      <c r="D13342" s="4">
        <v>181107679</v>
      </c>
    </row>
    <row r="13343" spans="1:4" x14ac:dyDescent="0.25">
      <c r="A13343" t="str">
        <f>T("   720292")</f>
        <v xml:space="preserve">   720292</v>
      </c>
      <c r="B13343" t="str">
        <f>T("   Ferrovanadium")</f>
        <v xml:space="preserve">   Ferrovanadium</v>
      </c>
      <c r="C13343" s="4">
        <v>40000</v>
      </c>
      <c r="D13343" s="4">
        <v>10400000</v>
      </c>
    </row>
    <row r="13344" spans="1:4" x14ac:dyDescent="0.25">
      <c r="A13344" t="str">
        <f>T("   720390")</f>
        <v xml:space="preserve">   720390</v>
      </c>
      <c r="B13344" t="str">
        <f>T("   AUTRES")</f>
        <v xml:space="preserve">   AUTRES</v>
      </c>
      <c r="C13344" s="4">
        <v>1454</v>
      </c>
      <c r="D13344" s="4">
        <v>1008428</v>
      </c>
    </row>
    <row r="13345" spans="1:4" x14ac:dyDescent="0.25">
      <c r="A13345" t="str">
        <f>T("   720410")</f>
        <v xml:space="preserve">   720410</v>
      </c>
      <c r="B13345" t="str">
        <f>T("   Dechets et debris de fonte")</f>
        <v xml:space="preserve">   Dechets et debris de fonte</v>
      </c>
      <c r="C13345" s="4">
        <v>634085</v>
      </c>
      <c r="D13345" s="4">
        <v>43669589</v>
      </c>
    </row>
    <row r="13346" spans="1:4" x14ac:dyDescent="0.25">
      <c r="A13346" t="str">
        <f>T("   720429")</f>
        <v xml:space="preserve">   720429</v>
      </c>
      <c r="B13346" t="str">
        <f>T("   AUTRES")</f>
        <v xml:space="preserve">   AUTRES</v>
      </c>
      <c r="C13346" s="4">
        <v>235200</v>
      </c>
      <c r="D13346" s="4">
        <v>57327000</v>
      </c>
    </row>
    <row r="13347" spans="1:4" x14ac:dyDescent="0.25">
      <c r="A13347" t="str">
        <f>T("   720430")</f>
        <v xml:space="preserve">   720430</v>
      </c>
      <c r="B13347" t="str">
        <f>T("   Dechets et debris de fer ou d'acier etames")</f>
        <v xml:space="preserve">   Dechets et debris de fer ou d'acier etames</v>
      </c>
      <c r="C13347" s="4">
        <v>40880</v>
      </c>
      <c r="D13347" s="4">
        <v>2247961</v>
      </c>
    </row>
    <row r="13348" spans="1:4" x14ac:dyDescent="0.25">
      <c r="A13348" t="str">
        <f>T("   720449")</f>
        <v xml:space="preserve">   720449</v>
      </c>
      <c r="B13348" t="str">
        <f>T("   AUTRES")</f>
        <v xml:space="preserve">   AUTRES</v>
      </c>
      <c r="C13348" s="4">
        <v>3750</v>
      </c>
      <c r="D13348" s="4">
        <v>1500000</v>
      </c>
    </row>
    <row r="13349" spans="1:4" x14ac:dyDescent="0.25">
      <c r="A13349" t="str">
        <f>T("   720690")</f>
        <v xml:space="preserve">   720690</v>
      </c>
      <c r="B13349" t="str">
        <f>T("   AUTRES")</f>
        <v xml:space="preserve">   AUTRES</v>
      </c>
      <c r="C13349" s="4">
        <v>1096629</v>
      </c>
      <c r="D13349" s="4">
        <v>332637976</v>
      </c>
    </row>
    <row r="13350" spans="1:4" x14ac:dyDescent="0.25">
      <c r="A13350" t="str">
        <f>T("   720836")</f>
        <v xml:space="preserve">   720836</v>
      </c>
      <c r="B13350" t="str">
        <f>T("   D'UNE EPAISSEUR EXCEDANT 10 MM")</f>
        <v xml:space="preserve">   D'UNE EPAISSEUR EXCEDANT 10 MM</v>
      </c>
      <c r="C13350" s="4">
        <v>40000</v>
      </c>
      <c r="D13350" s="4">
        <v>13917200</v>
      </c>
    </row>
    <row r="13351" spans="1:4" x14ac:dyDescent="0.25">
      <c r="A13351" t="str">
        <f>T("   720837")</f>
        <v xml:space="preserve">   720837</v>
      </c>
      <c r="B13351" t="str">
        <f>T("   D'UNE EPAISSEUR DE 4,75 MM OU PLUS MAIS N'EXCEDANT PAS 10 MM")</f>
        <v xml:space="preserve">   D'UNE EPAISSEUR DE 4,75 MM OU PLUS MAIS N'EXCEDANT PAS 10 MM</v>
      </c>
      <c r="C13351" s="4">
        <v>560</v>
      </c>
      <c r="D13351" s="4">
        <v>53716</v>
      </c>
    </row>
    <row r="13352" spans="1:4" x14ac:dyDescent="0.25">
      <c r="A13352" t="str">
        <f>T("   720838")</f>
        <v xml:space="preserve">   720838</v>
      </c>
      <c r="B13352" t="str">
        <f>T("   D'UNE EPAISSEUR DE 3 MM OU PLUS MAIS INFERIEURE A 4,75 MM")</f>
        <v xml:space="preserve">   D'UNE EPAISSEUR DE 3 MM OU PLUS MAIS INFERIEURE A 4,75 MM</v>
      </c>
      <c r="C13352" s="4">
        <v>1933620</v>
      </c>
      <c r="D13352" s="4">
        <v>585740208</v>
      </c>
    </row>
    <row r="13353" spans="1:4" x14ac:dyDescent="0.25">
      <c r="A13353" t="str">
        <f>T("   720839")</f>
        <v xml:space="preserve">   720839</v>
      </c>
      <c r="B13353" t="str">
        <f>T("   D'UNE EPAISSEUR INFERIEURE A 3 MM")</f>
        <v xml:space="preserve">   D'UNE EPAISSEUR INFERIEURE A 3 MM</v>
      </c>
      <c r="C13353" s="4">
        <v>2876020</v>
      </c>
      <c r="D13353" s="4">
        <v>843040466</v>
      </c>
    </row>
    <row r="13354" spans="1:4" x14ac:dyDescent="0.25">
      <c r="A13354" t="str">
        <f>T("   720851")</f>
        <v xml:space="preserve">   720851</v>
      </c>
      <c r="B13354" t="str">
        <f>T("   D'UNE EPAISSEUR EXCEDANT 10 MM")</f>
        <v xml:space="preserve">   D'UNE EPAISSEUR EXCEDANT 10 MM</v>
      </c>
      <c r="C13354" s="4">
        <v>100000</v>
      </c>
      <c r="D13354" s="4">
        <v>23000000</v>
      </c>
    </row>
    <row r="13355" spans="1:4" x14ac:dyDescent="0.25">
      <c r="A13355" t="str">
        <f>T("   720852")</f>
        <v xml:space="preserve">   720852</v>
      </c>
      <c r="B13355" t="str">
        <f>T("   D'UNE EPAISSEUR DE 4,75 MM OU PLUS MAIS N'EXCEDANT PAS 10 MM")</f>
        <v xml:space="preserve">   D'UNE EPAISSEUR DE 4,75 MM OU PLUS MAIS N'EXCEDANT PAS 10 MM</v>
      </c>
      <c r="C13355" s="4">
        <v>355250</v>
      </c>
      <c r="D13355" s="4">
        <v>114319331</v>
      </c>
    </row>
    <row r="13356" spans="1:4" x14ac:dyDescent="0.25">
      <c r="A13356" t="str">
        <f>T("   720853")</f>
        <v xml:space="preserve">   720853</v>
      </c>
      <c r="B13356" t="str">
        <f>T("   D'UNE EPAISSEUR DE 3 MM OU PLUS MAIS INFERIEURE A 4,75 MM")</f>
        <v xml:space="preserve">   D'UNE EPAISSEUR DE 3 MM OU PLUS MAIS INFERIEURE A 4,75 MM</v>
      </c>
      <c r="C13356" s="4">
        <v>133380</v>
      </c>
      <c r="D13356" s="4">
        <v>34591667</v>
      </c>
    </row>
    <row r="13357" spans="1:4" x14ac:dyDescent="0.25">
      <c r="A13357" t="str">
        <f>T("   720890")</f>
        <v xml:space="preserve">   720890</v>
      </c>
      <c r="B13357" t="str">
        <f>T("   AUTRES")</f>
        <v xml:space="preserve">   AUTRES</v>
      </c>
      <c r="C13357" s="4">
        <v>745643</v>
      </c>
      <c r="D13357" s="4">
        <v>420414989</v>
      </c>
    </row>
    <row r="13358" spans="1:4" x14ac:dyDescent="0.25">
      <c r="A13358" t="str">
        <f>T("   720916")</f>
        <v xml:space="preserve">   720916</v>
      </c>
      <c r="B13358" t="str">
        <f>T("   D'UNE EPAISSEUR EXCEDANT 1 MM MAIS INFERIEURE A 3 MM")</f>
        <v xml:space="preserve">   D'UNE EPAISSEUR EXCEDANT 1 MM MAIS INFERIEURE A 3 MM</v>
      </c>
      <c r="C13358" s="4">
        <v>604660</v>
      </c>
      <c r="D13358" s="4">
        <v>186332181</v>
      </c>
    </row>
    <row r="13359" spans="1:4" x14ac:dyDescent="0.25">
      <c r="A13359" t="str">
        <f>T("   720917")</f>
        <v xml:space="preserve">   720917</v>
      </c>
      <c r="B13359" t="str">
        <f>T("   D'UNE EPAISSEUR DE 0,5 MM OU PLUS MAIS N'EXCEDANT PAS 1 MM")</f>
        <v xml:space="preserve">   D'UNE EPAISSEUR DE 0,5 MM OU PLUS MAIS N'EXCEDANT PAS 1 MM</v>
      </c>
      <c r="C13359" s="4">
        <v>3527894</v>
      </c>
      <c r="D13359" s="4">
        <v>1162191510</v>
      </c>
    </row>
    <row r="13360" spans="1:4" x14ac:dyDescent="0.25">
      <c r="A13360" t="str">
        <f>T("   720927")</f>
        <v xml:space="preserve">   720927</v>
      </c>
      <c r="B13360" t="str">
        <f>T("   D'UNE EPAISSEUR DE 0,5 MM OU PLUS MAIS N'EXCEDANT PAS 1 MM")</f>
        <v xml:space="preserve">   D'UNE EPAISSEUR DE 0,5 MM OU PLUS MAIS N'EXCEDANT PAS 1 MM</v>
      </c>
      <c r="C13360" s="4">
        <v>56320</v>
      </c>
      <c r="D13360" s="4">
        <v>17503721</v>
      </c>
    </row>
    <row r="13361" spans="1:4" x14ac:dyDescent="0.25">
      <c r="A13361" t="str">
        <f>T("   720990")</f>
        <v xml:space="preserve">   720990</v>
      </c>
      <c r="B13361" t="str">
        <f>T("   AUTRES")</f>
        <v xml:space="preserve">   AUTRES</v>
      </c>
      <c r="C13361" s="4">
        <v>270797</v>
      </c>
      <c r="D13361" s="4">
        <v>173818632</v>
      </c>
    </row>
    <row r="13362" spans="1:4" x14ac:dyDescent="0.25">
      <c r="A13362" t="str">
        <f>T("   721011")</f>
        <v xml:space="preserve">   721011</v>
      </c>
      <c r="B13362" t="str">
        <f>T("   D'UNE EPAISSEUR DE 0,5 MM OU PLUS")</f>
        <v xml:space="preserve">   D'UNE EPAISSEUR DE 0,5 MM OU PLUS</v>
      </c>
      <c r="C13362" s="4">
        <v>331228</v>
      </c>
      <c r="D13362" s="4">
        <v>103843059</v>
      </c>
    </row>
    <row r="13363" spans="1:4" x14ac:dyDescent="0.25">
      <c r="A13363" t="str">
        <f>T("   721012")</f>
        <v xml:space="preserve">   721012</v>
      </c>
      <c r="B13363" t="str">
        <f>T("   D'UNE EPAISSEUR INFERIEURE A 0,5 MM")</f>
        <v xml:space="preserve">   D'UNE EPAISSEUR INFERIEURE A 0,5 MM</v>
      </c>
      <c r="C13363" s="4">
        <v>4</v>
      </c>
      <c r="D13363" s="4">
        <v>170000</v>
      </c>
    </row>
    <row r="13364" spans="1:4" x14ac:dyDescent="0.25">
      <c r="A13364" t="str">
        <f>T("   721020")</f>
        <v xml:space="preserve">   721020</v>
      </c>
      <c r="B13364" t="str">
        <f>T("   PLOMBES, Y COMPRIS LE FER TERNE")</f>
        <v xml:space="preserve">   PLOMBES, Y COMPRIS LE FER TERNE</v>
      </c>
      <c r="C13364" s="4">
        <v>35000</v>
      </c>
      <c r="D13364" s="4">
        <v>13494926</v>
      </c>
    </row>
    <row r="13365" spans="1:4" x14ac:dyDescent="0.25">
      <c r="A13365" t="str">
        <f>T("   721030")</f>
        <v xml:space="preserve">   721030</v>
      </c>
      <c r="B13365" t="str">
        <f>T("   ZINGUES ELECTROLYTIQUEMENT")</f>
        <v xml:space="preserve">   ZINGUES ELECTROLYTIQUEMENT</v>
      </c>
      <c r="C13365" s="4">
        <v>173260</v>
      </c>
      <c r="D13365" s="4">
        <v>69607376</v>
      </c>
    </row>
    <row r="13366" spans="1:4" x14ac:dyDescent="0.25">
      <c r="A13366" t="str">
        <f>T("   721041")</f>
        <v xml:space="preserve">   721041</v>
      </c>
      <c r="B13366" t="str">
        <f>T("   ONDULES")</f>
        <v xml:space="preserve">   ONDULES</v>
      </c>
      <c r="C13366" s="4">
        <v>9693575.4000000004</v>
      </c>
      <c r="D13366" s="4">
        <v>2878524793</v>
      </c>
    </row>
    <row r="13367" spans="1:4" x14ac:dyDescent="0.25">
      <c r="A13367" t="str">
        <f>T("   721049")</f>
        <v xml:space="preserve">   721049</v>
      </c>
      <c r="B13367" t="str">
        <f>T("   AUTRES")</f>
        <v xml:space="preserve">   AUTRES</v>
      </c>
      <c r="C13367" s="4">
        <v>6305153</v>
      </c>
      <c r="D13367" s="4">
        <v>3189098270</v>
      </c>
    </row>
    <row r="13368" spans="1:4" x14ac:dyDescent="0.25">
      <c r="A13368" t="str">
        <f>T("   721061")</f>
        <v xml:space="preserve">   721061</v>
      </c>
      <c r="B13368" t="str">
        <f>T("   REVETUS D'ALLIAGES D'ALUMINIUM ET DE ZINC")</f>
        <v xml:space="preserve">   REVETUS D'ALLIAGES D'ALUMINIUM ET DE ZINC</v>
      </c>
      <c r="C13368" s="4">
        <v>91236</v>
      </c>
      <c r="D13368" s="4">
        <v>46918589</v>
      </c>
    </row>
    <row r="13369" spans="1:4" x14ac:dyDescent="0.25">
      <c r="A13369" t="str">
        <f>T("   721070")</f>
        <v xml:space="preserve">   721070</v>
      </c>
      <c r="B13369" t="str">
        <f>T("   PEINTS, VERNIS OU REVETUS DE MATIERES PLASTIQUES")</f>
        <v xml:space="preserve">   PEINTS, VERNIS OU REVETUS DE MATIERES PLASTIQUES</v>
      </c>
      <c r="C13369" s="4">
        <v>25</v>
      </c>
      <c r="D13369" s="4">
        <v>22959</v>
      </c>
    </row>
    <row r="13370" spans="1:4" x14ac:dyDescent="0.25">
      <c r="A13370" t="str">
        <f>T("   721090")</f>
        <v xml:space="preserve">   721090</v>
      </c>
      <c r="B13370" t="str">
        <f>T("   AUTRES")</f>
        <v xml:space="preserve">   AUTRES</v>
      </c>
      <c r="C13370" s="4">
        <v>889910</v>
      </c>
      <c r="D13370" s="4">
        <v>327152738</v>
      </c>
    </row>
    <row r="13371" spans="1:4" x14ac:dyDescent="0.25">
      <c r="A13371" t="str">
        <f>T("   721119")</f>
        <v xml:space="preserve">   721119</v>
      </c>
      <c r="B13371" t="str">
        <f>T("   AUTRES")</f>
        <v xml:space="preserve">   AUTRES</v>
      </c>
      <c r="C13371" s="4">
        <v>15240</v>
      </c>
      <c r="D13371" s="4">
        <v>2560214</v>
      </c>
    </row>
    <row r="13372" spans="1:4" x14ac:dyDescent="0.25">
      <c r="A13372" t="str">
        <f>T("   721129")</f>
        <v xml:space="preserve">   721129</v>
      </c>
      <c r="B13372" t="str">
        <f>T("   AUTRES")</f>
        <v xml:space="preserve">   AUTRES</v>
      </c>
      <c r="C13372" s="4">
        <v>53217</v>
      </c>
      <c r="D13372" s="4">
        <v>12587335</v>
      </c>
    </row>
    <row r="13373" spans="1:4" x14ac:dyDescent="0.25">
      <c r="A13373" t="str">
        <f>T("   721250")</f>
        <v xml:space="preserve">   721250</v>
      </c>
      <c r="B13373" t="str">
        <f>T("   AUTREMENT REVETUS")</f>
        <v xml:space="preserve">   AUTREMENT REVETUS</v>
      </c>
      <c r="C13373" s="4">
        <v>80000</v>
      </c>
      <c r="D13373" s="4">
        <v>19400000</v>
      </c>
    </row>
    <row r="13374" spans="1:4" x14ac:dyDescent="0.25">
      <c r="A13374" t="str">
        <f>T("   721310")</f>
        <v xml:space="preserve">   721310</v>
      </c>
      <c r="B13374" t="str">
        <f>T("   COMPORTANT DES INDENTATIONS, BOURRELETS, CREUX OU RELIEFS OBTENUS AU COURS DU LAMINAG")</f>
        <v xml:space="preserve">   COMPORTANT DES INDENTATIONS, BOURRELETS, CREUX OU RELIEFS OBTENUS AU COURS DU LAMINAG</v>
      </c>
      <c r="C13374" s="4">
        <v>1345000</v>
      </c>
      <c r="D13374" s="4">
        <v>322600000</v>
      </c>
    </row>
    <row r="13375" spans="1:4" x14ac:dyDescent="0.25">
      <c r="A13375" t="str">
        <f>T("   721320")</f>
        <v xml:space="preserve">   721320</v>
      </c>
      <c r="B13375" t="str">
        <f>T("   AUTRES, EN ACIERS DE DECOLLETAGE")</f>
        <v xml:space="preserve">   AUTRES, EN ACIERS DE DECOLLETAGE</v>
      </c>
      <c r="C13375" s="4">
        <v>225000</v>
      </c>
      <c r="D13375" s="4">
        <v>57600000</v>
      </c>
    </row>
    <row r="13376" spans="1:4" x14ac:dyDescent="0.25">
      <c r="A13376" t="str">
        <f>T("   721391")</f>
        <v xml:space="preserve">   721391</v>
      </c>
      <c r="B13376" t="str">
        <f>T("   DE SECTION CIRCULAIRE D'UN DIAMETRE INFERIEUR A 14 MM")</f>
        <v xml:space="preserve">   DE SECTION CIRCULAIRE D'UN DIAMETRE INFERIEUR A 14 MM</v>
      </c>
      <c r="C13376" s="4">
        <v>47166845</v>
      </c>
      <c r="D13376" s="4">
        <v>12517988782</v>
      </c>
    </row>
    <row r="13377" spans="1:4" x14ac:dyDescent="0.25">
      <c r="A13377" t="str">
        <f>T("   721399")</f>
        <v xml:space="preserve">   721399</v>
      </c>
      <c r="B13377" t="str">
        <f>T("   AUTRES")</f>
        <v xml:space="preserve">   AUTRES</v>
      </c>
      <c r="C13377" s="4">
        <v>19842062</v>
      </c>
      <c r="D13377" s="4">
        <v>5921993153</v>
      </c>
    </row>
    <row r="13378" spans="1:4" x14ac:dyDescent="0.25">
      <c r="A13378" t="str">
        <f>T("   721420")</f>
        <v xml:space="preserve">   721420</v>
      </c>
      <c r="B13378" t="str">
        <f>T("   COMPORTANT DES INDENTATIONS, BOURRELETS, CREUX OU RELIEFS OBTENUS AU COURS DU LAMINAG")</f>
        <v xml:space="preserve">   COMPORTANT DES INDENTATIONS, BOURRELETS, CREUX OU RELIEFS OBTENUS AU COURS DU LAMINAG</v>
      </c>
      <c r="C13378" s="4">
        <v>13564013.050000001</v>
      </c>
      <c r="D13378" s="4">
        <v>3895342363</v>
      </c>
    </row>
    <row r="13379" spans="1:4" x14ac:dyDescent="0.25">
      <c r="A13379" t="str">
        <f>T("   721430")</f>
        <v xml:space="preserve">   721430</v>
      </c>
      <c r="B13379" t="str">
        <f>T("   AUTRES, EN ACIERS DE DECOLLETAGE")</f>
        <v xml:space="preserve">   AUTRES, EN ACIERS DE DECOLLETAGE</v>
      </c>
      <c r="C13379" s="4">
        <v>26858</v>
      </c>
      <c r="D13379" s="4">
        <v>121027564</v>
      </c>
    </row>
    <row r="13380" spans="1:4" x14ac:dyDescent="0.25">
      <c r="A13380" t="str">
        <f>T("   721499")</f>
        <v xml:space="preserve">   721499</v>
      </c>
      <c r="B13380" t="str">
        <f>T("   AUTRES")</f>
        <v xml:space="preserve">   AUTRES</v>
      </c>
      <c r="C13380" s="4">
        <v>1241133</v>
      </c>
      <c r="D13380" s="4">
        <v>249094325</v>
      </c>
    </row>
    <row r="13381" spans="1:4" x14ac:dyDescent="0.25">
      <c r="A13381" t="str">
        <f>T("   721510")</f>
        <v xml:space="preserve">   721510</v>
      </c>
      <c r="B13381" t="str">
        <f>T("   EN ACIERS DE DECOLLETAGE, SIMPLEMENT OBTENUES OU PARACHEVEES A FROID")</f>
        <v xml:space="preserve">   EN ACIERS DE DECOLLETAGE, SIMPLEMENT OBTENUES OU PARACHEVEES A FROID</v>
      </c>
      <c r="C13381" s="4">
        <v>300</v>
      </c>
      <c r="D13381" s="4">
        <v>100000</v>
      </c>
    </row>
    <row r="13382" spans="1:4" x14ac:dyDescent="0.25">
      <c r="A13382" t="str">
        <f>T("   721590")</f>
        <v xml:space="preserve">   721590</v>
      </c>
      <c r="B13382" t="str">
        <f>T("   AUTRES")</f>
        <v xml:space="preserve">   AUTRES</v>
      </c>
      <c r="C13382" s="4">
        <v>5293220</v>
      </c>
      <c r="D13382" s="4">
        <v>1585273081</v>
      </c>
    </row>
    <row r="13383" spans="1:4" x14ac:dyDescent="0.25">
      <c r="A13383" t="str">
        <f>T("   721621")</f>
        <v xml:space="preserve">   721621</v>
      </c>
      <c r="B13383" t="str">
        <f>T("   PROFILES EN L")</f>
        <v xml:space="preserve">   PROFILES EN L</v>
      </c>
      <c r="C13383" s="4">
        <v>864361</v>
      </c>
      <c r="D13383" s="4">
        <v>158709008</v>
      </c>
    </row>
    <row r="13384" spans="1:4" x14ac:dyDescent="0.25">
      <c r="A13384" t="str">
        <f>T("   721622")</f>
        <v xml:space="preserve">   721622</v>
      </c>
      <c r="B13384" t="str">
        <f>T("   PROFILES EN T")</f>
        <v xml:space="preserve">   PROFILES EN T</v>
      </c>
      <c r="C13384" s="4">
        <v>60100</v>
      </c>
      <c r="D13384" s="4">
        <v>20822110</v>
      </c>
    </row>
    <row r="13385" spans="1:4" x14ac:dyDescent="0.25">
      <c r="A13385" t="str">
        <f>T("   721631")</f>
        <v xml:space="preserve">   721631</v>
      </c>
      <c r="B13385" t="str">
        <f>T("   PROFILES EN U")</f>
        <v xml:space="preserve">   PROFILES EN U</v>
      </c>
      <c r="C13385" s="4">
        <v>399980</v>
      </c>
      <c r="D13385" s="4">
        <v>113532710</v>
      </c>
    </row>
    <row r="13386" spans="1:4" x14ac:dyDescent="0.25">
      <c r="A13386" t="str">
        <f>T("   721632")</f>
        <v xml:space="preserve">   721632</v>
      </c>
      <c r="B13386" t="str">
        <f>T("   PROFILES EN I")</f>
        <v xml:space="preserve">   PROFILES EN I</v>
      </c>
      <c r="C13386" s="4">
        <v>698372</v>
      </c>
      <c r="D13386" s="4">
        <v>212192180</v>
      </c>
    </row>
    <row r="13387" spans="1:4" x14ac:dyDescent="0.25">
      <c r="A13387" t="str">
        <f>T("   721633")</f>
        <v xml:space="preserve">   721633</v>
      </c>
      <c r="B13387" t="str">
        <f>T("   PROFILES EN H")</f>
        <v xml:space="preserve">   PROFILES EN H</v>
      </c>
      <c r="C13387" s="4">
        <v>12000</v>
      </c>
      <c r="D13387" s="4">
        <v>7157984</v>
      </c>
    </row>
    <row r="13388" spans="1:4" x14ac:dyDescent="0.25">
      <c r="A13388" t="str">
        <f>T("   721640")</f>
        <v xml:space="preserve">   721640</v>
      </c>
      <c r="B13388" t="str">
        <f>T("   PROFILES EN L OU EN T, SIMPLEMENT LAMINES OU FILES A CHAUD, D'UNE HAUTEUR DE 80 MM OU")</f>
        <v xml:space="preserve">   PROFILES EN L OU EN T, SIMPLEMENT LAMINES OU FILES A CHAUD, D'UNE HAUTEUR DE 80 MM OU</v>
      </c>
      <c r="C13388" s="4">
        <v>560000</v>
      </c>
      <c r="D13388" s="4">
        <v>71039801</v>
      </c>
    </row>
    <row r="13389" spans="1:4" x14ac:dyDescent="0.25">
      <c r="A13389" t="str">
        <f>T("   721650")</f>
        <v xml:space="preserve">   721650</v>
      </c>
      <c r="B13389" t="str">
        <f>T("   AUTRES PROFILES, SIMPLEMENT LAMINES OU FILES A CHAUD")</f>
        <v xml:space="preserve">   AUTRES PROFILES, SIMPLEMENT LAMINES OU FILES A CHAUD</v>
      </c>
      <c r="C13389" s="4">
        <v>1034163</v>
      </c>
      <c r="D13389" s="4">
        <v>244022219</v>
      </c>
    </row>
    <row r="13390" spans="1:4" x14ac:dyDescent="0.25">
      <c r="A13390" t="str">
        <f>T("   721661")</f>
        <v xml:space="preserve">   721661</v>
      </c>
      <c r="B13390" t="str">
        <f>T("   OBTENUS A PARTIR DE PRODUITS LAMINES PLATS")</f>
        <v xml:space="preserve">   OBTENUS A PARTIR DE PRODUITS LAMINES PLATS</v>
      </c>
      <c r="C13390" s="4">
        <v>409622</v>
      </c>
      <c r="D13390" s="4">
        <v>100860476</v>
      </c>
    </row>
    <row r="13391" spans="1:4" x14ac:dyDescent="0.25">
      <c r="A13391" t="str">
        <f>T("   721669")</f>
        <v xml:space="preserve">   721669</v>
      </c>
      <c r="B13391" t="str">
        <f>T("   AUTRES")</f>
        <v xml:space="preserve">   AUTRES</v>
      </c>
      <c r="C13391" s="4">
        <v>1716908</v>
      </c>
      <c r="D13391" s="4">
        <v>287684384</v>
      </c>
    </row>
    <row r="13392" spans="1:4" x14ac:dyDescent="0.25">
      <c r="A13392" t="str">
        <f>T("   721699")</f>
        <v xml:space="preserve">   721699</v>
      </c>
      <c r="B13392" t="str">
        <f>T("   AUTRES")</f>
        <v xml:space="preserve">   AUTRES</v>
      </c>
      <c r="C13392" s="4">
        <v>1329250</v>
      </c>
      <c r="D13392" s="4">
        <v>419859099</v>
      </c>
    </row>
    <row r="13393" spans="1:4" x14ac:dyDescent="0.25">
      <c r="A13393" t="str">
        <f>T("   721710")</f>
        <v xml:space="preserve">   721710</v>
      </c>
      <c r="B13393" t="str">
        <f>T("   NON REVETUS, MEME POLIS")</f>
        <v xml:space="preserve">   NON REVETUS, MEME POLIS</v>
      </c>
      <c r="C13393" s="4">
        <v>110000</v>
      </c>
      <c r="D13393" s="4">
        <v>25300000</v>
      </c>
    </row>
    <row r="13394" spans="1:4" x14ac:dyDescent="0.25">
      <c r="A13394" t="str">
        <f>T("   721720")</f>
        <v xml:space="preserve">   721720</v>
      </c>
      <c r="B13394" t="str">
        <f>T("   ZINGUES")</f>
        <v xml:space="preserve">   ZINGUES</v>
      </c>
      <c r="C13394" s="4">
        <v>120000</v>
      </c>
      <c r="D13394" s="4">
        <v>46265316</v>
      </c>
    </row>
    <row r="13395" spans="1:4" x14ac:dyDescent="0.25">
      <c r="A13395" t="str">
        <f>T("   721730")</f>
        <v xml:space="preserve">   721730</v>
      </c>
      <c r="B13395" t="str">
        <f>T("   REVETUS D'AUTRES METAUX COMMUNS")</f>
        <v xml:space="preserve">   REVETUS D'AUTRES METAUX COMMUNS</v>
      </c>
      <c r="C13395" s="4">
        <v>1539</v>
      </c>
      <c r="D13395" s="4">
        <v>1562746</v>
      </c>
    </row>
    <row r="13396" spans="1:4" x14ac:dyDescent="0.25">
      <c r="A13396" t="str">
        <f>T("   721790")</f>
        <v xml:space="preserve">   721790</v>
      </c>
      <c r="B13396" t="str">
        <f>T("   AUTRES")</f>
        <v xml:space="preserve">   AUTRES</v>
      </c>
      <c r="C13396" s="4">
        <v>900561</v>
      </c>
      <c r="D13396" s="4">
        <v>263429131</v>
      </c>
    </row>
    <row r="13397" spans="1:4" x14ac:dyDescent="0.25">
      <c r="A13397" t="str">
        <f>T("   721911")</f>
        <v xml:space="preserve">   721911</v>
      </c>
      <c r="B13397" t="str">
        <f>T("   D'UNE EPAISSEUR EXCEDANT 10 MM")</f>
        <v xml:space="preserve">   D'UNE EPAISSEUR EXCEDANT 10 MM</v>
      </c>
      <c r="C13397" s="4">
        <v>24843</v>
      </c>
      <c r="D13397" s="4">
        <v>7646669</v>
      </c>
    </row>
    <row r="13398" spans="1:4" x14ac:dyDescent="0.25">
      <c r="A13398" t="str">
        <f>T("   721921")</f>
        <v xml:space="preserve">   721921</v>
      </c>
      <c r="B13398" t="str">
        <f>T("   D'UNE EPAISSEUR EXCEDANT 10 MM")</f>
        <v xml:space="preserve">   D'UNE EPAISSEUR EXCEDANT 10 MM</v>
      </c>
      <c r="C13398" s="4">
        <v>6431</v>
      </c>
      <c r="D13398" s="4">
        <v>21573213</v>
      </c>
    </row>
    <row r="13399" spans="1:4" x14ac:dyDescent="0.25">
      <c r="A13399" t="str">
        <f>T("   721923")</f>
        <v xml:space="preserve">   721923</v>
      </c>
      <c r="B13399" t="str">
        <f>T("   D'UNE EPAISSEUR DE 3 MM OU PLUS MAIS INFERIEURE A 4,75 MM")</f>
        <v xml:space="preserve">   D'UNE EPAISSEUR DE 3 MM OU PLUS MAIS INFERIEURE A 4,75 MM</v>
      </c>
      <c r="C13399" s="4">
        <v>734</v>
      </c>
      <c r="D13399" s="4">
        <v>4396243</v>
      </c>
    </row>
    <row r="13400" spans="1:4" x14ac:dyDescent="0.25">
      <c r="A13400" t="str">
        <f>T("   721990")</f>
        <v xml:space="preserve">   721990</v>
      </c>
      <c r="B13400" t="str">
        <f>T("   AUTRES")</f>
        <v xml:space="preserve">   AUTRES</v>
      </c>
      <c r="C13400" s="4">
        <v>445198</v>
      </c>
      <c r="D13400" s="4">
        <v>169579191</v>
      </c>
    </row>
    <row r="13401" spans="1:4" x14ac:dyDescent="0.25">
      <c r="A13401" t="str">
        <f>T("   722090")</f>
        <v xml:space="preserve">   722090</v>
      </c>
      <c r="B13401" t="str">
        <f>T("   AUTRES")</f>
        <v xml:space="preserve">   AUTRES</v>
      </c>
      <c r="C13401" s="4">
        <v>66</v>
      </c>
      <c r="D13401" s="4">
        <v>1396815</v>
      </c>
    </row>
    <row r="13402" spans="1:4" x14ac:dyDescent="0.25">
      <c r="A13402" t="str">
        <f>T("   722211")</f>
        <v xml:space="preserve">   722211</v>
      </c>
      <c r="B13402" t="str">
        <f>T("   DE SECTION CIRCULAIRE")</f>
        <v xml:space="preserve">   DE SECTION CIRCULAIRE</v>
      </c>
      <c r="C13402" s="4">
        <v>3917</v>
      </c>
      <c r="D13402" s="4">
        <v>1262400</v>
      </c>
    </row>
    <row r="13403" spans="1:4" x14ac:dyDescent="0.25">
      <c r="A13403" t="str">
        <f>T("   722230")</f>
        <v xml:space="preserve">   722230</v>
      </c>
      <c r="B13403" t="str">
        <f>T("   AUTRES BARRES")</f>
        <v xml:space="preserve">   AUTRES BARRES</v>
      </c>
      <c r="C13403" s="4">
        <v>136700</v>
      </c>
      <c r="D13403" s="4">
        <v>10340000</v>
      </c>
    </row>
    <row r="13404" spans="1:4" x14ac:dyDescent="0.25">
      <c r="A13404" t="str">
        <f>T("   722240")</f>
        <v xml:space="preserve">   722240</v>
      </c>
      <c r="B13404" t="str">
        <f>T("   PROFILES")</f>
        <v xml:space="preserve">   PROFILES</v>
      </c>
      <c r="C13404" s="4">
        <v>177</v>
      </c>
      <c r="D13404" s="4">
        <v>670391</v>
      </c>
    </row>
    <row r="13405" spans="1:4" x14ac:dyDescent="0.25">
      <c r="A13405" t="str">
        <f>T("   722300")</f>
        <v xml:space="preserve">   722300</v>
      </c>
      <c r="B13405" t="str">
        <f>T("   FILS EN ACIERS INOXYDABLES.")</f>
        <v xml:space="preserve">   FILS EN ACIERS INOXYDABLES.</v>
      </c>
      <c r="C13405" s="4">
        <v>54015</v>
      </c>
      <c r="D13405" s="4">
        <v>13295814</v>
      </c>
    </row>
    <row r="13406" spans="1:4" x14ac:dyDescent="0.25">
      <c r="A13406" t="str">
        <f>T("   722490")</f>
        <v xml:space="preserve">   722490</v>
      </c>
      <c r="B13406" t="str">
        <f>T("   AUTRES")</f>
        <v xml:space="preserve">   AUTRES</v>
      </c>
      <c r="C13406" s="4">
        <v>3700</v>
      </c>
      <c r="D13406" s="4">
        <v>940028</v>
      </c>
    </row>
    <row r="13407" spans="1:4" x14ac:dyDescent="0.25">
      <c r="A13407" t="str">
        <f>T("   722599")</f>
        <v xml:space="preserve">   722599</v>
      </c>
      <c r="B13407" t="str">
        <f>T("   AUTRES")</f>
        <v xml:space="preserve">   AUTRES</v>
      </c>
      <c r="C13407" s="4">
        <v>367500</v>
      </c>
      <c r="D13407" s="4">
        <v>93130000</v>
      </c>
    </row>
    <row r="13408" spans="1:4" x14ac:dyDescent="0.25">
      <c r="A13408" t="str">
        <f>T("   722692")</f>
        <v xml:space="preserve">   722692</v>
      </c>
      <c r="B13408" t="str">
        <f>T("   SIMPLEMENT LAMINES A FROID")</f>
        <v xml:space="preserve">   SIMPLEMENT LAMINES A FROID</v>
      </c>
      <c r="C13408" s="4">
        <v>261.52</v>
      </c>
      <c r="D13408" s="4">
        <v>266648</v>
      </c>
    </row>
    <row r="13409" spans="1:4" x14ac:dyDescent="0.25">
      <c r="A13409" t="str">
        <f>T("   722810")</f>
        <v xml:space="preserve">   722810</v>
      </c>
      <c r="B13409" t="str">
        <f>T("   BARRES EN ACIERS A COUPE RAPIDE")</f>
        <v xml:space="preserve">   BARRES EN ACIERS A COUPE RAPIDE</v>
      </c>
      <c r="C13409" s="4">
        <v>2820</v>
      </c>
      <c r="D13409" s="4">
        <v>9671472</v>
      </c>
    </row>
    <row r="13410" spans="1:4" x14ac:dyDescent="0.25">
      <c r="A13410" t="str">
        <f>T("   722850")</f>
        <v xml:space="preserve">   722850</v>
      </c>
      <c r="B13410" t="str">
        <f>T("   AUTRES BARRES, SIMPLEMENT OBTENUES OU PARACHEVEES A FROID")</f>
        <v xml:space="preserve">   AUTRES BARRES, SIMPLEMENT OBTENUES OU PARACHEVEES A FROID</v>
      </c>
      <c r="C13410" s="4">
        <v>715</v>
      </c>
      <c r="D13410" s="4">
        <v>3467595</v>
      </c>
    </row>
    <row r="13411" spans="1:4" x14ac:dyDescent="0.25">
      <c r="A13411" t="str">
        <f>T("   722860")</f>
        <v xml:space="preserve">   722860</v>
      </c>
      <c r="B13411" t="str">
        <f>T("   AUTRES BARRES")</f>
        <v xml:space="preserve">   AUTRES BARRES</v>
      </c>
      <c r="C13411" s="4">
        <v>115612</v>
      </c>
      <c r="D13411" s="4">
        <v>19889257</v>
      </c>
    </row>
    <row r="13412" spans="1:4" x14ac:dyDescent="0.25">
      <c r="A13412" t="str">
        <f>T("   722870")</f>
        <v xml:space="preserve">   722870</v>
      </c>
      <c r="B13412" t="str">
        <f>T("   PROFILES")</f>
        <v xml:space="preserve">   PROFILES</v>
      </c>
      <c r="C13412" s="4">
        <v>1996</v>
      </c>
      <c r="D13412" s="4">
        <v>2202930</v>
      </c>
    </row>
    <row r="13413" spans="1:4" x14ac:dyDescent="0.25">
      <c r="A13413" t="str">
        <f>T("   730120")</f>
        <v xml:space="preserve">   730120</v>
      </c>
      <c r="B13413" t="str">
        <f>T("   PROFILES")</f>
        <v xml:space="preserve">   PROFILES</v>
      </c>
      <c r="C13413" s="4">
        <v>22613</v>
      </c>
      <c r="D13413" s="4">
        <v>13254984</v>
      </c>
    </row>
    <row r="13414" spans="1:4" x14ac:dyDescent="0.25">
      <c r="A13414" t="str">
        <f>T("   730210")</f>
        <v xml:space="preserve">   730210</v>
      </c>
      <c r="B13414" t="str">
        <f>T("   RAILS")</f>
        <v xml:space="preserve">   RAILS</v>
      </c>
      <c r="C13414" s="4">
        <v>14882</v>
      </c>
      <c r="D13414" s="4">
        <v>21313912</v>
      </c>
    </row>
    <row r="13415" spans="1:4" x14ac:dyDescent="0.25">
      <c r="A13415" t="str">
        <f>T("   730290")</f>
        <v xml:space="preserve">   730290</v>
      </c>
      <c r="B13415" t="str">
        <f>T("   AUTRES")</f>
        <v xml:space="preserve">   AUTRES</v>
      </c>
      <c r="C13415" s="4">
        <v>5000</v>
      </c>
      <c r="D13415" s="4">
        <v>4350000</v>
      </c>
    </row>
    <row r="13416" spans="1:4" x14ac:dyDescent="0.25">
      <c r="A13416" t="str">
        <f>T("   730300")</f>
        <v xml:space="preserve">   730300</v>
      </c>
      <c r="B13416" t="str">
        <f>T("   TUBES, TUYAUX ET PROFILES CREUX, EN FONTE.")</f>
        <v xml:space="preserve">   TUBES, TUYAUX ET PROFILES CREUX, EN FONTE.</v>
      </c>
      <c r="C13416" s="4">
        <v>33120</v>
      </c>
      <c r="D13416" s="4">
        <v>11241030</v>
      </c>
    </row>
    <row r="13417" spans="1:4" x14ac:dyDescent="0.25">
      <c r="A13417" t="str">
        <f>T("   730411")</f>
        <v xml:space="preserve">   730411</v>
      </c>
      <c r="B13417" t="str">
        <f>T("   EN ACIERS INOXYDABLES")</f>
        <v xml:space="preserve">   EN ACIERS INOXYDABLES</v>
      </c>
      <c r="C13417" s="4">
        <v>986</v>
      </c>
      <c r="D13417" s="4">
        <v>17838852</v>
      </c>
    </row>
    <row r="13418" spans="1:4" x14ac:dyDescent="0.25">
      <c r="A13418" t="str">
        <f>T("   730419")</f>
        <v xml:space="preserve">   730419</v>
      </c>
      <c r="B13418" t="str">
        <f>T("   AUTRES")</f>
        <v xml:space="preserve">   AUTRES</v>
      </c>
      <c r="C13418" s="4">
        <v>237440</v>
      </c>
      <c r="D13418" s="4">
        <v>183886508</v>
      </c>
    </row>
    <row r="13419" spans="1:4" x14ac:dyDescent="0.25">
      <c r="A13419" t="str">
        <f>T("   730422")</f>
        <v xml:space="preserve">   730422</v>
      </c>
      <c r="B13419" t="str">
        <f>T("   TIGES DE FORAGE EN ACIERS INOXYDABLES")</f>
        <v xml:space="preserve">   TIGES DE FORAGE EN ACIERS INOXYDABLES</v>
      </c>
      <c r="C13419" s="4">
        <v>29010</v>
      </c>
      <c r="D13419" s="4">
        <v>43719750</v>
      </c>
    </row>
    <row r="13420" spans="1:4" x14ac:dyDescent="0.25">
      <c r="A13420" t="str">
        <f>T("   730424")</f>
        <v xml:space="preserve">   730424</v>
      </c>
      <c r="B13420" t="str">
        <f>T("   AUTRES, EN ACIERS INOXYDABLES")</f>
        <v xml:space="preserve">   AUTRES, EN ACIERS INOXYDABLES</v>
      </c>
      <c r="C13420" s="4">
        <v>387</v>
      </c>
      <c r="D13420" s="4">
        <v>1528229</v>
      </c>
    </row>
    <row r="13421" spans="1:4" x14ac:dyDescent="0.25">
      <c r="A13421" t="str">
        <f>T("   730429")</f>
        <v xml:space="preserve">   730429</v>
      </c>
      <c r="B13421" t="str">
        <f>T("   AUTRES")</f>
        <v xml:space="preserve">   AUTRES</v>
      </c>
      <c r="C13421" s="4">
        <v>36392</v>
      </c>
      <c r="D13421" s="4">
        <v>18073068</v>
      </c>
    </row>
    <row r="13422" spans="1:4" x14ac:dyDescent="0.25">
      <c r="A13422" t="str">
        <f>T("   730439")</f>
        <v xml:space="preserve">   730439</v>
      </c>
      <c r="B13422" t="str">
        <f>T("   AUTRES")</f>
        <v xml:space="preserve">   AUTRES</v>
      </c>
      <c r="C13422" s="4">
        <v>100931</v>
      </c>
      <c r="D13422" s="4">
        <v>43687938</v>
      </c>
    </row>
    <row r="13423" spans="1:4" x14ac:dyDescent="0.25">
      <c r="A13423" t="str">
        <f>T("   730449")</f>
        <v xml:space="preserve">   730449</v>
      </c>
      <c r="B13423" t="str">
        <f>T("   AUTRES")</f>
        <v xml:space="preserve">   AUTRES</v>
      </c>
      <c r="C13423" s="4">
        <v>54000</v>
      </c>
      <c r="D13423" s="4">
        <v>6554352</v>
      </c>
    </row>
    <row r="13424" spans="1:4" x14ac:dyDescent="0.25">
      <c r="A13424" t="str">
        <f>T("   730490")</f>
        <v xml:space="preserve">   730490</v>
      </c>
      <c r="B13424" t="str">
        <f>T("   AUTRES")</f>
        <v xml:space="preserve">   AUTRES</v>
      </c>
      <c r="C13424" s="4">
        <v>1216431</v>
      </c>
      <c r="D13424" s="4">
        <v>179991772</v>
      </c>
    </row>
    <row r="13425" spans="1:4" x14ac:dyDescent="0.25">
      <c r="A13425" t="str">
        <f>T("   730520")</f>
        <v xml:space="preserve">   730520</v>
      </c>
      <c r="B13425" t="str">
        <f>T("   TUBES ET TUYAUX DE CUVELAGE DES TYPES UTILISES POUR L'EXTRACTION DU PETROLE OU DU GAZ")</f>
        <v xml:space="preserve">   TUBES ET TUYAUX DE CUVELAGE DES TYPES UTILISES POUR L'EXTRACTION DU PETROLE OU DU GAZ</v>
      </c>
      <c r="C13425" s="4">
        <v>7257</v>
      </c>
      <c r="D13425" s="4">
        <v>44028161</v>
      </c>
    </row>
    <row r="13426" spans="1:4" x14ac:dyDescent="0.25">
      <c r="A13426" t="str">
        <f>T("   730531")</f>
        <v xml:space="preserve">   730531</v>
      </c>
      <c r="B13426" t="str">
        <f>T("   SOUDES LONGITUDINALEMENT")</f>
        <v xml:space="preserve">   SOUDES LONGITUDINALEMENT</v>
      </c>
      <c r="C13426" s="4">
        <v>196156</v>
      </c>
      <c r="D13426" s="4">
        <v>28693868</v>
      </c>
    </row>
    <row r="13427" spans="1:4" x14ac:dyDescent="0.25">
      <c r="A13427" t="str">
        <f>T("   730539")</f>
        <v xml:space="preserve">   730539</v>
      </c>
      <c r="B13427" t="str">
        <f>T("   AUTRES")</f>
        <v xml:space="preserve">   AUTRES</v>
      </c>
      <c r="C13427" s="4">
        <v>2000</v>
      </c>
      <c r="D13427" s="4">
        <v>131076</v>
      </c>
    </row>
    <row r="13428" spans="1:4" x14ac:dyDescent="0.25">
      <c r="A13428" t="str">
        <f>T("   730611")</f>
        <v xml:space="preserve">   730611</v>
      </c>
      <c r="B13428" t="str">
        <f>T("   SOUDES, EN ACIERS INOXYDABLES")</f>
        <v xml:space="preserve">   SOUDES, EN ACIERS INOXYDABLES</v>
      </c>
      <c r="C13428" s="4">
        <v>726</v>
      </c>
      <c r="D13428" s="4">
        <v>17675612</v>
      </c>
    </row>
    <row r="13429" spans="1:4" x14ac:dyDescent="0.25">
      <c r="A13429" t="str">
        <f>T("   730630")</f>
        <v xml:space="preserve">   730630</v>
      </c>
      <c r="B13429" t="str">
        <f>T("   AUTRES, SOUDES, DE SECTION CIRCULAIRE, EN FER OU EN ACIERS NON ALLIES")</f>
        <v xml:space="preserve">   AUTRES, SOUDES, DE SECTION CIRCULAIRE, EN FER OU EN ACIERS NON ALLIES</v>
      </c>
      <c r="C13429" s="4">
        <v>646542</v>
      </c>
      <c r="D13429" s="4">
        <v>169109921</v>
      </c>
    </row>
    <row r="13430" spans="1:4" x14ac:dyDescent="0.25">
      <c r="A13430" t="str">
        <f>T("   730640")</f>
        <v xml:space="preserve">   730640</v>
      </c>
      <c r="B13430" t="str">
        <f>T("   AUTRES, SOUDES, DE SECTION CIRCULAIRE, EN ACIERS INOXYDABLES")</f>
        <v xml:space="preserve">   AUTRES, SOUDES, DE SECTION CIRCULAIRE, EN ACIERS INOXYDABLES</v>
      </c>
      <c r="C13430" s="4">
        <v>328623</v>
      </c>
      <c r="D13430" s="4">
        <v>73042912</v>
      </c>
    </row>
    <row r="13431" spans="1:4" x14ac:dyDescent="0.25">
      <c r="A13431" t="str">
        <f>T("   730650")</f>
        <v xml:space="preserve">   730650</v>
      </c>
      <c r="B13431" t="str">
        <f>T("   AUTRES, SOUDES, DE SECTION CIRCULAIRE, EN AUTRES ACIERS ALLIES")</f>
        <v xml:space="preserve">   AUTRES, SOUDES, DE SECTION CIRCULAIRE, EN AUTRES ACIERS ALLIES</v>
      </c>
      <c r="C13431" s="4">
        <v>207585</v>
      </c>
      <c r="D13431" s="4">
        <v>57759032</v>
      </c>
    </row>
    <row r="13432" spans="1:4" x14ac:dyDescent="0.25">
      <c r="A13432" t="str">
        <f>T("   730661")</f>
        <v xml:space="preserve">   730661</v>
      </c>
      <c r="B13432" t="str">
        <f>T("   DE SECTION CARREE OU RECTANGULAIRE")</f>
        <v xml:space="preserve">   DE SECTION CARREE OU RECTANGULAIRE</v>
      </c>
      <c r="C13432" s="4">
        <v>120295</v>
      </c>
      <c r="D13432" s="4">
        <v>29426303</v>
      </c>
    </row>
    <row r="13433" spans="1:4" x14ac:dyDescent="0.25">
      <c r="A13433" t="str">
        <f>T("   730690")</f>
        <v xml:space="preserve">   730690</v>
      </c>
      <c r="B13433" t="str">
        <f>T("   AUTRES")</f>
        <v xml:space="preserve">   AUTRES</v>
      </c>
      <c r="C13433" s="4">
        <v>407824</v>
      </c>
      <c r="D13433" s="4">
        <v>205921400</v>
      </c>
    </row>
    <row r="13434" spans="1:4" x14ac:dyDescent="0.25">
      <c r="A13434" t="str">
        <f>T("   730711")</f>
        <v xml:space="preserve">   730711</v>
      </c>
      <c r="B13434" t="str">
        <f>T("   EN FONTE NON MALLEABLE")</f>
        <v xml:space="preserve">   EN FONTE NON MALLEABLE</v>
      </c>
      <c r="C13434" s="4">
        <v>48468</v>
      </c>
      <c r="D13434" s="4">
        <v>136213332</v>
      </c>
    </row>
    <row r="13435" spans="1:4" x14ac:dyDescent="0.25">
      <c r="A13435" t="str">
        <f>T("   730719")</f>
        <v xml:space="preserve">   730719</v>
      </c>
      <c r="B13435" t="str">
        <f>T("   AUTRES")</f>
        <v xml:space="preserve">   AUTRES</v>
      </c>
      <c r="C13435" s="4">
        <v>4585.75</v>
      </c>
      <c r="D13435" s="4">
        <v>55503382</v>
      </c>
    </row>
    <row r="13436" spans="1:4" x14ac:dyDescent="0.25">
      <c r="A13436" t="str">
        <f>T("   730721")</f>
        <v xml:space="preserve">   730721</v>
      </c>
      <c r="B13436" t="str">
        <f>T("   BRIDES")</f>
        <v xml:space="preserve">   BRIDES</v>
      </c>
      <c r="C13436" s="4">
        <v>255</v>
      </c>
      <c r="D13436" s="4">
        <v>1549725</v>
      </c>
    </row>
    <row r="13437" spans="1:4" x14ac:dyDescent="0.25">
      <c r="A13437" t="str">
        <f>T("   730722")</f>
        <v xml:space="preserve">   730722</v>
      </c>
      <c r="B13437" t="str">
        <f>T("   COUDES, COURBES ET MANCHONS, FILETES")</f>
        <v xml:space="preserve">   COUDES, COURBES ET MANCHONS, FILETES</v>
      </c>
      <c r="C13437" s="4">
        <v>1910</v>
      </c>
      <c r="D13437" s="4">
        <v>17739368</v>
      </c>
    </row>
    <row r="13438" spans="1:4" x14ac:dyDescent="0.25">
      <c r="A13438" t="str">
        <f>T("   730723")</f>
        <v xml:space="preserve">   730723</v>
      </c>
      <c r="B13438" t="str">
        <f>T("   ACCESSOIRES A SOUDER BOUT A BOUT")</f>
        <v xml:space="preserve">   ACCESSOIRES A SOUDER BOUT A BOUT</v>
      </c>
      <c r="C13438" s="4">
        <v>29</v>
      </c>
      <c r="D13438" s="4">
        <v>136426</v>
      </c>
    </row>
    <row r="13439" spans="1:4" x14ac:dyDescent="0.25">
      <c r="A13439" t="str">
        <f>T("   730729")</f>
        <v xml:space="preserve">   730729</v>
      </c>
      <c r="B13439" t="str">
        <f>T("   AUTRES")</f>
        <v xml:space="preserve">   AUTRES</v>
      </c>
      <c r="C13439" s="4">
        <v>5214.8</v>
      </c>
      <c r="D13439" s="4">
        <v>16622940</v>
      </c>
    </row>
    <row r="13440" spans="1:4" x14ac:dyDescent="0.25">
      <c r="A13440" t="str">
        <f>T("   730791")</f>
        <v xml:space="preserve">   730791</v>
      </c>
      <c r="B13440" t="str">
        <f>T("   BRIDES")</f>
        <v xml:space="preserve">   BRIDES</v>
      </c>
      <c r="C13440" s="4">
        <v>468.3</v>
      </c>
      <c r="D13440" s="4">
        <v>8243251</v>
      </c>
    </row>
    <row r="13441" spans="1:4" x14ac:dyDescent="0.25">
      <c r="A13441" t="str">
        <f>T("   730792")</f>
        <v xml:space="preserve">   730792</v>
      </c>
      <c r="B13441" t="str">
        <f>T("   COUDES, COURBES ET MANCHONS, FILETES")</f>
        <v xml:space="preserve">   COUDES, COURBES ET MANCHONS, FILETES</v>
      </c>
      <c r="C13441" s="4">
        <v>110</v>
      </c>
      <c r="D13441" s="4">
        <v>1709938</v>
      </c>
    </row>
    <row r="13442" spans="1:4" x14ac:dyDescent="0.25">
      <c r="A13442" t="str">
        <f>T("   730799")</f>
        <v xml:space="preserve">   730799</v>
      </c>
      <c r="B13442" t="str">
        <f>T("   AUTRES")</f>
        <v xml:space="preserve">   AUTRES</v>
      </c>
      <c r="C13442" s="4">
        <v>15272.09</v>
      </c>
      <c r="D13442" s="4">
        <v>105798166</v>
      </c>
    </row>
    <row r="13443" spans="1:4" x14ac:dyDescent="0.25">
      <c r="A13443" t="str">
        <f>T("   730810")</f>
        <v xml:space="preserve">   730810</v>
      </c>
      <c r="B13443" t="str">
        <f>T("   PONTS ET ELEMENTS DE PONTS")</f>
        <v xml:space="preserve">   PONTS ET ELEMENTS DE PONTS</v>
      </c>
      <c r="C13443" s="4">
        <v>4510</v>
      </c>
      <c r="D13443" s="4">
        <v>15857988</v>
      </c>
    </row>
    <row r="13444" spans="1:4" x14ac:dyDescent="0.25">
      <c r="A13444" t="str">
        <f>T("   730820")</f>
        <v xml:space="preserve">   730820</v>
      </c>
      <c r="B13444" t="str">
        <f>T("   TOURS ET PYLONES")</f>
        <v xml:space="preserve">   TOURS ET PYLONES</v>
      </c>
      <c r="C13444" s="4">
        <v>721524</v>
      </c>
      <c r="D13444" s="4">
        <v>1062489973</v>
      </c>
    </row>
    <row r="13445" spans="1:4" x14ac:dyDescent="0.25">
      <c r="A13445" t="str">
        <f>T("   730830")</f>
        <v xml:space="preserve">   730830</v>
      </c>
      <c r="B13445" t="str">
        <f>T("   PORTES, FENETRES ET LEURS CADRES ET CHAMBRANLES ET SEUILS")</f>
        <v xml:space="preserve">   PORTES, FENETRES ET LEURS CADRES ET CHAMBRANLES ET SEUILS</v>
      </c>
      <c r="C13445" s="4">
        <v>120572</v>
      </c>
      <c r="D13445" s="4">
        <v>176985985</v>
      </c>
    </row>
    <row r="13446" spans="1:4" x14ac:dyDescent="0.25">
      <c r="A13446" t="str">
        <f>T("   730840")</f>
        <v xml:space="preserve">   730840</v>
      </c>
      <c r="B13446" t="str">
        <f>T("   MATERIEL D'ECHAFAUDAGE, DE COFFRAGE, D'ETANCONNEMENT OU D'ETAYAGE")</f>
        <v xml:space="preserve">   MATERIEL D'ECHAFAUDAGE, DE COFFRAGE, D'ETANCONNEMENT OU D'ETAYAGE</v>
      </c>
      <c r="C13446" s="4">
        <v>224966</v>
      </c>
      <c r="D13446" s="4">
        <v>202214666</v>
      </c>
    </row>
    <row r="13447" spans="1:4" x14ac:dyDescent="0.25">
      <c r="A13447" t="str">
        <f>T("   730890")</f>
        <v xml:space="preserve">   730890</v>
      </c>
      <c r="B13447" t="str">
        <f>T("   AUTRES")</f>
        <v xml:space="preserve">   AUTRES</v>
      </c>
      <c r="C13447" s="4">
        <v>2483248.84</v>
      </c>
      <c r="D13447" s="4">
        <v>1848064900</v>
      </c>
    </row>
    <row r="13448" spans="1:4" x14ac:dyDescent="0.25">
      <c r="A13448" t="str">
        <f>T("   730900")</f>
        <v xml:space="preserve">   730900</v>
      </c>
      <c r="B13448" t="str">
        <f>T("   RESERVOIRS, FOUDRES, CUVES ET RECIPIENTS SIMILAIRES POUR TOUTES MATIERES (A L'EXCEPTION")</f>
        <v xml:space="preserve">   RESERVOIRS, FOUDRES, CUVES ET RECIPIENTS SIMILAIRES POUR TOUTES MATIERES (A L'EXCEPTION</v>
      </c>
      <c r="C13448" s="4">
        <v>20220</v>
      </c>
      <c r="D13448" s="4">
        <v>55098137</v>
      </c>
    </row>
    <row r="13449" spans="1:4" x14ac:dyDescent="0.25">
      <c r="A13449" t="str">
        <f>T("   731010")</f>
        <v xml:space="preserve">   731010</v>
      </c>
      <c r="B13449" t="str">
        <f>T("   D'UNE CONTENANCE DE 50 L OU PLUS")</f>
        <v xml:space="preserve">   D'UNE CONTENANCE DE 50 L OU PLUS</v>
      </c>
      <c r="C13449" s="4">
        <v>119380</v>
      </c>
      <c r="D13449" s="4">
        <v>321078437</v>
      </c>
    </row>
    <row r="13450" spans="1:4" x14ac:dyDescent="0.25">
      <c r="A13450" t="str">
        <f>T("   731021")</f>
        <v xml:space="preserve">   731021</v>
      </c>
      <c r="B13450" t="str">
        <f>T("   BOITES A FERMER PAR SOUDAGE OU SERTISSAGE")</f>
        <v xml:space="preserve">   BOITES A FERMER PAR SOUDAGE OU SERTISSAGE</v>
      </c>
      <c r="C13450" s="4">
        <v>362164</v>
      </c>
      <c r="D13450" s="4">
        <v>161536485</v>
      </c>
    </row>
    <row r="13451" spans="1:4" x14ac:dyDescent="0.25">
      <c r="A13451" t="str">
        <f>T("   731029")</f>
        <v xml:space="preserve">   731029</v>
      </c>
      <c r="B13451" t="str">
        <f>T("   AUTRES")</f>
        <v xml:space="preserve">   AUTRES</v>
      </c>
      <c r="C13451" s="4">
        <v>897101</v>
      </c>
      <c r="D13451" s="4">
        <v>1117467266</v>
      </c>
    </row>
    <row r="13452" spans="1:4" x14ac:dyDescent="0.25">
      <c r="A13452" t="str">
        <f>T("   731100")</f>
        <v xml:space="preserve">   731100</v>
      </c>
      <c r="B13452" t="str">
        <f>T("   RECIPIENTS POUR GAZ COMPRIMES OU LIQUEFIES, EN FONTE, FER OU ACIER.")</f>
        <v xml:space="preserve">   RECIPIENTS POUR GAZ COMPRIMES OU LIQUEFIES, EN FONTE, FER OU ACIER.</v>
      </c>
      <c r="C13452" s="4">
        <v>1228975</v>
      </c>
      <c r="D13452" s="4">
        <v>1795077707</v>
      </c>
    </row>
    <row r="13453" spans="1:4" x14ac:dyDescent="0.25">
      <c r="A13453" t="str">
        <f>T("   731210")</f>
        <v xml:space="preserve">   731210</v>
      </c>
      <c r="B13453" t="str">
        <f>T("   TORONS ET CABLES")</f>
        <v xml:space="preserve">   TORONS ET CABLES</v>
      </c>
      <c r="C13453" s="4">
        <v>44676</v>
      </c>
      <c r="D13453" s="4">
        <v>64492498</v>
      </c>
    </row>
    <row r="13454" spans="1:4" x14ac:dyDescent="0.25">
      <c r="A13454" t="str">
        <f>T("   731290")</f>
        <v xml:space="preserve">   731290</v>
      </c>
      <c r="B13454" t="str">
        <f>T("   AUTRES")</f>
        <v xml:space="preserve">   AUTRES</v>
      </c>
      <c r="C13454" s="4">
        <v>51432.46</v>
      </c>
      <c r="D13454" s="4">
        <v>116890757</v>
      </c>
    </row>
    <row r="13455" spans="1:4" x14ac:dyDescent="0.25">
      <c r="A13455" t="str">
        <f>T("   731300")</f>
        <v xml:space="preserve">   731300</v>
      </c>
      <c r="B13455" t="str">
        <f>T("   RONCES ARTIFICIELLES EN FER OU EN ACIER; TORSADES, BARBELEES OU NON, EN FILS OU EN FEUI")</f>
        <v xml:space="preserve">   RONCES ARTIFICIELLES EN FER OU EN ACIER; TORSADES, BARBELEES OU NON, EN FILS OU EN FEUI</v>
      </c>
      <c r="C13455" s="4">
        <v>46705</v>
      </c>
      <c r="D13455" s="4">
        <v>3843204</v>
      </c>
    </row>
    <row r="13456" spans="1:4" x14ac:dyDescent="0.25">
      <c r="A13456" t="str">
        <f>T("   731412")</f>
        <v xml:space="preserve">   731412</v>
      </c>
      <c r="B13456" t="str">
        <f>T("   TOILES METALLIQUES CONTINUES OU SANS FIN, POUR MACHINES, EN ACIERS INOXYDABLES")</f>
        <v xml:space="preserve">   TOILES METALLIQUES CONTINUES OU SANS FIN, POUR MACHINES, EN ACIERS INOXYDABLES</v>
      </c>
      <c r="C13456" s="4">
        <v>631</v>
      </c>
      <c r="D13456" s="4">
        <v>3626278</v>
      </c>
    </row>
    <row r="13457" spans="1:4" x14ac:dyDescent="0.25">
      <c r="A13457" t="str">
        <f>T("   731419")</f>
        <v xml:space="preserve">   731419</v>
      </c>
      <c r="B13457" t="str">
        <f>T("   AUTRES")</f>
        <v xml:space="preserve">   AUTRES</v>
      </c>
      <c r="C13457" s="4">
        <v>1182053</v>
      </c>
      <c r="D13457" s="4">
        <v>189985613</v>
      </c>
    </row>
    <row r="13458" spans="1:4" x14ac:dyDescent="0.25">
      <c r="A13458" t="str">
        <f>T("   731420")</f>
        <v xml:space="preserve">   731420</v>
      </c>
      <c r="B13458" t="str">
        <f>T("   GRILLAGES ET TREILLIS, SOUDES AUX POINTS DE RENCONTRE, EN FILS DONT LA PLUS GRANDE DI")</f>
        <v xml:space="preserve">   GRILLAGES ET TREILLIS, SOUDES AUX POINTS DE RENCONTRE, EN FILS DONT LA PLUS GRANDE DI</v>
      </c>
      <c r="C13458" s="4">
        <v>74365</v>
      </c>
      <c r="D13458" s="4">
        <v>89544118</v>
      </c>
    </row>
    <row r="13459" spans="1:4" x14ac:dyDescent="0.25">
      <c r="A13459" t="str">
        <f>T("   731439")</f>
        <v xml:space="preserve">   731439</v>
      </c>
      <c r="B13459" t="str">
        <f>T("   AUTRES")</f>
        <v xml:space="preserve">   AUTRES</v>
      </c>
      <c r="C13459" s="4">
        <v>23774</v>
      </c>
      <c r="D13459" s="4">
        <v>9633965</v>
      </c>
    </row>
    <row r="13460" spans="1:4" x14ac:dyDescent="0.25">
      <c r="A13460" t="str">
        <f>T("   731442")</f>
        <v xml:space="preserve">   731442</v>
      </c>
      <c r="B13460" t="str">
        <f>T("   RECOUVERTS DE MATIERES PLASTIQUES")</f>
        <v xml:space="preserve">   RECOUVERTS DE MATIERES PLASTIQUES</v>
      </c>
      <c r="C13460" s="4">
        <v>10666</v>
      </c>
      <c r="D13460" s="4">
        <v>3195555</v>
      </c>
    </row>
    <row r="13461" spans="1:4" x14ac:dyDescent="0.25">
      <c r="A13461" t="str">
        <f>T("   731449")</f>
        <v xml:space="preserve">   731449</v>
      </c>
      <c r="B13461" t="str">
        <f>T("   AUTRES")</f>
        <v xml:space="preserve">   AUTRES</v>
      </c>
      <c r="C13461" s="4">
        <v>209196</v>
      </c>
      <c r="D13461" s="4">
        <v>90991936</v>
      </c>
    </row>
    <row r="13462" spans="1:4" x14ac:dyDescent="0.25">
      <c r="A13462" t="str">
        <f>T("   731450")</f>
        <v xml:space="preserve">   731450</v>
      </c>
      <c r="B13462" t="str">
        <f>T("   TOLES ET BANDES DEPLOYEES")</f>
        <v xml:space="preserve">   TOLES ET BANDES DEPLOYEES</v>
      </c>
      <c r="C13462" s="4">
        <v>2034171</v>
      </c>
      <c r="D13462" s="4">
        <v>748356022</v>
      </c>
    </row>
    <row r="13463" spans="1:4" x14ac:dyDescent="0.25">
      <c r="A13463" t="str">
        <f>T("   731511")</f>
        <v xml:space="preserve">   731511</v>
      </c>
      <c r="B13463" t="str">
        <f>T("   CHAINES A ROULEAUX")</f>
        <v xml:space="preserve">   CHAINES A ROULEAUX</v>
      </c>
      <c r="C13463" s="4">
        <v>126</v>
      </c>
      <c r="D13463" s="4">
        <v>942615</v>
      </c>
    </row>
    <row r="13464" spans="1:4" x14ac:dyDescent="0.25">
      <c r="A13464" t="str">
        <f>T("   731512")</f>
        <v xml:space="preserve">   731512</v>
      </c>
      <c r="B13464" t="str">
        <f>T("   AUTRES CHAINES")</f>
        <v xml:space="preserve">   AUTRES CHAINES</v>
      </c>
      <c r="C13464" s="4">
        <v>8429</v>
      </c>
      <c r="D13464" s="4">
        <v>35424694</v>
      </c>
    </row>
    <row r="13465" spans="1:4" x14ac:dyDescent="0.25">
      <c r="A13465" t="str">
        <f>T("   731581")</f>
        <v xml:space="preserve">   731581</v>
      </c>
      <c r="B13465" t="str">
        <f>T("   CHAINES A MAILLONS A ETAIS")</f>
        <v xml:space="preserve">   CHAINES A MAILLONS A ETAIS</v>
      </c>
      <c r="C13465" s="4">
        <v>252</v>
      </c>
      <c r="D13465" s="4">
        <v>2469690</v>
      </c>
    </row>
    <row r="13466" spans="1:4" x14ac:dyDescent="0.25">
      <c r="A13466" t="str">
        <f>T("   731582")</f>
        <v xml:space="preserve">   731582</v>
      </c>
      <c r="B13466" t="str">
        <f>T("   AUTRES CHAINES, A MAILLONS SOUDES")</f>
        <v xml:space="preserve">   AUTRES CHAINES, A MAILLONS SOUDES</v>
      </c>
      <c r="C13466" s="4">
        <v>7</v>
      </c>
      <c r="D13466" s="4">
        <v>94085</v>
      </c>
    </row>
    <row r="13467" spans="1:4" x14ac:dyDescent="0.25">
      <c r="A13467" t="str">
        <f>T("   731589")</f>
        <v xml:space="preserve">   731589</v>
      </c>
      <c r="B13467" t="str">
        <f>T("   AUTRES")</f>
        <v xml:space="preserve">   AUTRES</v>
      </c>
      <c r="C13467" s="4">
        <v>5649</v>
      </c>
      <c r="D13467" s="4">
        <v>18364837</v>
      </c>
    </row>
    <row r="13468" spans="1:4" x14ac:dyDescent="0.25">
      <c r="A13468" t="str">
        <f>T("   731590")</f>
        <v xml:space="preserve">   731590</v>
      </c>
      <c r="B13468" t="str">
        <f>T("   AUTRES PARTIES")</f>
        <v xml:space="preserve">   AUTRES PARTIES</v>
      </c>
      <c r="C13468" s="4">
        <v>5425</v>
      </c>
      <c r="D13468" s="4">
        <v>23125766</v>
      </c>
    </row>
    <row r="13469" spans="1:4" x14ac:dyDescent="0.25">
      <c r="A13469" t="str">
        <f>T("   731600")</f>
        <v xml:space="preserve">   731600</v>
      </c>
      <c r="B13469" t="str">
        <f>T("   ANCRES, GRAPPINS ET LEURS PARTIES, EN FONTE, FER OU ACIER.")</f>
        <v xml:space="preserve">   ANCRES, GRAPPINS ET LEURS PARTIES, EN FONTE, FER OU ACIER.</v>
      </c>
      <c r="C13469" s="4">
        <v>45003.4</v>
      </c>
      <c r="D13469" s="4">
        <v>125372554</v>
      </c>
    </row>
    <row r="13470" spans="1:4" x14ac:dyDescent="0.25">
      <c r="A13470" t="str">
        <f>T("   731700")</f>
        <v xml:space="preserve">   731700</v>
      </c>
      <c r="B13470" t="str">
        <f>T("   POINTES, CLOUS, PUNAISES, CRAMPONS APPOINTES, AGRAFES ONDULEES OU BISEAUTEES ET ARTICLE")</f>
        <v xml:space="preserve">   POINTES, CLOUS, PUNAISES, CRAMPONS APPOINTES, AGRAFES ONDULEES OU BISEAUTEES ET ARTICLE</v>
      </c>
      <c r="C13470" s="4">
        <v>1561050</v>
      </c>
      <c r="D13470" s="4">
        <v>292092710</v>
      </c>
    </row>
    <row r="13471" spans="1:4" x14ac:dyDescent="0.25">
      <c r="A13471" t="str">
        <f>T("   731811")</f>
        <v xml:space="preserve">   731811</v>
      </c>
      <c r="B13471" t="str">
        <f>T("   TIREFOND")</f>
        <v xml:space="preserve">   TIREFOND</v>
      </c>
      <c r="C13471" s="4">
        <v>72370</v>
      </c>
      <c r="D13471" s="4">
        <v>47229524</v>
      </c>
    </row>
    <row r="13472" spans="1:4" x14ac:dyDescent="0.25">
      <c r="A13472" t="str">
        <f>T("   731812")</f>
        <v xml:space="preserve">   731812</v>
      </c>
      <c r="B13472" t="str">
        <f>T("   AUTRES VIS A BOIS")</f>
        <v xml:space="preserve">   AUTRES VIS A BOIS</v>
      </c>
      <c r="C13472" s="4">
        <v>39522</v>
      </c>
      <c r="D13472" s="4">
        <v>8231014</v>
      </c>
    </row>
    <row r="13473" spans="1:4" x14ac:dyDescent="0.25">
      <c r="A13473" t="str">
        <f>T("   731813")</f>
        <v xml:space="preserve">   731813</v>
      </c>
      <c r="B13473" t="str">
        <f>T("   CROCHETS ET PITONS A PAS DE VIS")</f>
        <v xml:space="preserve">   CROCHETS ET PITONS A PAS DE VIS</v>
      </c>
      <c r="C13473" s="4">
        <v>342.8</v>
      </c>
      <c r="D13473" s="4">
        <v>1598496</v>
      </c>
    </row>
    <row r="13474" spans="1:4" x14ac:dyDescent="0.25">
      <c r="A13474" t="str">
        <f>T("   731814")</f>
        <v xml:space="preserve">   731814</v>
      </c>
      <c r="B13474" t="str">
        <f>T("   VIS AUTOTARAUDEUSES")</f>
        <v xml:space="preserve">   VIS AUTOTARAUDEUSES</v>
      </c>
      <c r="C13474" s="4">
        <v>94</v>
      </c>
      <c r="D13474" s="4">
        <v>596090</v>
      </c>
    </row>
    <row r="13475" spans="1:4" x14ac:dyDescent="0.25">
      <c r="A13475" t="str">
        <f>T("   731815")</f>
        <v xml:space="preserve">   731815</v>
      </c>
      <c r="B13475" t="str">
        <f>T("   AUTRES VIS ET BOULONS, MEME AVEC LEURS ECROUS OU RONDELLES")</f>
        <v xml:space="preserve">   AUTRES VIS ET BOULONS, MEME AVEC LEURS ECROUS OU RONDELLES</v>
      </c>
      <c r="C13475" s="4">
        <v>239381.96</v>
      </c>
      <c r="D13475" s="4">
        <v>292336178</v>
      </c>
    </row>
    <row r="13476" spans="1:4" x14ac:dyDescent="0.25">
      <c r="A13476" t="str">
        <f>T("   731816")</f>
        <v xml:space="preserve">   731816</v>
      </c>
      <c r="B13476" t="str">
        <f>T("   ECROUS")</f>
        <v xml:space="preserve">   ECROUS</v>
      </c>
      <c r="C13476" s="4">
        <v>39086.25</v>
      </c>
      <c r="D13476" s="4">
        <v>42853894</v>
      </c>
    </row>
    <row r="13477" spans="1:4" x14ac:dyDescent="0.25">
      <c r="A13477" t="str">
        <f>T("   731819")</f>
        <v xml:space="preserve">   731819</v>
      </c>
      <c r="B13477" t="str">
        <f>T("   AUTRES")</f>
        <v xml:space="preserve">   AUTRES</v>
      </c>
      <c r="C13477" s="4">
        <v>37685.75</v>
      </c>
      <c r="D13477" s="4">
        <v>47043349</v>
      </c>
    </row>
    <row r="13478" spans="1:4" x14ac:dyDescent="0.25">
      <c r="A13478" t="str">
        <f>T("   731821")</f>
        <v xml:space="preserve">   731821</v>
      </c>
      <c r="B13478" t="str">
        <f>T("   RONDELLES DESTINEES A FAIRE RESSORT ET AUTRES RONDELLES DE BLOCAGE")</f>
        <v xml:space="preserve">   RONDELLES DESTINEES A FAIRE RESSORT ET AUTRES RONDELLES DE BLOCAGE</v>
      </c>
      <c r="C13478" s="4">
        <v>224</v>
      </c>
      <c r="D13478" s="4">
        <v>2623079</v>
      </c>
    </row>
    <row r="13479" spans="1:4" x14ac:dyDescent="0.25">
      <c r="A13479" t="str">
        <f>T("   731822")</f>
        <v xml:space="preserve">   731822</v>
      </c>
      <c r="B13479" t="str">
        <f>T("   AUTRES RONDELLES")</f>
        <v xml:space="preserve">   AUTRES RONDELLES</v>
      </c>
      <c r="C13479" s="4">
        <v>592.78</v>
      </c>
      <c r="D13479" s="4">
        <v>5175720</v>
      </c>
    </row>
    <row r="13480" spans="1:4" x14ac:dyDescent="0.25">
      <c r="A13480" t="str">
        <f>T("   731823")</f>
        <v xml:space="preserve">   731823</v>
      </c>
      <c r="B13480" t="str">
        <f>T("   RIVETS")</f>
        <v xml:space="preserve">   RIVETS</v>
      </c>
      <c r="C13480" s="4">
        <v>33</v>
      </c>
      <c r="D13480" s="4">
        <v>2249084</v>
      </c>
    </row>
    <row r="13481" spans="1:4" x14ac:dyDescent="0.25">
      <c r="A13481" t="str">
        <f>T("   731824")</f>
        <v xml:space="preserve">   731824</v>
      </c>
      <c r="B13481" t="str">
        <f>T("   GOUPILLES, CHEVILLES ET CLAVETTES")</f>
        <v xml:space="preserve">   GOUPILLES, CHEVILLES ET CLAVETTES</v>
      </c>
      <c r="C13481" s="4">
        <v>1345</v>
      </c>
      <c r="D13481" s="4">
        <v>17848453</v>
      </c>
    </row>
    <row r="13482" spans="1:4" x14ac:dyDescent="0.25">
      <c r="A13482" t="str">
        <f>T("   731829")</f>
        <v xml:space="preserve">   731829</v>
      </c>
      <c r="B13482" t="str">
        <f>T("   AUTRES")</f>
        <v xml:space="preserve">   AUTRES</v>
      </c>
      <c r="C13482" s="4">
        <v>41000.46</v>
      </c>
      <c r="D13482" s="4">
        <v>23997277</v>
      </c>
    </row>
    <row r="13483" spans="1:4" x14ac:dyDescent="0.25">
      <c r="A13483" t="str">
        <f>T("   731930")</f>
        <v xml:space="preserve">   731930</v>
      </c>
      <c r="B13483" t="str">
        <f>T("   AUTRES EPINGLES, EN FER OU ACIER")</f>
        <v xml:space="preserve">   AUTRES EPINGLES, EN FER OU ACIER</v>
      </c>
      <c r="C13483" s="4">
        <v>14953</v>
      </c>
      <c r="D13483" s="4">
        <v>6255131</v>
      </c>
    </row>
    <row r="13484" spans="1:4" x14ac:dyDescent="0.25">
      <c r="A13484" t="str">
        <f>T("   731990")</f>
        <v xml:space="preserve">   731990</v>
      </c>
      <c r="B13484" t="str">
        <f>T("   AUTRES")</f>
        <v xml:space="preserve">   AUTRES</v>
      </c>
      <c r="C13484" s="4">
        <v>2151</v>
      </c>
      <c r="D13484" s="4">
        <v>2054585</v>
      </c>
    </row>
    <row r="13485" spans="1:4" x14ac:dyDescent="0.25">
      <c r="A13485" t="str">
        <f>T("   732010")</f>
        <v xml:space="preserve">   732010</v>
      </c>
      <c r="B13485" t="str">
        <f>T("   RESSORTS A LAMES ET LEURS LAMES")</f>
        <v xml:space="preserve">   RESSORTS A LAMES ET LEURS LAMES</v>
      </c>
      <c r="C13485" s="4">
        <v>12260</v>
      </c>
      <c r="D13485" s="4">
        <v>14567819</v>
      </c>
    </row>
    <row r="13486" spans="1:4" x14ac:dyDescent="0.25">
      <c r="A13486" t="str">
        <f>T("   732020")</f>
        <v xml:space="preserve">   732020</v>
      </c>
      <c r="B13486" t="str">
        <f>T("   RESSORTS EN HELICE")</f>
        <v xml:space="preserve">   RESSORTS EN HELICE</v>
      </c>
      <c r="C13486" s="4">
        <v>0.3</v>
      </c>
      <c r="D13486" s="4">
        <v>644856</v>
      </c>
    </row>
    <row r="13487" spans="1:4" x14ac:dyDescent="0.25">
      <c r="A13487" t="str">
        <f>T("   732090")</f>
        <v xml:space="preserve">   732090</v>
      </c>
      <c r="B13487" t="str">
        <f>T("   AUTRES")</f>
        <v xml:space="preserve">   AUTRES</v>
      </c>
      <c r="C13487" s="4">
        <v>33131.9</v>
      </c>
      <c r="D13487" s="4">
        <v>25397674</v>
      </c>
    </row>
    <row r="13488" spans="1:4" x14ac:dyDescent="0.25">
      <c r="A13488" t="str">
        <f>T("   732111")</f>
        <v xml:space="preserve">   732111</v>
      </c>
      <c r="B13488" t="str">
        <f>T("   A COMBUSTIBLES GAZEUX OU A GAZ ET AUTRES COMBUSTIBLES")</f>
        <v xml:space="preserve">   A COMBUSTIBLES GAZEUX OU A GAZ ET AUTRES COMBUSTIBLES</v>
      </c>
      <c r="C13488" s="4">
        <v>101378</v>
      </c>
      <c r="D13488" s="4">
        <v>120795817</v>
      </c>
    </row>
    <row r="13489" spans="1:4" x14ac:dyDescent="0.25">
      <c r="A13489" t="str">
        <f>T("   732112")</f>
        <v xml:space="preserve">   732112</v>
      </c>
      <c r="B13489" t="str">
        <f>T("   A COMBUSTIBLES LIQUIDES")</f>
        <v xml:space="preserve">   A COMBUSTIBLES LIQUIDES</v>
      </c>
      <c r="C13489" s="4">
        <v>1601</v>
      </c>
      <c r="D13489" s="4">
        <v>869316</v>
      </c>
    </row>
    <row r="13490" spans="1:4" x14ac:dyDescent="0.25">
      <c r="A13490" t="str">
        <f>T("   732181")</f>
        <v xml:space="preserve">   732181</v>
      </c>
      <c r="B13490" t="str">
        <f>T("   A COMBUSTIBLES GAZEUX OU A GAZ ET AUTRES COMBUSTIBLES")</f>
        <v xml:space="preserve">   A COMBUSTIBLES GAZEUX OU A GAZ ET AUTRES COMBUSTIBLES</v>
      </c>
      <c r="C13490" s="4">
        <v>17949</v>
      </c>
      <c r="D13490" s="4">
        <v>43437389</v>
      </c>
    </row>
    <row r="13491" spans="1:4" x14ac:dyDescent="0.25">
      <c r="A13491" t="str">
        <f>T("   732190")</f>
        <v xml:space="preserve">   732190</v>
      </c>
      <c r="B13491" t="str">
        <f>T("   PARTIES")</f>
        <v xml:space="preserve">   PARTIES</v>
      </c>
      <c r="C13491" s="4">
        <v>9252</v>
      </c>
      <c r="D13491" s="4">
        <v>6864116</v>
      </c>
    </row>
    <row r="13492" spans="1:4" x14ac:dyDescent="0.25">
      <c r="A13492" t="str">
        <f>T("   732219")</f>
        <v xml:space="preserve">   732219</v>
      </c>
      <c r="B13492" t="str">
        <f>T("   AUTRES")</f>
        <v xml:space="preserve">   AUTRES</v>
      </c>
      <c r="C13492" s="4">
        <v>196</v>
      </c>
      <c r="D13492" s="4">
        <v>1092300</v>
      </c>
    </row>
    <row r="13493" spans="1:4" x14ac:dyDescent="0.25">
      <c r="A13493" t="str">
        <f>T("   732290")</f>
        <v xml:space="preserve">   732290</v>
      </c>
      <c r="B13493" t="str">
        <f>T("   AUTRES")</f>
        <v xml:space="preserve">   AUTRES</v>
      </c>
      <c r="C13493" s="4">
        <v>37</v>
      </c>
      <c r="D13493" s="4">
        <v>134590</v>
      </c>
    </row>
    <row r="13494" spans="1:4" x14ac:dyDescent="0.25">
      <c r="A13494" t="str">
        <f>T("   732310")</f>
        <v xml:space="preserve">   732310</v>
      </c>
      <c r="B13494" t="str">
        <f>T("   PAILLE DE FER OU D'ACIER; EPONGES, TORCHONS, GANTS ET ARTICLES SIMILAIRES POUR LE REC")</f>
        <v xml:space="preserve">   PAILLE DE FER OU D'ACIER; EPONGES, TORCHONS, GANTS ET ARTICLES SIMILAIRES POUR LE REC</v>
      </c>
      <c r="C13494" s="4">
        <v>143638</v>
      </c>
      <c r="D13494" s="4">
        <v>32770580</v>
      </c>
    </row>
    <row r="13495" spans="1:4" x14ac:dyDescent="0.25">
      <c r="A13495" t="str">
        <f>T("   732391")</f>
        <v xml:space="preserve">   732391</v>
      </c>
      <c r="B13495" t="str">
        <f>T("   EN FONTE, NON EMAILLES")</f>
        <v xml:space="preserve">   EN FONTE, NON EMAILLES</v>
      </c>
      <c r="C13495" s="4">
        <v>7430</v>
      </c>
      <c r="D13495" s="4">
        <v>1416099</v>
      </c>
    </row>
    <row r="13496" spans="1:4" x14ac:dyDescent="0.25">
      <c r="A13496" t="str">
        <f>T("   732392")</f>
        <v xml:space="preserve">   732392</v>
      </c>
      <c r="B13496" t="str">
        <f>T("   EN FONTE, EMAILLES")</f>
        <v xml:space="preserve">   EN FONTE, EMAILLES</v>
      </c>
      <c r="C13496" s="4">
        <v>92957</v>
      </c>
      <c r="D13496" s="4">
        <v>18742114</v>
      </c>
    </row>
    <row r="13497" spans="1:4" x14ac:dyDescent="0.25">
      <c r="A13497" t="str">
        <f>T("   732393")</f>
        <v xml:space="preserve">   732393</v>
      </c>
      <c r="B13497" t="str">
        <f>T("   EN ACIERS INOXYDABLES")</f>
        <v xml:space="preserve">   EN ACIERS INOXYDABLES</v>
      </c>
      <c r="C13497" s="4">
        <v>62004</v>
      </c>
      <c r="D13497" s="4">
        <v>95154505</v>
      </c>
    </row>
    <row r="13498" spans="1:4" x14ac:dyDescent="0.25">
      <c r="A13498" t="str">
        <f>T("   732394")</f>
        <v xml:space="preserve">   732394</v>
      </c>
      <c r="B13498" t="str">
        <f>T("   EN FER OU EN ACIER, EMAILLES")</f>
        <v xml:space="preserve">   EN FER OU EN ACIER, EMAILLES</v>
      </c>
      <c r="C13498" s="4">
        <v>327629</v>
      </c>
      <c r="D13498" s="4">
        <v>169205728</v>
      </c>
    </row>
    <row r="13499" spans="1:4" x14ac:dyDescent="0.25">
      <c r="A13499" t="str">
        <f>T("   732399")</f>
        <v xml:space="preserve">   732399</v>
      </c>
      <c r="B13499" t="str">
        <f>T("   AUTRES")</f>
        <v xml:space="preserve">   AUTRES</v>
      </c>
      <c r="C13499" s="4">
        <v>2809448</v>
      </c>
      <c r="D13499" s="4">
        <v>783700901</v>
      </c>
    </row>
    <row r="13500" spans="1:4" x14ac:dyDescent="0.25">
      <c r="A13500" t="str">
        <f>T("   732410")</f>
        <v xml:space="preserve">   732410</v>
      </c>
      <c r="B13500" t="str">
        <f>T("   EVIERS ET LAVABOS EN ACIERS INOXYDABLES")</f>
        <v xml:space="preserve">   EVIERS ET LAVABOS EN ACIERS INOXYDABLES</v>
      </c>
      <c r="C13500" s="4">
        <v>15694</v>
      </c>
      <c r="D13500" s="4">
        <v>11973613</v>
      </c>
    </row>
    <row r="13501" spans="1:4" x14ac:dyDescent="0.25">
      <c r="A13501" t="str">
        <f>T("   732429")</f>
        <v xml:space="preserve">   732429</v>
      </c>
      <c r="B13501" t="str">
        <f>T("   AUTRES")</f>
        <v xml:space="preserve">   AUTRES</v>
      </c>
      <c r="C13501" s="4">
        <v>23150</v>
      </c>
      <c r="D13501" s="4">
        <v>8968531</v>
      </c>
    </row>
    <row r="13502" spans="1:4" x14ac:dyDescent="0.25">
      <c r="A13502" t="str">
        <f>T("   732490")</f>
        <v xml:space="preserve">   732490</v>
      </c>
      <c r="B13502" t="str">
        <f>T("   AUTRES, Y COMPRIS LES PARTIES")</f>
        <v xml:space="preserve">   AUTRES, Y COMPRIS LES PARTIES</v>
      </c>
      <c r="C13502" s="4">
        <v>111569.2</v>
      </c>
      <c r="D13502" s="4">
        <v>42831056</v>
      </c>
    </row>
    <row r="13503" spans="1:4" x14ac:dyDescent="0.25">
      <c r="A13503" t="str">
        <f>T("   732591")</f>
        <v xml:space="preserve">   732591</v>
      </c>
      <c r="B13503" t="str">
        <f>T("   BOULETS ET ARTICLES SIMILAIRES POUR BROYEURS")</f>
        <v xml:space="preserve">   BOULETS ET ARTICLES SIMILAIRES POUR BROYEURS</v>
      </c>
      <c r="C13503" s="4">
        <v>277468</v>
      </c>
      <c r="D13503" s="4">
        <v>205849790</v>
      </c>
    </row>
    <row r="13504" spans="1:4" x14ac:dyDescent="0.25">
      <c r="A13504" t="str">
        <f>T("   732599")</f>
        <v xml:space="preserve">   732599</v>
      </c>
      <c r="B13504" t="str">
        <f>T("   AUTRES")</f>
        <v xml:space="preserve">   AUTRES</v>
      </c>
      <c r="C13504" s="4">
        <v>8770</v>
      </c>
      <c r="D13504" s="4">
        <v>45873197</v>
      </c>
    </row>
    <row r="13505" spans="1:4" x14ac:dyDescent="0.25">
      <c r="A13505" t="str">
        <f>T("   732611")</f>
        <v xml:space="preserve">   732611</v>
      </c>
      <c r="B13505" t="str">
        <f>T("   BOULETS ET ARTICLES SIMILAIRES POUR BROYEURS")</f>
        <v xml:space="preserve">   BOULETS ET ARTICLES SIMILAIRES POUR BROYEURS</v>
      </c>
      <c r="C13505" s="4">
        <v>22902</v>
      </c>
      <c r="D13505" s="4">
        <v>22273122</v>
      </c>
    </row>
    <row r="13506" spans="1:4" x14ac:dyDescent="0.25">
      <c r="A13506" t="str">
        <f>T("   732619")</f>
        <v xml:space="preserve">   732619</v>
      </c>
      <c r="B13506" t="str">
        <f>T("   AUTRES")</f>
        <v xml:space="preserve">   AUTRES</v>
      </c>
      <c r="C13506" s="4">
        <v>141706</v>
      </c>
      <c r="D13506" s="4">
        <v>837222810</v>
      </c>
    </row>
    <row r="13507" spans="1:4" x14ac:dyDescent="0.25">
      <c r="A13507" t="str">
        <f>T("   732620")</f>
        <v xml:space="preserve">   732620</v>
      </c>
      <c r="B13507" t="str">
        <f>T("   OUVRAGES EN FILS DE FER OU D'ACIER")</f>
        <v xml:space="preserve">   OUVRAGES EN FILS DE FER OU D'ACIER</v>
      </c>
      <c r="C13507" s="4">
        <v>100939</v>
      </c>
      <c r="D13507" s="4">
        <v>46057694</v>
      </c>
    </row>
    <row r="13508" spans="1:4" x14ac:dyDescent="0.25">
      <c r="A13508" t="str">
        <f>T("   732690")</f>
        <v xml:space="preserve">   732690</v>
      </c>
      <c r="B13508" t="str">
        <f>T("   AUTRES")</f>
        <v xml:space="preserve">   AUTRES</v>
      </c>
      <c r="C13508" s="4">
        <v>2289240.46</v>
      </c>
      <c r="D13508" s="4">
        <v>2762220840</v>
      </c>
    </row>
    <row r="13509" spans="1:4" x14ac:dyDescent="0.25">
      <c r="A13509" t="str">
        <f>T("   740100")</f>
        <v xml:space="preserve">   740100</v>
      </c>
      <c r="B13509" t="str">
        <f>T("   MATTES DE CUIVRE; CUIVRE DE CEMENT (PRECIPITE DE CUIVRE).")</f>
        <v xml:space="preserve">   MATTES DE CUIVRE; CUIVRE DE CEMENT (PRECIPITE DE CUIVRE).</v>
      </c>
      <c r="C13509" s="4">
        <v>4406</v>
      </c>
      <c r="D13509" s="4">
        <v>11357665</v>
      </c>
    </row>
    <row r="13510" spans="1:4" x14ac:dyDescent="0.25">
      <c r="A13510" t="str">
        <f>T("   740710")</f>
        <v xml:space="preserve">   740710</v>
      </c>
      <c r="B13510" t="str">
        <f>T("   EN CUIVRE AFFINE")</f>
        <v xml:space="preserve">   EN CUIVRE AFFINE</v>
      </c>
      <c r="C13510" s="4">
        <v>477</v>
      </c>
      <c r="D13510" s="4">
        <v>2436396</v>
      </c>
    </row>
    <row r="13511" spans="1:4" x14ac:dyDescent="0.25">
      <c r="A13511" t="str">
        <f>T("   740729")</f>
        <v xml:space="preserve">   740729</v>
      </c>
      <c r="B13511" t="str">
        <f>T("   AUTRES")</f>
        <v xml:space="preserve">   AUTRES</v>
      </c>
      <c r="C13511" s="4">
        <v>103</v>
      </c>
      <c r="D13511" s="4">
        <v>1294309</v>
      </c>
    </row>
    <row r="13512" spans="1:4" x14ac:dyDescent="0.25">
      <c r="A13512" t="str">
        <f>T("   740819")</f>
        <v xml:space="preserve">   740819</v>
      </c>
      <c r="B13512" t="str">
        <f>T("   AUTRES")</f>
        <v xml:space="preserve">   AUTRES</v>
      </c>
      <c r="C13512" s="4">
        <v>56</v>
      </c>
      <c r="D13512" s="4">
        <v>100541</v>
      </c>
    </row>
    <row r="13513" spans="1:4" x14ac:dyDescent="0.25">
      <c r="A13513" t="str">
        <f>T("   740929")</f>
        <v xml:space="preserve">   740929</v>
      </c>
      <c r="B13513" t="str">
        <f>T("   AUTRES")</f>
        <v xml:space="preserve">   AUTRES</v>
      </c>
      <c r="C13513" s="4">
        <v>239015</v>
      </c>
      <c r="D13513" s="4">
        <v>119557894</v>
      </c>
    </row>
    <row r="13514" spans="1:4" x14ac:dyDescent="0.25">
      <c r="A13514" t="str">
        <f>T("   740939")</f>
        <v xml:space="preserve">   740939</v>
      </c>
      <c r="B13514" t="str">
        <f>T("   AUTRES")</f>
        <v xml:space="preserve">   AUTRES</v>
      </c>
      <c r="C13514" s="4">
        <v>2366798</v>
      </c>
      <c r="D13514" s="4">
        <v>491836842</v>
      </c>
    </row>
    <row r="13515" spans="1:4" x14ac:dyDescent="0.25">
      <c r="A13515" t="str">
        <f>T("   741110")</f>
        <v xml:space="preserve">   741110</v>
      </c>
      <c r="B13515" t="str">
        <f>T("   EN CUIVRE AFFINE")</f>
        <v xml:space="preserve">   EN CUIVRE AFFINE</v>
      </c>
      <c r="C13515" s="4">
        <v>127</v>
      </c>
      <c r="D13515" s="4">
        <v>4724545</v>
      </c>
    </row>
    <row r="13516" spans="1:4" x14ac:dyDescent="0.25">
      <c r="A13516" t="str">
        <f>T("   741129")</f>
        <v xml:space="preserve">   741129</v>
      </c>
      <c r="B13516" t="str">
        <f>T("   AUTRES")</f>
        <v xml:space="preserve">   AUTRES</v>
      </c>
      <c r="C13516" s="4">
        <v>60111</v>
      </c>
      <c r="D13516" s="4">
        <v>9614169</v>
      </c>
    </row>
    <row r="13517" spans="1:4" x14ac:dyDescent="0.25">
      <c r="A13517" t="str">
        <f>T("   741220")</f>
        <v xml:space="preserve">   741220</v>
      </c>
      <c r="B13517" t="str">
        <f>T("   EN ALLIAGES DE CUIVRE")</f>
        <v xml:space="preserve">   EN ALLIAGES DE CUIVRE</v>
      </c>
      <c r="C13517" s="4">
        <v>701</v>
      </c>
      <c r="D13517" s="4">
        <v>5067413</v>
      </c>
    </row>
    <row r="13518" spans="1:4" x14ac:dyDescent="0.25">
      <c r="A13518" t="str">
        <f>T("   741300")</f>
        <v xml:space="preserve">   741300</v>
      </c>
      <c r="B13518" t="str">
        <f>T("   TORONS, CABLES, TRESSES ET ARTICLES SIMILAIRES, EN CUIVRE, NON ISOLES POUR L'ELECTRICIT")</f>
        <v xml:space="preserve">   TORONS, CABLES, TRESSES ET ARTICLES SIMILAIRES, EN CUIVRE, NON ISOLES POUR L'ELECTRICIT</v>
      </c>
      <c r="C13518" s="4">
        <v>3275</v>
      </c>
      <c r="D13518" s="4">
        <v>2642207</v>
      </c>
    </row>
    <row r="13519" spans="1:4" x14ac:dyDescent="0.25">
      <c r="A13519" t="str">
        <f>T("   741490")</f>
        <v xml:space="preserve">   741490</v>
      </c>
      <c r="B13519" t="str">
        <f>T("   AUTRES TOILES METALLIQUES,GRILLAGES,...TOLES,BANDES DEPLOYEES EN CUIVRE")</f>
        <v xml:space="preserve">   AUTRES TOILES METALLIQUES,GRILLAGES,...TOLES,BANDES DEPLOYEES EN CUIVRE</v>
      </c>
      <c r="C13519" s="4">
        <v>68</v>
      </c>
      <c r="D13519" s="4">
        <v>68000</v>
      </c>
    </row>
    <row r="13520" spans="1:4" x14ac:dyDescent="0.25">
      <c r="A13520" t="str">
        <f>T("   741510")</f>
        <v xml:space="preserve">   741510</v>
      </c>
      <c r="B13520" t="str">
        <f>T("   POINTES ET CLOUS, PUNAISES, CRAMPONS APPOINTES ET ARTICLES SIMILAIRES")</f>
        <v xml:space="preserve">   POINTES ET CLOUS, PUNAISES, CRAMPONS APPOINTES ET ARTICLES SIMILAIRES</v>
      </c>
      <c r="C13520" s="4">
        <v>375583</v>
      </c>
      <c r="D13520" s="4">
        <v>65450128</v>
      </c>
    </row>
    <row r="13521" spans="1:4" x14ac:dyDescent="0.25">
      <c r="A13521" t="str">
        <f>T("   741533")</f>
        <v xml:space="preserve">   741533</v>
      </c>
      <c r="B13521" t="str">
        <f>T("   VIS; BOULONS ET ECROUS")</f>
        <v xml:space="preserve">   VIS; BOULONS ET ECROUS</v>
      </c>
      <c r="C13521" s="4">
        <v>13075</v>
      </c>
      <c r="D13521" s="4">
        <v>22202563</v>
      </c>
    </row>
    <row r="13522" spans="1:4" x14ac:dyDescent="0.25">
      <c r="A13522" t="str">
        <f>T("   741539")</f>
        <v xml:space="preserve">   741539</v>
      </c>
      <c r="B13522" t="str">
        <f>T("   AUTRES")</f>
        <v xml:space="preserve">   AUTRES</v>
      </c>
      <c r="C13522" s="4">
        <v>9383</v>
      </c>
      <c r="D13522" s="4">
        <v>2710050</v>
      </c>
    </row>
    <row r="13523" spans="1:4" x14ac:dyDescent="0.25">
      <c r="A13523" t="str">
        <f>T("   741811")</f>
        <v xml:space="preserve">   741811</v>
      </c>
      <c r="B13523" t="str">
        <f>T("   EPONGES,TORCHONS,GANTS,SIMILAIRES POUR RECURAGE,POLISSAGE ETC.")</f>
        <v xml:space="preserve">   EPONGES,TORCHONS,GANTS,SIMILAIRES POUR RECURAGE,POLISSAGE ETC.</v>
      </c>
      <c r="C13523" s="4">
        <v>70000</v>
      </c>
      <c r="D13523" s="4">
        <v>13319000</v>
      </c>
    </row>
    <row r="13524" spans="1:4" x14ac:dyDescent="0.25">
      <c r="A13524" t="str">
        <f>T("   741819")</f>
        <v xml:space="preserve">   741819</v>
      </c>
      <c r="B13524" t="str">
        <f>T("   AUTRES ARTICLES DE MENAGE OU D'ECONOMIE MIXTE EN CUIVRE")</f>
        <v xml:space="preserve">   AUTRES ARTICLES DE MENAGE OU D'ECONOMIE MIXTE EN CUIVRE</v>
      </c>
      <c r="C13524" s="4">
        <v>15400</v>
      </c>
      <c r="D13524" s="4">
        <v>2250000</v>
      </c>
    </row>
    <row r="13525" spans="1:4" x14ac:dyDescent="0.25">
      <c r="A13525" t="str">
        <f>T("   741820")</f>
        <v xml:space="preserve">   741820</v>
      </c>
      <c r="B13525" t="str">
        <f>T("   ARTICLES D'HYGIENE OU DE TOILETTE ET LEURS PARTIES")</f>
        <v xml:space="preserve">   ARTICLES D'HYGIENE OU DE TOILETTE ET LEURS PARTIES</v>
      </c>
      <c r="C13525" s="4">
        <v>16</v>
      </c>
      <c r="D13525" s="4">
        <v>204660</v>
      </c>
    </row>
    <row r="13526" spans="1:4" x14ac:dyDescent="0.25">
      <c r="A13526" t="str">
        <f>T("   741910")</f>
        <v xml:space="preserve">   741910</v>
      </c>
      <c r="B13526" t="str">
        <f>T("   CHAINES, CHAINETTES ET LEURS PARTIES")</f>
        <v xml:space="preserve">   CHAINES, CHAINETTES ET LEURS PARTIES</v>
      </c>
      <c r="C13526" s="4">
        <v>3600</v>
      </c>
      <c r="D13526" s="4">
        <v>300000</v>
      </c>
    </row>
    <row r="13527" spans="1:4" x14ac:dyDescent="0.25">
      <c r="A13527" t="str">
        <f>T("   741991")</f>
        <v xml:space="preserve">   741991</v>
      </c>
      <c r="B13527" t="str">
        <f>T("   COULES, MOULES, ESTAMPES OU FORGES, MAIS NON AUTREMENT TRAVAILLES")</f>
        <v xml:space="preserve">   COULES, MOULES, ESTAMPES OU FORGES, MAIS NON AUTREMENT TRAVAILLES</v>
      </c>
      <c r="C13527" s="4">
        <v>2337</v>
      </c>
      <c r="D13527" s="4">
        <v>300000</v>
      </c>
    </row>
    <row r="13528" spans="1:4" x14ac:dyDescent="0.25">
      <c r="A13528" t="str">
        <f>T("   741999")</f>
        <v xml:space="preserve">   741999</v>
      </c>
      <c r="B13528" t="str">
        <f>T("   AUTRES")</f>
        <v xml:space="preserve">   AUTRES</v>
      </c>
      <c r="C13528" s="4">
        <v>2182</v>
      </c>
      <c r="D13528" s="4">
        <v>25201469</v>
      </c>
    </row>
    <row r="13529" spans="1:4" x14ac:dyDescent="0.25">
      <c r="A13529" t="str">
        <f>T("   750890")</f>
        <v xml:space="preserve">   750890</v>
      </c>
      <c r="B13529" t="str">
        <f>T("   AUTRES")</f>
        <v xml:space="preserve">   AUTRES</v>
      </c>
      <c r="C13529" s="4">
        <v>6</v>
      </c>
      <c r="D13529" s="4">
        <v>881754</v>
      </c>
    </row>
    <row r="13530" spans="1:4" x14ac:dyDescent="0.25">
      <c r="A13530" t="str">
        <f>T("   760110")</f>
        <v xml:space="preserve">   760110</v>
      </c>
      <c r="B13530" t="str">
        <f>T("   ALUMINIUM NON ALLIE")</f>
        <v xml:space="preserve">   ALUMINIUM NON ALLIE</v>
      </c>
      <c r="C13530" s="4">
        <v>800</v>
      </c>
      <c r="D13530" s="4">
        <v>716970</v>
      </c>
    </row>
    <row r="13531" spans="1:4" x14ac:dyDescent="0.25">
      <c r="A13531" t="str">
        <f>T("   760410")</f>
        <v xml:space="preserve">   760410</v>
      </c>
      <c r="B13531" t="str">
        <f>T("   EN ALUMINIUM NON ALLIE")</f>
        <v xml:space="preserve">   EN ALUMINIUM NON ALLIE</v>
      </c>
      <c r="C13531" s="4">
        <v>3562</v>
      </c>
      <c r="D13531" s="4">
        <v>566790</v>
      </c>
    </row>
    <row r="13532" spans="1:4" x14ac:dyDescent="0.25">
      <c r="A13532" t="str">
        <f>T("   760421")</f>
        <v xml:space="preserve">   760421</v>
      </c>
      <c r="B13532" t="str">
        <f>T("   PROFILES CREUX")</f>
        <v xml:space="preserve">   PROFILES CREUX</v>
      </c>
      <c r="C13532" s="4">
        <v>83040</v>
      </c>
      <c r="D13532" s="4">
        <v>68178608</v>
      </c>
    </row>
    <row r="13533" spans="1:4" x14ac:dyDescent="0.25">
      <c r="A13533" t="str">
        <f>T("   760429")</f>
        <v xml:space="preserve">   760429</v>
      </c>
      <c r="B13533" t="str">
        <f>T("   AUTRES")</f>
        <v xml:space="preserve">   AUTRES</v>
      </c>
      <c r="C13533" s="4">
        <v>1842776.1</v>
      </c>
      <c r="D13533" s="4">
        <v>1203354150</v>
      </c>
    </row>
    <row r="13534" spans="1:4" x14ac:dyDescent="0.25">
      <c r="A13534" t="str">
        <f>T("   760529")</f>
        <v xml:space="preserve">   760529</v>
      </c>
      <c r="B13534" t="str">
        <f>T("   AUTRES")</f>
        <v xml:space="preserve">   AUTRES</v>
      </c>
      <c r="C13534" s="4">
        <v>143</v>
      </c>
      <c r="D13534" s="4">
        <v>131192</v>
      </c>
    </row>
    <row r="13535" spans="1:4" x14ac:dyDescent="0.25">
      <c r="A13535" t="str">
        <f>T("   760611")</f>
        <v xml:space="preserve">   760611</v>
      </c>
      <c r="B13535" t="str">
        <f>T("   EN ALUMINIUM NON ALLIE")</f>
        <v xml:space="preserve">   EN ALUMINIUM NON ALLIE</v>
      </c>
      <c r="C13535" s="4">
        <v>1121546</v>
      </c>
      <c r="D13535" s="4">
        <v>483143459</v>
      </c>
    </row>
    <row r="13536" spans="1:4" x14ac:dyDescent="0.25">
      <c r="A13536" t="str">
        <f>T("   760691")</f>
        <v xml:space="preserve">   760691</v>
      </c>
      <c r="B13536" t="str">
        <f>T("   EN ALUMINIUM NON ALLIE")</f>
        <v xml:space="preserve">   EN ALUMINIUM NON ALLIE</v>
      </c>
      <c r="C13536" s="4">
        <v>29422</v>
      </c>
      <c r="D13536" s="4">
        <v>16399097</v>
      </c>
    </row>
    <row r="13537" spans="1:4" x14ac:dyDescent="0.25">
      <c r="A13537" t="str">
        <f>T("   760692")</f>
        <v xml:space="preserve">   760692</v>
      </c>
      <c r="B13537" t="str">
        <f>T("   EN ALLIAGES D'ALUMINIUM")</f>
        <v xml:space="preserve">   EN ALLIAGES D'ALUMINIUM</v>
      </c>
      <c r="C13537" s="4">
        <v>452040</v>
      </c>
      <c r="D13537" s="4">
        <v>167123809</v>
      </c>
    </row>
    <row r="13538" spans="1:4" x14ac:dyDescent="0.25">
      <c r="A13538" t="str">
        <f>T("   760711")</f>
        <v xml:space="preserve">   760711</v>
      </c>
      <c r="B13538" t="str">
        <f>T("   SIMPLEMENT LAMINEES")</f>
        <v xml:space="preserve">   SIMPLEMENT LAMINEES</v>
      </c>
      <c r="C13538" s="4">
        <v>240</v>
      </c>
      <c r="D13538" s="4">
        <v>716781</v>
      </c>
    </row>
    <row r="13539" spans="1:4" x14ac:dyDescent="0.25">
      <c r="A13539" t="str">
        <f>T("   760719")</f>
        <v xml:space="preserve">   760719</v>
      </c>
      <c r="B13539" t="str">
        <f>T("   AUTRES")</f>
        <v xml:space="preserve">   AUTRES</v>
      </c>
      <c r="C13539" s="4">
        <v>41207</v>
      </c>
      <c r="D13539" s="4">
        <v>95002415</v>
      </c>
    </row>
    <row r="13540" spans="1:4" x14ac:dyDescent="0.25">
      <c r="A13540" t="str">
        <f>T("   760810")</f>
        <v xml:space="preserve">   760810</v>
      </c>
      <c r="B13540" t="str">
        <f>T("   EN ALUMINIUM NON ALLIE")</f>
        <v xml:space="preserve">   EN ALUMINIUM NON ALLIE</v>
      </c>
      <c r="C13540" s="4">
        <v>48</v>
      </c>
      <c r="D13540" s="4">
        <v>54615</v>
      </c>
    </row>
    <row r="13541" spans="1:4" x14ac:dyDescent="0.25">
      <c r="A13541" t="str">
        <f>T("   760820")</f>
        <v xml:space="preserve">   760820</v>
      </c>
      <c r="B13541" t="str">
        <f>T("   EN ALLIAGES D'ALUMINIUM")</f>
        <v xml:space="preserve">   EN ALLIAGES D'ALUMINIUM</v>
      </c>
      <c r="C13541" s="4">
        <v>160</v>
      </c>
      <c r="D13541" s="4">
        <v>2399501</v>
      </c>
    </row>
    <row r="13542" spans="1:4" x14ac:dyDescent="0.25">
      <c r="A13542" t="str">
        <f>T("   760900")</f>
        <v xml:space="preserve">   760900</v>
      </c>
      <c r="B13542" t="str">
        <f>T("   ACCESSOIRES DE TUYAUTERIE (RACCORDS, COUDES, MANCHONS, PAR EXEMPLE), EN ALUMINIUM.")</f>
        <v xml:space="preserve">   ACCESSOIRES DE TUYAUTERIE (RACCORDS, COUDES, MANCHONS, PAR EXEMPLE), EN ALUMINIUM.</v>
      </c>
      <c r="C13542" s="4">
        <v>1474</v>
      </c>
      <c r="D13542" s="4">
        <v>3167602</v>
      </c>
    </row>
    <row r="13543" spans="1:4" x14ac:dyDescent="0.25">
      <c r="A13543" t="str">
        <f>T("   761010")</f>
        <v xml:space="preserve">   761010</v>
      </c>
      <c r="B13543" t="str">
        <f>T("   PORTES, FENETRES ET LEURS CADRES, CHAMBRANLES ET SEUILS")</f>
        <v xml:space="preserve">   PORTES, FENETRES ET LEURS CADRES, CHAMBRANLES ET SEUILS</v>
      </c>
      <c r="C13543" s="4">
        <v>76506.67</v>
      </c>
      <c r="D13543" s="4">
        <v>77781851</v>
      </c>
    </row>
    <row r="13544" spans="1:4" x14ac:dyDescent="0.25">
      <c r="A13544" t="str">
        <f>T("   761090")</f>
        <v xml:space="preserve">   761090</v>
      </c>
      <c r="B13544" t="str">
        <f>T("   AUTRES")</f>
        <v xml:space="preserve">   AUTRES</v>
      </c>
      <c r="C13544" s="4">
        <v>705594.99</v>
      </c>
      <c r="D13544" s="4">
        <v>353226516</v>
      </c>
    </row>
    <row r="13545" spans="1:4" x14ac:dyDescent="0.25">
      <c r="A13545" t="str">
        <f>T("   761100")</f>
        <v xml:space="preserve">   761100</v>
      </c>
      <c r="B13545" t="str">
        <f>T("   RESERVOIRS, FOUDRES, CUVES ET RECIPIENTS SIMILAIRES POUR TOUTES MATIERES (A L'EXCEPTION")</f>
        <v xml:space="preserve">   RESERVOIRS, FOUDRES, CUVES ET RECIPIENTS SIMILAIRES POUR TOUTES MATIERES (A L'EXCEPTION</v>
      </c>
      <c r="C13545" s="4">
        <v>3108</v>
      </c>
      <c r="D13545" s="4">
        <v>3776860</v>
      </c>
    </row>
    <row r="13546" spans="1:4" x14ac:dyDescent="0.25">
      <c r="A13546" t="str">
        <f>T("   761290")</f>
        <v xml:space="preserve">   761290</v>
      </c>
      <c r="B13546" t="str">
        <f>T("   AUTRES")</f>
        <v xml:space="preserve">   AUTRES</v>
      </c>
      <c r="C13546" s="4">
        <v>7159</v>
      </c>
      <c r="D13546" s="4">
        <v>7330345</v>
      </c>
    </row>
    <row r="13547" spans="1:4" x14ac:dyDescent="0.25">
      <c r="A13547" t="str">
        <f>T("   761300")</f>
        <v xml:space="preserve">   761300</v>
      </c>
      <c r="B13547" t="str">
        <f>T("   RECIPIENTS EN ALUMINIUM POUR GAZ COMPRIMES OU LIQUEFIES.")</f>
        <v xml:space="preserve">   RECIPIENTS EN ALUMINIUM POUR GAZ COMPRIMES OU LIQUEFIES.</v>
      </c>
      <c r="C13547" s="4">
        <v>4500</v>
      </c>
      <c r="D13547" s="4">
        <v>1282083</v>
      </c>
    </row>
    <row r="13548" spans="1:4" x14ac:dyDescent="0.25">
      <c r="A13548" t="str">
        <f>T("   761511")</f>
        <v xml:space="preserve">   761511</v>
      </c>
      <c r="B13548" t="str">
        <f>T("   EPONGES,TORCHONS,GANTS,SIMILAIRES POUR RECURAGE POLISSAGE ETC.EN ALUMINIUM")</f>
        <v xml:space="preserve">   EPONGES,TORCHONS,GANTS,SIMILAIRES POUR RECURAGE POLISSAGE ETC.EN ALUMINIUM</v>
      </c>
      <c r="C13548" s="4">
        <v>569</v>
      </c>
      <c r="D13548" s="4">
        <v>656979</v>
      </c>
    </row>
    <row r="13549" spans="1:4" x14ac:dyDescent="0.25">
      <c r="A13549" t="str">
        <f>T("   761519")</f>
        <v xml:space="preserve">   761519</v>
      </c>
      <c r="B13549" t="str">
        <f>T("   AUTRES ARTICLES DE MENAGES OU D'ECONOMIE DOMESTIQUE EN ALUMINIUM")</f>
        <v xml:space="preserve">   AUTRES ARTICLES DE MENAGES OU D'ECONOMIE DOMESTIQUE EN ALUMINIUM</v>
      </c>
      <c r="C13549" s="4">
        <v>1702176</v>
      </c>
      <c r="D13549" s="4">
        <v>511726201</v>
      </c>
    </row>
    <row r="13550" spans="1:4" x14ac:dyDescent="0.25">
      <c r="A13550" t="str">
        <f>T("   761520")</f>
        <v xml:space="preserve">   761520</v>
      </c>
      <c r="B13550" t="str">
        <f>T("   ARTICLES D'HYGIENE OU DE TOILETTE ET LEURS PARTIES")</f>
        <v xml:space="preserve">   ARTICLES D'HYGIENE OU DE TOILETTE ET LEURS PARTIES</v>
      </c>
      <c r="C13550" s="4">
        <v>3466</v>
      </c>
      <c r="D13550" s="4">
        <v>5731074</v>
      </c>
    </row>
    <row r="13551" spans="1:4" x14ac:dyDescent="0.25">
      <c r="A13551" t="str">
        <f>T("   761610")</f>
        <v xml:space="preserve">   761610</v>
      </c>
      <c r="B13551" t="str">
        <f>T("   POINTES, CLOUS, CRAMPONS APPOINTES, VIS, BOULONS, ECROUS, CROCHETS A PAS DE VIS, RIVE")</f>
        <v xml:space="preserve">   POINTES, CLOUS, CRAMPONS APPOINTES, VIS, BOULONS, ECROUS, CROCHETS A PAS DE VIS, RIVE</v>
      </c>
      <c r="C13551" s="4">
        <v>118595</v>
      </c>
      <c r="D13551" s="4">
        <v>45355640</v>
      </c>
    </row>
    <row r="13552" spans="1:4" x14ac:dyDescent="0.25">
      <c r="A13552" t="str">
        <f>T("   761691")</f>
        <v xml:space="preserve">   761691</v>
      </c>
      <c r="B13552" t="str">
        <f>T("   TOILES METALLIQUES, GRILLAGES ET TREILLIS, EN FILS D'ALUMINIUM")</f>
        <v xml:space="preserve">   TOILES METALLIQUES, GRILLAGES ET TREILLIS, EN FILS D'ALUMINIUM</v>
      </c>
      <c r="C13552" s="4">
        <v>9000</v>
      </c>
      <c r="D13552" s="4">
        <v>5244400</v>
      </c>
    </row>
    <row r="13553" spans="1:4" x14ac:dyDescent="0.25">
      <c r="A13553" t="str">
        <f>T("   761699")</f>
        <v xml:space="preserve">   761699</v>
      </c>
      <c r="B13553" t="str">
        <f>T("   AUTRES")</f>
        <v xml:space="preserve">   AUTRES</v>
      </c>
      <c r="C13553" s="4">
        <v>236588.79999999999</v>
      </c>
      <c r="D13553" s="4">
        <v>227021332</v>
      </c>
    </row>
    <row r="13554" spans="1:4" x14ac:dyDescent="0.25">
      <c r="A13554" t="str">
        <f>T("   780200")</f>
        <v xml:space="preserve">   780200</v>
      </c>
      <c r="B13554" t="str">
        <f>T("   DECHETS ET DEBRIS DE PLOMB.")</f>
        <v xml:space="preserve">   DECHETS ET DEBRIS DE PLOMB.</v>
      </c>
      <c r="C13554" s="4">
        <v>10</v>
      </c>
      <c r="D13554" s="4">
        <v>10000</v>
      </c>
    </row>
    <row r="13555" spans="1:4" x14ac:dyDescent="0.25">
      <c r="A13555" t="str">
        <f>T("   780600")</f>
        <v xml:space="preserve">   780600</v>
      </c>
      <c r="B13555" t="str">
        <f>T("   AUTRES OUVRAGES EN PLOMB.")</f>
        <v xml:space="preserve">   AUTRES OUVRAGES EN PLOMB.</v>
      </c>
      <c r="C13555" s="4">
        <v>2501</v>
      </c>
      <c r="D13555" s="4">
        <v>7093846</v>
      </c>
    </row>
    <row r="13556" spans="1:4" x14ac:dyDescent="0.25">
      <c r="A13556" t="str">
        <f>T("   790111")</f>
        <v xml:space="preserve">   790111</v>
      </c>
      <c r="B13556" t="str">
        <f>T("   CONTENANT EN POIDS 99,99 % OU PLUS DE ZINC")</f>
        <v xml:space="preserve">   CONTENANT EN POIDS 99,99 % OU PLUS DE ZINC</v>
      </c>
      <c r="C13556" s="4">
        <v>129</v>
      </c>
      <c r="D13556" s="4">
        <v>2098938</v>
      </c>
    </row>
    <row r="13557" spans="1:4" x14ac:dyDescent="0.25">
      <c r="A13557" t="str">
        <f>T("   790500")</f>
        <v xml:space="preserve">   790500</v>
      </c>
      <c r="B13557" t="str">
        <f>T("   TOLES, FEUILLES ET BANDES, EN ZINC.")</f>
        <v xml:space="preserve">   TOLES, FEUILLES ET BANDES, EN ZINC.</v>
      </c>
      <c r="C13557" s="4">
        <v>2</v>
      </c>
      <c r="D13557" s="4">
        <v>68876</v>
      </c>
    </row>
    <row r="13558" spans="1:4" x14ac:dyDescent="0.25">
      <c r="A13558" t="str">
        <f>T("   790700")</f>
        <v xml:space="preserve">   790700</v>
      </c>
      <c r="B13558" t="str">
        <f>T("   AUTRES OUVRAGES EN ZINC.")</f>
        <v xml:space="preserve">   AUTRES OUVRAGES EN ZINC.</v>
      </c>
      <c r="C13558" s="4">
        <v>206</v>
      </c>
      <c r="D13558" s="4">
        <v>1639854</v>
      </c>
    </row>
    <row r="13559" spans="1:4" x14ac:dyDescent="0.25">
      <c r="A13559" t="str">
        <f>T("   810199")</f>
        <v xml:space="preserve">   810199</v>
      </c>
      <c r="B13559" t="str">
        <f>T("   AUTRES")</f>
        <v xml:space="preserve">   AUTRES</v>
      </c>
      <c r="C13559" s="4">
        <v>3562</v>
      </c>
      <c r="D13559" s="4">
        <v>13767385</v>
      </c>
    </row>
    <row r="13560" spans="1:4" x14ac:dyDescent="0.25">
      <c r="A13560" t="str">
        <f>T("   810299")</f>
        <v xml:space="preserve">   810299</v>
      </c>
      <c r="B13560" t="str">
        <f>T("   AUTRES")</f>
        <v xml:space="preserve">   AUTRES</v>
      </c>
      <c r="C13560" s="4">
        <v>1000</v>
      </c>
      <c r="D13560" s="4">
        <v>550000</v>
      </c>
    </row>
    <row r="13561" spans="1:4" x14ac:dyDescent="0.25">
      <c r="A13561" t="str">
        <f>T("   810890")</f>
        <v xml:space="preserve">   810890</v>
      </c>
      <c r="B13561" t="str">
        <f>T("   AUTRES")</f>
        <v xml:space="preserve">   AUTRES</v>
      </c>
      <c r="C13561" s="4">
        <v>19</v>
      </c>
      <c r="D13561" s="4">
        <v>485876</v>
      </c>
    </row>
    <row r="13562" spans="1:4" x14ac:dyDescent="0.25">
      <c r="A13562" t="str">
        <f>T("   810990")</f>
        <v xml:space="preserve">   810990</v>
      </c>
      <c r="B13562" t="str">
        <f>T("   AUTRES")</f>
        <v xml:space="preserve">   AUTRES</v>
      </c>
      <c r="C13562" s="4">
        <v>5</v>
      </c>
      <c r="D13562" s="4">
        <v>1166842</v>
      </c>
    </row>
    <row r="13563" spans="1:4" x14ac:dyDescent="0.25">
      <c r="A13563" t="str">
        <f>T("   811100")</f>
        <v xml:space="preserve">   811100</v>
      </c>
      <c r="B13563" t="str">
        <f>T("   MANGANESE ET OUVRAGES EN MANGANESE, Y COMPRIS LES DECHETS ET DEBRIS.")</f>
        <v xml:space="preserve">   MANGANESE ET OUVRAGES EN MANGANESE, Y COMPRIS LES DECHETS ET DEBRIS.</v>
      </c>
      <c r="C13563" s="4">
        <v>1</v>
      </c>
      <c r="D13563" s="4">
        <v>22361</v>
      </c>
    </row>
    <row r="13564" spans="1:4" x14ac:dyDescent="0.25">
      <c r="A13564" t="str">
        <f>T("   811229")</f>
        <v xml:space="preserve">   811229</v>
      </c>
      <c r="B13564" t="str">
        <f>T("   AUTRES")</f>
        <v xml:space="preserve">   AUTRES</v>
      </c>
      <c r="C13564" s="4">
        <v>610</v>
      </c>
      <c r="D13564" s="4">
        <v>2489480</v>
      </c>
    </row>
    <row r="13565" spans="1:4" x14ac:dyDescent="0.25">
      <c r="A13565" t="str">
        <f>T("   820110")</f>
        <v xml:space="preserve">   820110</v>
      </c>
      <c r="B13565" t="str">
        <f>T("   Beches et pelles")</f>
        <v xml:space="preserve">   Beches et pelles</v>
      </c>
      <c r="C13565" s="4">
        <v>206473</v>
      </c>
      <c r="D13565" s="4">
        <v>39356179</v>
      </c>
    </row>
    <row r="13566" spans="1:4" x14ac:dyDescent="0.25">
      <c r="A13566" t="str">
        <f>T("   820120")</f>
        <v xml:space="preserve">   820120</v>
      </c>
      <c r="B13566" t="str">
        <f>T("   Fourches")</f>
        <v xml:space="preserve">   Fourches</v>
      </c>
      <c r="C13566" s="4">
        <v>3750</v>
      </c>
      <c r="D13566" s="4">
        <v>1000000</v>
      </c>
    </row>
    <row r="13567" spans="1:4" x14ac:dyDescent="0.25">
      <c r="A13567" t="str">
        <f>T("   820130")</f>
        <v xml:space="preserve">   820130</v>
      </c>
      <c r="B13567" t="str">
        <f>T("   Pioches, pics, houes, binettes, rateaux et racloirs")</f>
        <v xml:space="preserve">   Pioches, pics, houes, binettes, rateaux et racloirs</v>
      </c>
      <c r="C13567" s="4">
        <v>38058</v>
      </c>
      <c r="D13567" s="4">
        <v>15345633</v>
      </c>
    </row>
    <row r="13568" spans="1:4" x14ac:dyDescent="0.25">
      <c r="A13568" t="str">
        <f>T("   820140")</f>
        <v xml:space="preserve">   820140</v>
      </c>
      <c r="B13568" t="str">
        <f>T("   HACHES, SERPES ET OUTILS SIMILAIRES A TAILLANTS")</f>
        <v xml:space="preserve">   HACHES, SERPES ET OUTILS SIMILAIRES A TAILLANTS</v>
      </c>
      <c r="C13568" s="4">
        <v>49419</v>
      </c>
      <c r="D13568" s="4">
        <v>67533972</v>
      </c>
    </row>
    <row r="13569" spans="1:4" x14ac:dyDescent="0.25">
      <c r="A13569" t="str">
        <f>T("   820190")</f>
        <v xml:space="preserve">   820190</v>
      </c>
      <c r="B13569" t="str">
        <f>T("   AUTRES OUTILS AGRICOLES, HORTICOLES OU FORESTIERS, A MAIN")</f>
        <v xml:space="preserve">   AUTRES OUTILS AGRICOLES, HORTICOLES OU FORESTIERS, A MAIN</v>
      </c>
      <c r="C13569" s="4">
        <v>89188</v>
      </c>
      <c r="D13569" s="4">
        <v>114769750</v>
      </c>
    </row>
    <row r="13570" spans="1:4" x14ac:dyDescent="0.25">
      <c r="A13570" t="str">
        <f>T("   820210")</f>
        <v xml:space="preserve">   820210</v>
      </c>
      <c r="B13570" t="str">
        <f>T("   Scies a main")</f>
        <v xml:space="preserve">   Scies a main</v>
      </c>
      <c r="C13570" s="4">
        <v>134</v>
      </c>
      <c r="D13570" s="4">
        <v>567678</v>
      </c>
    </row>
    <row r="13571" spans="1:4" x14ac:dyDescent="0.25">
      <c r="A13571" t="str">
        <f>T("   820220")</f>
        <v xml:space="preserve">   820220</v>
      </c>
      <c r="B13571" t="str">
        <f>T("   LAMES DE SCIES A RUBAN")</f>
        <v xml:space="preserve">   LAMES DE SCIES A RUBAN</v>
      </c>
      <c r="C13571" s="4">
        <v>6973.82</v>
      </c>
      <c r="D13571" s="4">
        <v>974604</v>
      </c>
    </row>
    <row r="13572" spans="1:4" x14ac:dyDescent="0.25">
      <c r="A13572" t="str">
        <f>T("   820239")</f>
        <v xml:space="preserve">   820239</v>
      </c>
      <c r="B13572" t="str">
        <f>T("   AUTRES, Y COMPRIS LES PARTIES")</f>
        <v xml:space="preserve">   AUTRES, Y COMPRIS LES PARTIES</v>
      </c>
      <c r="C13572" s="4">
        <v>13839</v>
      </c>
      <c r="D13572" s="4">
        <v>7041963</v>
      </c>
    </row>
    <row r="13573" spans="1:4" x14ac:dyDescent="0.25">
      <c r="A13573" t="str">
        <f>T("   820240")</f>
        <v xml:space="preserve">   820240</v>
      </c>
      <c r="B13573" t="str">
        <f>T("   CHAINES DE SCIES, DITES COUPANTES")</f>
        <v xml:space="preserve">   CHAINES DE SCIES, DITES COUPANTES</v>
      </c>
      <c r="C13573" s="4">
        <v>15</v>
      </c>
      <c r="D13573" s="4">
        <v>458044</v>
      </c>
    </row>
    <row r="13574" spans="1:4" x14ac:dyDescent="0.25">
      <c r="A13574" t="str">
        <f>T("   820291")</f>
        <v xml:space="preserve">   820291</v>
      </c>
      <c r="B13574" t="str">
        <f>T("   LAMES DE SCIES DROITES, POUR LE TRAVAIL DES METAUX")</f>
        <v xml:space="preserve">   LAMES DE SCIES DROITES, POUR LE TRAVAIL DES METAUX</v>
      </c>
      <c r="C13574" s="4">
        <v>171</v>
      </c>
      <c r="D13574" s="4">
        <v>584047</v>
      </c>
    </row>
    <row r="13575" spans="1:4" x14ac:dyDescent="0.25">
      <c r="A13575" t="str">
        <f>T("   820299")</f>
        <v xml:space="preserve">   820299</v>
      </c>
      <c r="B13575" t="str">
        <f>T("   AUTRES")</f>
        <v xml:space="preserve">   AUTRES</v>
      </c>
      <c r="C13575" s="4">
        <v>50728.5</v>
      </c>
      <c r="D13575" s="4">
        <v>18548362</v>
      </c>
    </row>
    <row r="13576" spans="1:4" x14ac:dyDescent="0.25">
      <c r="A13576" t="str">
        <f>T("   820310")</f>
        <v xml:space="preserve">   820310</v>
      </c>
      <c r="B13576" t="str">
        <f>T("   LIMES, RAPES ET OUTILS SIMILAIRES")</f>
        <v xml:space="preserve">   LIMES, RAPES ET OUTILS SIMILAIRES</v>
      </c>
      <c r="C13576" s="4">
        <v>16103</v>
      </c>
      <c r="D13576" s="4">
        <v>5559828</v>
      </c>
    </row>
    <row r="13577" spans="1:4" x14ac:dyDescent="0.25">
      <c r="A13577" t="str">
        <f>T("   820320")</f>
        <v xml:space="preserve">   820320</v>
      </c>
      <c r="B13577" t="str">
        <f>T("   PINCES (MEME COUPANTES), TENAILLES, BRUCELLES ET OUTILS SIMILAIRES")</f>
        <v xml:space="preserve">   PINCES (MEME COUPANTES), TENAILLES, BRUCELLES ET OUTILS SIMILAIRES</v>
      </c>
      <c r="C13577" s="4">
        <v>5093</v>
      </c>
      <c r="D13577" s="4">
        <v>21252333</v>
      </c>
    </row>
    <row r="13578" spans="1:4" x14ac:dyDescent="0.25">
      <c r="A13578" t="str">
        <f>T("   820330")</f>
        <v xml:space="preserve">   820330</v>
      </c>
      <c r="B13578" t="str">
        <f>T("   CISAILLES A METAUX ET OUTILS SIMILAIRES")</f>
        <v xml:space="preserve">   CISAILLES A METAUX ET OUTILS SIMILAIRES</v>
      </c>
      <c r="C13578" s="4">
        <v>250</v>
      </c>
      <c r="D13578" s="4">
        <v>6894907</v>
      </c>
    </row>
    <row r="13579" spans="1:4" x14ac:dyDescent="0.25">
      <c r="A13579" t="str">
        <f>T("   820340")</f>
        <v xml:space="preserve">   820340</v>
      </c>
      <c r="B13579" t="str">
        <f>T("   COUPETUBES, COUPEBOULONS, EMPORTEPIECE ET OUTILS SIMILAIRES")</f>
        <v xml:space="preserve">   COUPETUBES, COUPEBOULONS, EMPORTEPIECE ET OUTILS SIMILAIRES</v>
      </c>
      <c r="C13579" s="4">
        <v>1901</v>
      </c>
      <c r="D13579" s="4">
        <v>6240771</v>
      </c>
    </row>
    <row r="13580" spans="1:4" x14ac:dyDescent="0.25">
      <c r="A13580" t="str">
        <f>T("   820411")</f>
        <v xml:space="preserve">   820411</v>
      </c>
      <c r="B13580" t="str">
        <f>T("   A OUVERTURE FIXE")</f>
        <v xml:space="preserve">   A OUVERTURE FIXE</v>
      </c>
      <c r="C13580" s="4">
        <v>41028</v>
      </c>
      <c r="D13580" s="4">
        <v>41097959</v>
      </c>
    </row>
    <row r="13581" spans="1:4" x14ac:dyDescent="0.25">
      <c r="A13581" t="str">
        <f>T("   820412")</f>
        <v xml:space="preserve">   820412</v>
      </c>
      <c r="B13581" t="str">
        <f>T("   A OUVERTURE VARIABLE")</f>
        <v xml:space="preserve">   A OUVERTURE VARIABLE</v>
      </c>
      <c r="C13581" s="4">
        <v>603</v>
      </c>
      <c r="D13581" s="4">
        <v>12940055</v>
      </c>
    </row>
    <row r="13582" spans="1:4" x14ac:dyDescent="0.25">
      <c r="A13582" t="str">
        <f>T("   820420")</f>
        <v xml:space="preserve">   820420</v>
      </c>
      <c r="B13582" t="str">
        <f>T("   DOUILLES DE SERRAGE INTERCHANGEABLES, MEME AVEC MANCHES")</f>
        <v xml:space="preserve">   DOUILLES DE SERRAGE INTERCHANGEABLES, MEME AVEC MANCHES</v>
      </c>
      <c r="C13582" s="4">
        <v>723.82</v>
      </c>
      <c r="D13582" s="4">
        <v>6793242</v>
      </c>
    </row>
    <row r="13583" spans="1:4" x14ac:dyDescent="0.25">
      <c r="A13583" t="str">
        <f>T("   820510")</f>
        <v xml:space="preserve">   820510</v>
      </c>
      <c r="B13583" t="str">
        <f>T("   OUTILS DE PERCAGE, DE FILETAGE OU DE TARAUDAGE")</f>
        <v xml:space="preserve">   OUTILS DE PERCAGE, DE FILETAGE OU DE TARAUDAGE</v>
      </c>
      <c r="C13583" s="4">
        <v>71.400000000000006</v>
      </c>
      <c r="D13583" s="4">
        <v>896038</v>
      </c>
    </row>
    <row r="13584" spans="1:4" x14ac:dyDescent="0.25">
      <c r="A13584" t="str">
        <f>T("   820520")</f>
        <v xml:space="preserve">   820520</v>
      </c>
      <c r="B13584" t="str">
        <f>T("   MARTEAUX ET MASSES")</f>
        <v xml:space="preserve">   MARTEAUX ET MASSES</v>
      </c>
      <c r="C13584" s="4">
        <v>22312</v>
      </c>
      <c r="D13584" s="4">
        <v>19154410</v>
      </c>
    </row>
    <row r="13585" spans="1:4" x14ac:dyDescent="0.25">
      <c r="A13585" t="str">
        <f>T("   820530")</f>
        <v xml:space="preserve">   820530</v>
      </c>
      <c r="B13585" t="str">
        <f>T("   RABOTS, CISEAUX, GOUGES ET OUTILS TRANCHANTS SIMILAIRES POUR LE TRAVAIL DU BOIS")</f>
        <v xml:space="preserve">   RABOTS, CISEAUX, GOUGES ET OUTILS TRANCHANTS SIMILAIRES POUR LE TRAVAIL DU BOIS</v>
      </c>
      <c r="C13585" s="4">
        <v>5998</v>
      </c>
      <c r="D13585" s="4">
        <v>1752128</v>
      </c>
    </row>
    <row r="13586" spans="1:4" x14ac:dyDescent="0.25">
      <c r="A13586" t="str">
        <f>T("   820540")</f>
        <v xml:space="preserve">   820540</v>
      </c>
      <c r="B13586" t="str">
        <f>T("   TOURNEVIS")</f>
        <v xml:space="preserve">   TOURNEVIS</v>
      </c>
      <c r="C13586" s="4">
        <v>767.18</v>
      </c>
      <c r="D13586" s="4">
        <v>8363921</v>
      </c>
    </row>
    <row r="13587" spans="1:4" x14ac:dyDescent="0.25">
      <c r="A13587" t="str">
        <f>T("   820551")</f>
        <v xml:space="preserve">   820551</v>
      </c>
      <c r="B13587" t="str">
        <f>T("   D'ECONOMIE DOMESTIQUE")</f>
        <v xml:space="preserve">   D'ECONOMIE DOMESTIQUE</v>
      </c>
      <c r="C13587" s="4">
        <v>924</v>
      </c>
      <c r="D13587" s="4">
        <v>8193008</v>
      </c>
    </row>
    <row r="13588" spans="1:4" x14ac:dyDescent="0.25">
      <c r="A13588" t="str">
        <f>T("   820559")</f>
        <v xml:space="preserve">   820559</v>
      </c>
      <c r="B13588" t="str">
        <f>T("   AUTRES")</f>
        <v xml:space="preserve">   AUTRES</v>
      </c>
      <c r="C13588" s="4">
        <v>157579.29</v>
      </c>
      <c r="D13588" s="4">
        <v>335553574</v>
      </c>
    </row>
    <row r="13589" spans="1:4" x14ac:dyDescent="0.25">
      <c r="A13589" t="str">
        <f>T("   820560")</f>
        <v xml:space="preserve">   820560</v>
      </c>
      <c r="B13589" t="str">
        <f>T("   LAMPES A SOUDER ET SIMILAIRES")</f>
        <v xml:space="preserve">   LAMPES A SOUDER ET SIMILAIRES</v>
      </c>
      <c r="C13589" s="4">
        <v>1579</v>
      </c>
      <c r="D13589" s="4">
        <v>280095</v>
      </c>
    </row>
    <row r="13590" spans="1:4" x14ac:dyDescent="0.25">
      <c r="A13590" t="str">
        <f>T("   820570")</f>
        <v xml:space="preserve">   820570</v>
      </c>
      <c r="B13590" t="str">
        <f>T("   ETAUX, SERREJOINTS ET SIMILAIRES")</f>
        <v xml:space="preserve">   ETAUX, SERREJOINTS ET SIMILAIRES</v>
      </c>
      <c r="C13590" s="4">
        <v>619.54999999999995</v>
      </c>
      <c r="D13590" s="4">
        <v>19582414</v>
      </c>
    </row>
    <row r="13591" spans="1:4" x14ac:dyDescent="0.25">
      <c r="A13591" t="str">
        <f>T("   820580")</f>
        <v xml:space="preserve">   820580</v>
      </c>
      <c r="B13591" t="str">
        <f>T("   ENCLUMES, FORGES PORTATIVES, MEULES AVEC BATIS, A MAIN OU A PEDALE")</f>
        <v xml:space="preserve">   ENCLUMES, FORGES PORTATIVES, MEULES AVEC BATIS, A MAIN OU A PEDALE</v>
      </c>
      <c r="C13591" s="4">
        <v>23122</v>
      </c>
      <c r="D13591" s="4">
        <v>40174640</v>
      </c>
    </row>
    <row r="13592" spans="1:4" x14ac:dyDescent="0.25">
      <c r="A13592" t="str">
        <f>T("   820590")</f>
        <v xml:space="preserve">   820590</v>
      </c>
      <c r="B13592" t="str">
        <f>T("   AUTRES, Y COMPRIS LES ASSORTIMENTS D'ARTICLES D'AU MOINS DEUX DES SOUSPOSITIONS DE L")</f>
        <v xml:space="preserve">   AUTRES, Y COMPRIS LES ASSORTIMENTS D'ARTICLES D'AU MOINS DEUX DES SOUSPOSITIONS DE L</v>
      </c>
      <c r="C13592" s="4">
        <v>7032.05</v>
      </c>
      <c r="D13592" s="4">
        <v>28988168</v>
      </c>
    </row>
    <row r="13593" spans="1:4" x14ac:dyDescent="0.25">
      <c r="A13593" t="str">
        <f>T("   820600")</f>
        <v xml:space="preserve">   820600</v>
      </c>
      <c r="B13593" t="str">
        <f>T("   OUTILS D'AU MOINS DEUX DES N°S 82.02 A 82.05, CONDITIONNES EN ASSORTIMENTS POUR LA VENT")</f>
        <v xml:space="preserve">   OUTILS D'AU MOINS DEUX DES N°S 82.02 A 82.05, CONDITIONNES EN ASSORTIMENTS POUR LA VENT</v>
      </c>
      <c r="C13593" s="4">
        <v>2397.52</v>
      </c>
      <c r="D13593" s="4">
        <v>36825817</v>
      </c>
    </row>
    <row r="13594" spans="1:4" x14ac:dyDescent="0.25">
      <c r="A13594" t="str">
        <f>T("   820713")</f>
        <v xml:space="preserve">   820713</v>
      </c>
      <c r="B13594" t="str">
        <f>T("   AVEC PARTIE TRAVAILLANTE EN CERMETS")</f>
        <v xml:space="preserve">   AVEC PARTIE TRAVAILLANTE EN CERMETS</v>
      </c>
      <c r="C13594" s="4">
        <v>463</v>
      </c>
      <c r="D13594" s="4">
        <v>2356615</v>
      </c>
    </row>
    <row r="13595" spans="1:4" x14ac:dyDescent="0.25">
      <c r="A13595" t="str">
        <f>T("   820719")</f>
        <v xml:space="preserve">   820719</v>
      </c>
      <c r="B13595" t="str">
        <f>T("   AUTRES, Y COMPRIS LES PARTIES")</f>
        <v xml:space="preserve">   AUTRES, Y COMPRIS LES PARTIES</v>
      </c>
      <c r="C13595" s="4">
        <v>12880</v>
      </c>
      <c r="D13595" s="4">
        <v>534107872</v>
      </c>
    </row>
    <row r="13596" spans="1:4" x14ac:dyDescent="0.25">
      <c r="A13596" t="str">
        <f>T("   820720")</f>
        <v xml:space="preserve">   820720</v>
      </c>
      <c r="B13596" t="str">
        <f>T("   FILIERES POUR L'ETIRAGE OU LE FILAGE (EXTRUSION) DES METAUX")</f>
        <v xml:space="preserve">   FILIERES POUR L'ETIRAGE OU LE FILAGE (EXTRUSION) DES METAUX</v>
      </c>
      <c r="C13596" s="4">
        <v>2127</v>
      </c>
      <c r="D13596" s="4">
        <v>13561902</v>
      </c>
    </row>
    <row r="13597" spans="1:4" x14ac:dyDescent="0.25">
      <c r="A13597" t="str">
        <f>T("   820730")</f>
        <v xml:space="preserve">   820730</v>
      </c>
      <c r="B13597" t="str">
        <f>T("   OUTILS A EMBOUTIR, A ESTAMPER OU A POINCONNER")</f>
        <v xml:space="preserve">   OUTILS A EMBOUTIR, A ESTAMPER OU A POINCONNER</v>
      </c>
      <c r="C13597" s="4">
        <v>1</v>
      </c>
      <c r="D13597" s="4">
        <v>545496</v>
      </c>
    </row>
    <row r="13598" spans="1:4" x14ac:dyDescent="0.25">
      <c r="A13598" t="str">
        <f>T("   820740")</f>
        <v xml:space="preserve">   820740</v>
      </c>
      <c r="B13598" t="str">
        <f>T("   OUTILS A TARAUDER OU A FILETER")</f>
        <v xml:space="preserve">   OUTILS A TARAUDER OU A FILETER</v>
      </c>
      <c r="C13598" s="4">
        <v>22</v>
      </c>
      <c r="D13598" s="4">
        <v>1046489</v>
      </c>
    </row>
    <row r="13599" spans="1:4" x14ac:dyDescent="0.25">
      <c r="A13599" t="str">
        <f>T("   820750")</f>
        <v xml:space="preserve">   820750</v>
      </c>
      <c r="B13599" t="str">
        <f>T("   OUTILS A PERCER")</f>
        <v xml:space="preserve">   OUTILS A PERCER</v>
      </c>
      <c r="C13599" s="4">
        <v>37279</v>
      </c>
      <c r="D13599" s="4">
        <v>358376095</v>
      </c>
    </row>
    <row r="13600" spans="1:4" x14ac:dyDescent="0.25">
      <c r="A13600" t="str">
        <f>T("   820760")</f>
        <v xml:space="preserve">   820760</v>
      </c>
      <c r="B13600" t="str">
        <f>T("   OUTILS A ALESER OU A BROCHER")</f>
        <v xml:space="preserve">   OUTILS A ALESER OU A BROCHER</v>
      </c>
      <c r="C13600" s="4">
        <v>322</v>
      </c>
      <c r="D13600" s="4">
        <v>13611782</v>
      </c>
    </row>
    <row r="13601" spans="1:4" x14ac:dyDescent="0.25">
      <c r="A13601" t="str">
        <f>T("   820770")</f>
        <v xml:space="preserve">   820770</v>
      </c>
      <c r="B13601" t="str">
        <f>T("   OUTILS A FRAISER")</f>
        <v xml:space="preserve">   OUTILS A FRAISER</v>
      </c>
      <c r="C13601" s="4">
        <v>45</v>
      </c>
      <c r="D13601" s="4">
        <v>2159694</v>
      </c>
    </row>
    <row r="13602" spans="1:4" x14ac:dyDescent="0.25">
      <c r="A13602" t="str">
        <f>T("   820780")</f>
        <v xml:space="preserve">   820780</v>
      </c>
      <c r="B13602" t="str">
        <f>T("   OUTILS A TOURNER")</f>
        <v xml:space="preserve">   OUTILS A TOURNER</v>
      </c>
      <c r="C13602" s="4">
        <v>7</v>
      </c>
      <c r="D13602" s="4">
        <v>179503</v>
      </c>
    </row>
    <row r="13603" spans="1:4" x14ac:dyDescent="0.25">
      <c r="A13603" t="str">
        <f>T("   820790")</f>
        <v xml:space="preserve">   820790</v>
      </c>
      <c r="B13603" t="str">
        <f>T("   AUTRES OUTILS INTERCHANGEABLES")</f>
        <v xml:space="preserve">   AUTRES OUTILS INTERCHANGEABLES</v>
      </c>
      <c r="C13603" s="4">
        <v>17170.04</v>
      </c>
      <c r="D13603" s="4">
        <v>94073751</v>
      </c>
    </row>
    <row r="13604" spans="1:4" x14ac:dyDescent="0.25">
      <c r="A13604" t="str">
        <f>T("   820810")</f>
        <v xml:space="preserve">   820810</v>
      </c>
      <c r="B13604" t="str">
        <f>T("   POUR LE TRAVAIL DES METAUX")</f>
        <v xml:space="preserve">   POUR LE TRAVAIL DES METAUX</v>
      </c>
      <c r="C13604" s="4">
        <v>44</v>
      </c>
      <c r="D13604" s="4">
        <v>3541528</v>
      </c>
    </row>
    <row r="13605" spans="1:4" x14ac:dyDescent="0.25">
      <c r="A13605" t="str">
        <f>T("   820830")</f>
        <v xml:space="preserve">   820830</v>
      </c>
      <c r="B13605" t="str">
        <f>T("   POUR APPAREILS DE CUISINE OU POUR MACHINES POUR L'INDUSTRIE ALIMENTAIRE")</f>
        <v xml:space="preserve">   POUR APPAREILS DE CUISINE OU POUR MACHINES POUR L'INDUSTRIE ALIMENTAIRE</v>
      </c>
      <c r="C13605" s="4">
        <v>4</v>
      </c>
      <c r="D13605" s="4">
        <v>86009</v>
      </c>
    </row>
    <row r="13606" spans="1:4" x14ac:dyDescent="0.25">
      <c r="A13606" t="str">
        <f>T("   820840")</f>
        <v xml:space="preserve">   820840</v>
      </c>
      <c r="B13606" t="str">
        <f>T("   POUR MACHINES AGRICOLES, HORTICOLES OU FORESTIERES")</f>
        <v xml:space="preserve">   POUR MACHINES AGRICOLES, HORTICOLES OU FORESTIERES</v>
      </c>
      <c r="C13606" s="4">
        <v>6.63</v>
      </c>
      <c r="D13606" s="4">
        <v>24205</v>
      </c>
    </row>
    <row r="13607" spans="1:4" x14ac:dyDescent="0.25">
      <c r="A13607" t="str">
        <f>T("   820890")</f>
        <v xml:space="preserve">   820890</v>
      </c>
      <c r="B13607" t="str">
        <f>T("   AUTRES")</f>
        <v xml:space="preserve">   AUTRES</v>
      </c>
      <c r="C13607" s="4">
        <v>121.6</v>
      </c>
      <c r="D13607" s="4">
        <v>1811454</v>
      </c>
    </row>
    <row r="13608" spans="1:4" x14ac:dyDescent="0.25">
      <c r="A13608" t="str">
        <f>T("   820900")</f>
        <v xml:space="preserve">   820900</v>
      </c>
      <c r="B13608" t="str">
        <f>T("   PLAQUETTES, BAGUETTES, POINTES ET OBJETS SIMILAIRES POUR OUTILS, NON MONTES, CONSTITUES")</f>
        <v xml:space="preserve">   PLAQUETTES, BAGUETTES, POINTES ET OBJETS SIMILAIRES POUR OUTILS, NON MONTES, CONSTITUES</v>
      </c>
      <c r="C13608" s="4">
        <v>8105</v>
      </c>
      <c r="D13608" s="4">
        <v>3963000</v>
      </c>
    </row>
    <row r="13609" spans="1:4" x14ac:dyDescent="0.25">
      <c r="A13609" t="str">
        <f>T("   821000")</f>
        <v xml:space="preserve">   821000</v>
      </c>
      <c r="B13609" t="str">
        <f>T("   APPAREILS MECANIQUES ACTIONNES A LA MAIN, D'UN POIDS DE 10 KG OU MOINS, UTILISES POUR P")</f>
        <v xml:space="preserve">   APPAREILS MECANIQUES ACTIONNES A LA MAIN, D'UN POIDS DE 10 KG OU MOINS, UTILISES POUR P</v>
      </c>
      <c r="C13609" s="4">
        <v>393</v>
      </c>
      <c r="D13609" s="4">
        <v>1887854</v>
      </c>
    </row>
    <row r="13610" spans="1:4" x14ac:dyDescent="0.25">
      <c r="A13610" t="str">
        <f>T("   821191")</f>
        <v xml:space="preserve">   821191</v>
      </c>
      <c r="B13610" t="str">
        <f>T("   COUTEAUX DE TABLE A LAME FIXE")</f>
        <v xml:space="preserve">   COUTEAUX DE TABLE A LAME FIXE</v>
      </c>
      <c r="C13610" s="4">
        <v>11000</v>
      </c>
      <c r="D13610" s="4">
        <v>3932480</v>
      </c>
    </row>
    <row r="13611" spans="1:4" x14ac:dyDescent="0.25">
      <c r="A13611" t="str">
        <f>T("   821192")</f>
        <v xml:space="preserve">   821192</v>
      </c>
      <c r="B13611" t="str">
        <f>T("   AUTRES COUTEAUX A LAME FIXE")</f>
        <v xml:space="preserve">   AUTRES COUTEAUX A LAME FIXE</v>
      </c>
      <c r="C13611" s="4">
        <v>18084</v>
      </c>
      <c r="D13611" s="4">
        <v>10469122</v>
      </c>
    </row>
    <row r="13612" spans="1:4" x14ac:dyDescent="0.25">
      <c r="A13612" t="str">
        <f>T("   821194")</f>
        <v xml:space="preserve">   821194</v>
      </c>
      <c r="B13612" t="str">
        <f>T("   LAMES")</f>
        <v xml:space="preserve">   LAMES</v>
      </c>
      <c r="C13612" s="4">
        <v>34</v>
      </c>
      <c r="D13612" s="4">
        <v>32437</v>
      </c>
    </row>
    <row r="13613" spans="1:4" x14ac:dyDescent="0.25">
      <c r="A13613" t="str">
        <f>T("   821210")</f>
        <v xml:space="preserve">   821210</v>
      </c>
      <c r="B13613" t="str">
        <f>T("   RASOIRS")</f>
        <v xml:space="preserve">   RASOIRS</v>
      </c>
      <c r="C13613" s="4">
        <v>55475</v>
      </c>
      <c r="D13613" s="4">
        <v>18574392</v>
      </c>
    </row>
    <row r="13614" spans="1:4" x14ac:dyDescent="0.25">
      <c r="A13614" t="str">
        <f>T("   821220")</f>
        <v xml:space="preserve">   821220</v>
      </c>
      <c r="B13614" t="str">
        <f>T("   LAMES DE RASOIRS DE SURETE, Y COMPRIS LES EBAUCHES EN BANDES")</f>
        <v xml:space="preserve">   LAMES DE RASOIRS DE SURETE, Y COMPRIS LES EBAUCHES EN BANDES</v>
      </c>
      <c r="C13614" s="4">
        <v>15665</v>
      </c>
      <c r="D13614" s="4">
        <v>5875000</v>
      </c>
    </row>
    <row r="13615" spans="1:4" x14ac:dyDescent="0.25">
      <c r="A13615" t="str">
        <f>T("   821300")</f>
        <v xml:space="preserve">   821300</v>
      </c>
      <c r="B13615" t="str">
        <f>T("   CISEAUX A DOUBLES BRANCHES ET LEURS LAMES.")</f>
        <v xml:space="preserve">   CISEAUX A DOUBLES BRANCHES ET LEURS LAMES.</v>
      </c>
      <c r="C13615" s="4">
        <v>1844</v>
      </c>
      <c r="D13615" s="4">
        <v>1852227</v>
      </c>
    </row>
    <row r="13616" spans="1:4" x14ac:dyDescent="0.25">
      <c r="A13616" t="str">
        <f>T("   821410")</f>
        <v xml:space="preserve">   821410</v>
      </c>
      <c r="B13616" t="str">
        <f>T("   COUPEPAPIER, OUVRELETTRES, GRATTOIRS, TAILLECRAYONS ET LEURS LAMES")</f>
        <v xml:space="preserve">   COUPEPAPIER, OUVRELETTRES, GRATTOIRS, TAILLECRAYONS ET LEURS LAMES</v>
      </c>
      <c r="C13616" s="4">
        <v>442</v>
      </c>
      <c r="D13616" s="4">
        <v>560915</v>
      </c>
    </row>
    <row r="13617" spans="1:4" x14ac:dyDescent="0.25">
      <c r="A13617" t="str">
        <f>T("   821420")</f>
        <v xml:space="preserve">   821420</v>
      </c>
      <c r="B13617" t="str">
        <f>T("   OUTILS ET ASSORTIMENTS D'OUTILS DE MANUCURES OU DE PEDICURES (Y COMPRIS LES LIMES A O")</f>
        <v xml:space="preserve">   OUTILS ET ASSORTIMENTS D'OUTILS DE MANUCURES OU DE PEDICURES (Y COMPRIS LES LIMES A O</v>
      </c>
      <c r="C13617" s="4">
        <v>194.2</v>
      </c>
      <c r="D13617" s="4">
        <v>5201988</v>
      </c>
    </row>
    <row r="13618" spans="1:4" x14ac:dyDescent="0.25">
      <c r="A13618" t="str">
        <f>T("   821490")</f>
        <v xml:space="preserve">   821490</v>
      </c>
      <c r="B13618" t="str">
        <f>T("   AUTRES")</f>
        <v xml:space="preserve">   AUTRES</v>
      </c>
      <c r="C13618" s="4">
        <v>2755</v>
      </c>
      <c r="D13618" s="4">
        <v>1075630</v>
      </c>
    </row>
    <row r="13619" spans="1:4" x14ac:dyDescent="0.25">
      <c r="A13619" t="str">
        <f>T("   821510")</f>
        <v xml:space="preserve">   821510</v>
      </c>
      <c r="B13619" t="str">
        <f>T("   ASSORTIMENTS CONTENANT AU MOINS UN OBJET ARGENTE, DORE OU PLATINE")</f>
        <v xml:space="preserve">   ASSORTIMENTS CONTENANT AU MOINS UN OBJET ARGENTE, DORE OU PLATINE</v>
      </c>
      <c r="C13619" s="4">
        <v>1384</v>
      </c>
      <c r="D13619" s="4">
        <v>22468775</v>
      </c>
    </row>
    <row r="13620" spans="1:4" x14ac:dyDescent="0.25">
      <c r="A13620" t="str">
        <f>T("   821520")</f>
        <v xml:space="preserve">   821520</v>
      </c>
      <c r="B13620" t="str">
        <f>T("   AUTRES ASSORTIMENTS")</f>
        <v xml:space="preserve">   AUTRES ASSORTIMENTS</v>
      </c>
      <c r="C13620" s="4">
        <v>2033</v>
      </c>
      <c r="D13620" s="4">
        <v>5119645</v>
      </c>
    </row>
    <row r="13621" spans="1:4" x14ac:dyDescent="0.25">
      <c r="A13621" t="str">
        <f>T("   821599")</f>
        <v xml:space="preserve">   821599</v>
      </c>
      <c r="B13621" t="str">
        <f>T("   AUTRES")</f>
        <v xml:space="preserve">   AUTRES</v>
      </c>
      <c r="C13621" s="4">
        <v>987143</v>
      </c>
      <c r="D13621" s="4">
        <v>325179940</v>
      </c>
    </row>
    <row r="13622" spans="1:4" x14ac:dyDescent="0.25">
      <c r="A13622" t="str">
        <f>T("   830110")</f>
        <v xml:space="preserve">   830110</v>
      </c>
      <c r="B13622" t="str">
        <f>T("   CADENAS")</f>
        <v xml:space="preserve">   CADENAS</v>
      </c>
      <c r="C13622" s="4">
        <v>117623.18</v>
      </c>
      <c r="D13622" s="4">
        <v>45903382</v>
      </c>
    </row>
    <row r="13623" spans="1:4" x14ac:dyDescent="0.25">
      <c r="A13623" t="str">
        <f>T("   830120")</f>
        <v xml:space="preserve">   830120</v>
      </c>
      <c r="B13623" t="str">
        <f>T("   SERRURES DES TYPES UTILISES POUR VEHICULES AUTOMOBILES")</f>
        <v xml:space="preserve">   SERRURES DES TYPES UTILISES POUR VEHICULES AUTOMOBILES</v>
      </c>
      <c r="C13623" s="4">
        <v>234</v>
      </c>
      <c r="D13623" s="4">
        <v>1055852</v>
      </c>
    </row>
    <row r="13624" spans="1:4" x14ac:dyDescent="0.25">
      <c r="A13624" t="str">
        <f>T("   830130")</f>
        <v xml:space="preserve">   830130</v>
      </c>
      <c r="B13624" t="str">
        <f>T("   SERRURES DES TYPES UTILISES POUR MEUBLES")</f>
        <v xml:space="preserve">   SERRURES DES TYPES UTILISES POUR MEUBLES</v>
      </c>
      <c r="C13624" s="4">
        <v>40088</v>
      </c>
      <c r="D13624" s="4">
        <v>9554500</v>
      </c>
    </row>
    <row r="13625" spans="1:4" x14ac:dyDescent="0.25">
      <c r="A13625" t="str">
        <f>T("   830140")</f>
        <v xml:space="preserve">   830140</v>
      </c>
      <c r="B13625" t="str">
        <f>T("   AUTRES SERRURES; VERROUS")</f>
        <v xml:space="preserve">   AUTRES SERRURES; VERROUS</v>
      </c>
      <c r="C13625" s="4">
        <v>1201730.26</v>
      </c>
      <c r="D13625" s="4">
        <v>509402182</v>
      </c>
    </row>
    <row r="13626" spans="1:4" x14ac:dyDescent="0.25">
      <c r="A13626" t="str">
        <f>T("   830150")</f>
        <v xml:space="preserve">   830150</v>
      </c>
      <c r="B13626" t="str">
        <f>T("   FERMOIRS ET MONTURESFERMOIRS COMPORTANT UNE SERRURE")</f>
        <v xml:space="preserve">   FERMOIRS ET MONTURESFERMOIRS COMPORTANT UNE SERRURE</v>
      </c>
      <c r="C13626" s="4">
        <v>2564</v>
      </c>
      <c r="D13626" s="4">
        <v>1336642</v>
      </c>
    </row>
    <row r="13627" spans="1:4" x14ac:dyDescent="0.25">
      <c r="A13627" t="str">
        <f>T("   830160")</f>
        <v xml:space="preserve">   830160</v>
      </c>
      <c r="B13627" t="str">
        <f>T("   PARTIES")</f>
        <v xml:space="preserve">   PARTIES</v>
      </c>
      <c r="C13627" s="4">
        <v>29203.86</v>
      </c>
      <c r="D13627" s="4">
        <v>20196335</v>
      </c>
    </row>
    <row r="13628" spans="1:4" x14ac:dyDescent="0.25">
      <c r="A13628" t="str">
        <f>T("   830170")</f>
        <v xml:space="preserve">   830170</v>
      </c>
      <c r="B13628" t="str">
        <f>T("   CLEFS PRESENTEES ISOLEMENT")</f>
        <v xml:space="preserve">   CLEFS PRESENTEES ISOLEMENT</v>
      </c>
      <c r="C13628" s="4">
        <v>7917.7</v>
      </c>
      <c r="D13628" s="4">
        <v>14830431</v>
      </c>
    </row>
    <row r="13629" spans="1:4" x14ac:dyDescent="0.25">
      <c r="A13629" t="str">
        <f>T("   830210")</f>
        <v xml:space="preserve">   830210</v>
      </c>
      <c r="B13629" t="str">
        <f>T("   CHARNIERES DE TOUS GENRES (Y COMPRIS LES PAUMELLES ET PENTURES)")</f>
        <v xml:space="preserve">   CHARNIERES DE TOUS GENRES (Y COMPRIS LES PAUMELLES ET PENTURES)</v>
      </c>
      <c r="C13629" s="4">
        <v>117013.7</v>
      </c>
      <c r="D13629" s="4">
        <v>62784475</v>
      </c>
    </row>
    <row r="13630" spans="1:4" x14ac:dyDescent="0.25">
      <c r="A13630" t="str">
        <f>T("   830220")</f>
        <v xml:space="preserve">   830220</v>
      </c>
      <c r="B13630" t="str">
        <f>T("   ROULETTES")</f>
        <v xml:space="preserve">   ROULETTES</v>
      </c>
      <c r="C13630" s="4">
        <v>1899</v>
      </c>
      <c r="D13630" s="4">
        <v>15164440</v>
      </c>
    </row>
    <row r="13631" spans="1:4" x14ac:dyDescent="0.25">
      <c r="A13631" t="str">
        <f>T("   830230")</f>
        <v xml:space="preserve">   830230</v>
      </c>
      <c r="B13631" t="str">
        <f>T("   AUTRES GARNITURES, FERRURES ET ARTICLES SIMILAIRES POUR VEHICULES AUTOMOBILES")</f>
        <v xml:space="preserve">   AUTRES GARNITURES, FERRURES ET ARTICLES SIMILAIRES POUR VEHICULES AUTOMOBILES</v>
      </c>
      <c r="C13631" s="4">
        <v>1082.5</v>
      </c>
      <c r="D13631" s="4">
        <v>15132129</v>
      </c>
    </row>
    <row r="13632" spans="1:4" x14ac:dyDescent="0.25">
      <c r="A13632" t="str">
        <f>T("   830241")</f>
        <v xml:space="preserve">   830241</v>
      </c>
      <c r="B13632" t="str">
        <f>T("   POUR BATIMENTS")</f>
        <v xml:space="preserve">   POUR BATIMENTS</v>
      </c>
      <c r="C13632" s="4">
        <v>3728</v>
      </c>
      <c r="D13632" s="4">
        <v>32053019</v>
      </c>
    </row>
    <row r="13633" spans="1:4" x14ac:dyDescent="0.25">
      <c r="A13633" t="str">
        <f>T("   830242")</f>
        <v xml:space="preserve">   830242</v>
      </c>
      <c r="B13633" t="str">
        <f>T("   AUTRES, POUR MEUBLES")</f>
        <v xml:space="preserve">   AUTRES, POUR MEUBLES</v>
      </c>
      <c r="C13633" s="4">
        <v>23671</v>
      </c>
      <c r="D13633" s="4">
        <v>19406388</v>
      </c>
    </row>
    <row r="13634" spans="1:4" x14ac:dyDescent="0.25">
      <c r="A13634" t="str">
        <f>T("   830249")</f>
        <v xml:space="preserve">   830249</v>
      </c>
      <c r="B13634" t="str">
        <f>T("   AUTRES")</f>
        <v xml:space="preserve">   AUTRES</v>
      </c>
      <c r="C13634" s="4">
        <v>130660</v>
      </c>
      <c r="D13634" s="4">
        <v>51973370</v>
      </c>
    </row>
    <row r="13635" spans="1:4" x14ac:dyDescent="0.25">
      <c r="A13635" t="str">
        <f>T("   830250")</f>
        <v xml:space="preserve">   830250</v>
      </c>
      <c r="B13635" t="str">
        <f>T("   PATERES, PORTECHAPEAUX, SUPPORTS ET ARTICLES SIMILAIRES")</f>
        <v xml:space="preserve">   PATERES, PORTECHAPEAUX, SUPPORTS ET ARTICLES SIMILAIRES</v>
      </c>
      <c r="C13635" s="4">
        <v>5106</v>
      </c>
      <c r="D13635" s="4">
        <v>14265381</v>
      </c>
    </row>
    <row r="13636" spans="1:4" x14ac:dyDescent="0.25">
      <c r="A13636" t="str">
        <f>T("   830260")</f>
        <v xml:space="preserve">   830260</v>
      </c>
      <c r="B13636" t="str">
        <f>T("   FERMEPORTES AUTOMATIQUES")</f>
        <v xml:space="preserve">   FERMEPORTES AUTOMATIQUES</v>
      </c>
      <c r="C13636" s="4">
        <v>7</v>
      </c>
      <c r="D13636" s="4">
        <v>37364</v>
      </c>
    </row>
    <row r="13637" spans="1:4" x14ac:dyDescent="0.25">
      <c r="A13637" t="str">
        <f>T("   830300")</f>
        <v xml:space="preserve">   830300</v>
      </c>
      <c r="B13637" t="str">
        <f>T("   COFFRESFORTS, PORTES BLINDEES ET COMPARTIMENTS POUR CHAMBRES FORTES, COFFRES ET CASSET")</f>
        <v xml:space="preserve">   COFFRESFORTS, PORTES BLINDEES ET COMPARTIMENTS POUR CHAMBRES FORTES, COFFRES ET CASSET</v>
      </c>
      <c r="C13637" s="4">
        <v>112483</v>
      </c>
      <c r="D13637" s="4">
        <v>96254715</v>
      </c>
    </row>
    <row r="13638" spans="1:4" x14ac:dyDescent="0.25">
      <c r="A13638" t="str">
        <f>T("   830400")</f>
        <v xml:space="preserve">   830400</v>
      </c>
      <c r="B13638" t="str">
        <f>T("   CLASSEURS, FICHIERS, BOITES DE CLASSEMENT, PORTECOPIES, PLUMIERS, PORTECACHETS ET MAT")</f>
        <v xml:space="preserve">   CLASSEURS, FICHIERS, BOITES DE CLASSEMENT, PORTECOPIES, PLUMIERS, PORTECACHETS ET MAT</v>
      </c>
      <c r="C13638" s="4">
        <v>10285</v>
      </c>
      <c r="D13638" s="4">
        <v>36753364</v>
      </c>
    </row>
    <row r="13639" spans="1:4" x14ac:dyDescent="0.25">
      <c r="A13639" t="str">
        <f>T("   830510")</f>
        <v xml:space="preserve">   830510</v>
      </c>
      <c r="B13639" t="str">
        <f>T("   MECANISMES POUR RELIURE DE FEUILLETS MOBILES OU POUR CLASSEURS")</f>
        <v xml:space="preserve">   MECANISMES POUR RELIURE DE FEUILLETS MOBILES OU POUR CLASSEURS</v>
      </c>
      <c r="C13639" s="4">
        <v>80000</v>
      </c>
      <c r="D13639" s="4">
        <v>10000000</v>
      </c>
    </row>
    <row r="13640" spans="1:4" x14ac:dyDescent="0.25">
      <c r="A13640" t="str">
        <f>T("   830520")</f>
        <v xml:space="preserve">   830520</v>
      </c>
      <c r="B13640" t="str">
        <f>T("   AGRAFES PRESENTEES EN BARRETTES")</f>
        <v xml:space="preserve">   AGRAFES PRESENTEES EN BARRETTES</v>
      </c>
      <c r="C13640" s="4">
        <v>1205</v>
      </c>
      <c r="D13640" s="4">
        <v>4855869</v>
      </c>
    </row>
    <row r="13641" spans="1:4" x14ac:dyDescent="0.25">
      <c r="A13641" t="str">
        <f>T("   830590")</f>
        <v xml:space="preserve">   830590</v>
      </c>
      <c r="B13641" t="str">
        <f>T("   AUTRES, Y COMPRIS LES PARTIES")</f>
        <v xml:space="preserve">   AUTRES, Y COMPRIS LES PARTIES</v>
      </c>
      <c r="C13641" s="4">
        <v>312.7</v>
      </c>
      <c r="D13641" s="4">
        <v>558042</v>
      </c>
    </row>
    <row r="13642" spans="1:4" x14ac:dyDescent="0.25">
      <c r="A13642" t="str">
        <f>T("   830610")</f>
        <v xml:space="preserve">   830610</v>
      </c>
      <c r="B13642" t="str">
        <f>T("   CLOCHES, SONNETTES, GONGS ET ARTICLES SIMILAIRES")</f>
        <v xml:space="preserve">   CLOCHES, SONNETTES, GONGS ET ARTICLES SIMILAIRES</v>
      </c>
      <c r="C13642" s="4">
        <v>82.73</v>
      </c>
      <c r="D13642" s="4">
        <v>547366</v>
      </c>
    </row>
    <row r="13643" spans="1:4" x14ac:dyDescent="0.25">
      <c r="A13643" t="str">
        <f>T("   830621")</f>
        <v xml:space="preserve">   830621</v>
      </c>
      <c r="B13643" t="str">
        <f>T("   ARGENTES, DORES OU PLATINES")</f>
        <v xml:space="preserve">   ARGENTES, DORES OU PLATINES</v>
      </c>
      <c r="C13643" s="4">
        <v>3000</v>
      </c>
      <c r="D13643" s="4">
        <v>327690</v>
      </c>
    </row>
    <row r="13644" spans="1:4" x14ac:dyDescent="0.25">
      <c r="A13644" t="str">
        <f>T("   830629")</f>
        <v xml:space="preserve">   830629</v>
      </c>
      <c r="B13644" t="str">
        <f>T("   AUTRES")</f>
        <v xml:space="preserve">   AUTRES</v>
      </c>
      <c r="C13644" s="4">
        <v>7163</v>
      </c>
      <c r="D13644" s="4">
        <v>2130474</v>
      </c>
    </row>
    <row r="13645" spans="1:4" x14ac:dyDescent="0.25">
      <c r="A13645" t="str">
        <f>T("   830630")</f>
        <v xml:space="preserve">   830630</v>
      </c>
      <c r="B13645" t="str">
        <f>T("   CADRES POUR PHOTOGRAPHIES, GRAVURES OU SIMILAIRES; MIROIRS")</f>
        <v xml:space="preserve">   CADRES POUR PHOTOGRAPHIES, GRAVURES OU SIMILAIRES; MIROIRS</v>
      </c>
      <c r="C13645" s="4">
        <v>13109</v>
      </c>
      <c r="D13645" s="4">
        <v>4455020</v>
      </c>
    </row>
    <row r="13646" spans="1:4" x14ac:dyDescent="0.25">
      <c r="A13646" t="str">
        <f>T("   830710")</f>
        <v xml:space="preserve">   830710</v>
      </c>
      <c r="B13646" t="str">
        <f>T("   EN FER OU EN ACIER")</f>
        <v xml:space="preserve">   EN FER OU EN ACIER</v>
      </c>
      <c r="C13646" s="4">
        <v>9820</v>
      </c>
      <c r="D13646" s="4">
        <v>76146763</v>
      </c>
    </row>
    <row r="13647" spans="1:4" x14ac:dyDescent="0.25">
      <c r="A13647" t="str">
        <f>T("   830790")</f>
        <v xml:space="preserve">   830790</v>
      </c>
      <c r="B13647" t="str">
        <f>T("   EN AUTRES METAUX COMMUNS")</f>
        <v xml:space="preserve">   EN AUTRES METAUX COMMUNS</v>
      </c>
      <c r="C13647" s="4">
        <v>3629</v>
      </c>
      <c r="D13647" s="4">
        <v>7790732</v>
      </c>
    </row>
    <row r="13648" spans="1:4" x14ac:dyDescent="0.25">
      <c r="A13648" t="str">
        <f>T("   830810")</f>
        <v xml:space="preserve">   830810</v>
      </c>
      <c r="B13648" t="str">
        <f>T("   AGRAFES, CROCHETS ET œILLETS")</f>
        <v xml:space="preserve">   AGRAFES, CROCHETS ET œILLETS</v>
      </c>
      <c r="C13648" s="4">
        <v>24969</v>
      </c>
      <c r="D13648" s="4">
        <v>8434990</v>
      </c>
    </row>
    <row r="13649" spans="1:4" x14ac:dyDescent="0.25">
      <c r="A13649" t="str">
        <f>T("   830890")</f>
        <v xml:space="preserve">   830890</v>
      </c>
      <c r="B13649" t="str">
        <f>T("   AUTRES, Y COMPRIS LES PARTIES")</f>
        <v xml:space="preserve">   AUTRES, Y COMPRIS LES PARTIES</v>
      </c>
      <c r="C13649" s="4">
        <v>3232</v>
      </c>
      <c r="D13649" s="4">
        <v>6941072</v>
      </c>
    </row>
    <row r="13650" spans="1:4" x14ac:dyDescent="0.25">
      <c r="A13650" t="str">
        <f>T("   830910")</f>
        <v xml:space="preserve">   830910</v>
      </c>
      <c r="B13650" t="str">
        <f>T("   BOUCHONSCOURONNES")</f>
        <v xml:space="preserve">   BOUCHONSCOURONNES</v>
      </c>
      <c r="C13650" s="4">
        <v>610760</v>
      </c>
      <c r="D13650" s="4">
        <v>1100432943</v>
      </c>
    </row>
    <row r="13651" spans="1:4" x14ac:dyDescent="0.25">
      <c r="A13651" t="str">
        <f>T("   830990")</f>
        <v xml:space="preserve">   830990</v>
      </c>
      <c r="B13651" t="str">
        <f>T("   AUTRES")</f>
        <v xml:space="preserve">   AUTRES</v>
      </c>
      <c r="C13651" s="4">
        <v>15056.5</v>
      </c>
      <c r="D13651" s="4">
        <v>32326157</v>
      </c>
    </row>
    <row r="13652" spans="1:4" x14ac:dyDescent="0.25">
      <c r="A13652" t="str">
        <f>T("   831000")</f>
        <v xml:space="preserve">   831000</v>
      </c>
      <c r="B13652" t="str">
        <f>T("   PLAQUES INDICATRICES, PLAQUESENSEIGNES, PLAQUESADRESSES ET PLAQUES SIMILAIRES, CHIFFR")</f>
        <v xml:space="preserve">   PLAQUES INDICATRICES, PLAQUESENSEIGNES, PLAQUESADRESSES ET PLAQUES SIMILAIRES, CHIFFR</v>
      </c>
      <c r="C13652" s="4">
        <v>663</v>
      </c>
      <c r="D13652" s="4">
        <v>5902209</v>
      </c>
    </row>
    <row r="13653" spans="1:4" x14ac:dyDescent="0.25">
      <c r="A13653" t="str">
        <f>T("   831110")</f>
        <v xml:space="preserve">   831110</v>
      </c>
      <c r="B13653" t="str">
        <f>T("   ELECTRODES ENROBEES POUR LE SOUDAGE A L'ARC, EN METAUX COMMUNS")</f>
        <v xml:space="preserve">   ELECTRODES ENROBEES POUR LE SOUDAGE A L'ARC, EN METAUX COMMUNS</v>
      </c>
      <c r="C13653" s="4">
        <v>444799.37</v>
      </c>
      <c r="D13653" s="4">
        <v>112851210</v>
      </c>
    </row>
    <row r="13654" spans="1:4" x14ac:dyDescent="0.25">
      <c r="A13654" t="str">
        <f>T("   831120")</f>
        <v xml:space="preserve">   831120</v>
      </c>
      <c r="B13654" t="str">
        <f>T("   FILS FOURRES POUR LE SOUDAGE A L'ARC, EN METAUX COMMUNS")</f>
        <v xml:space="preserve">   FILS FOURRES POUR LE SOUDAGE A L'ARC, EN METAUX COMMUNS</v>
      </c>
      <c r="C13654" s="4">
        <v>15850</v>
      </c>
      <c r="D13654" s="4">
        <v>1000000</v>
      </c>
    </row>
    <row r="13655" spans="1:4" x14ac:dyDescent="0.25">
      <c r="A13655" t="str">
        <f>T("   831130")</f>
        <v xml:space="preserve">   831130</v>
      </c>
      <c r="B13655" t="str">
        <f>T("   BAGUETTES ENROBEES ET FILS FOURRES POUR LE BRASAGE OU LE SOUDAGE A LA FLAMME, EN META")</f>
        <v xml:space="preserve">   BAGUETTES ENROBEES ET FILS FOURRES POUR LE BRASAGE OU LE SOUDAGE A LA FLAMME, EN META</v>
      </c>
      <c r="C13655" s="4">
        <v>313863</v>
      </c>
      <c r="D13655" s="4">
        <v>58127819</v>
      </c>
    </row>
    <row r="13656" spans="1:4" x14ac:dyDescent="0.25">
      <c r="A13656" t="str">
        <f>T("   831190")</f>
        <v xml:space="preserve">   831190</v>
      </c>
      <c r="B13656" t="str">
        <f>T("   AUTRES")</f>
        <v xml:space="preserve">   AUTRES</v>
      </c>
      <c r="C13656" s="4">
        <v>145509</v>
      </c>
      <c r="D13656" s="4">
        <v>37122416</v>
      </c>
    </row>
    <row r="13657" spans="1:4" x14ac:dyDescent="0.25">
      <c r="A13657" t="str">
        <f>T("   840212")</f>
        <v xml:space="preserve">   840212</v>
      </c>
      <c r="B13657" t="str">
        <f>T("   CHAUDIERES AQUATUBULAIRES D'UNE PRODUCTION HORAIRE DE VAPEUR N'EXCEDANT PAS 45 TONNE")</f>
        <v xml:space="preserve">   CHAUDIERES AQUATUBULAIRES D'UNE PRODUCTION HORAIRE DE VAPEUR N'EXCEDANT PAS 45 TONNE</v>
      </c>
      <c r="C13657" s="4">
        <v>5000</v>
      </c>
      <c r="D13657" s="4">
        <v>9334967</v>
      </c>
    </row>
    <row r="13658" spans="1:4" x14ac:dyDescent="0.25">
      <c r="A13658" t="str">
        <f>T("   840219")</f>
        <v xml:space="preserve">   840219</v>
      </c>
      <c r="B13658" t="str">
        <f>T("   AUTRES CHAUDIERES A VAPEUR, Y COMPRIS LES CHAUDIERES MIXTES")</f>
        <v xml:space="preserve">   AUTRES CHAUDIERES A VAPEUR, Y COMPRIS LES CHAUDIERES MIXTES</v>
      </c>
      <c r="C13658" s="4">
        <v>9800</v>
      </c>
      <c r="D13658" s="4">
        <v>16438031</v>
      </c>
    </row>
    <row r="13659" spans="1:4" x14ac:dyDescent="0.25">
      <c r="A13659" t="str">
        <f>T("   840290")</f>
        <v xml:space="preserve">   840290</v>
      </c>
      <c r="B13659" t="str">
        <f>T("   PARTIES")</f>
        <v xml:space="preserve">   PARTIES</v>
      </c>
      <c r="C13659" s="4">
        <v>786</v>
      </c>
      <c r="D13659" s="4">
        <v>24342938</v>
      </c>
    </row>
    <row r="13660" spans="1:4" x14ac:dyDescent="0.25">
      <c r="A13660" t="str">
        <f>T("   840310")</f>
        <v xml:space="preserve">   840310</v>
      </c>
      <c r="B13660" t="str">
        <f>T("   CHAUDIERES")</f>
        <v xml:space="preserve">   CHAUDIERES</v>
      </c>
      <c r="C13660" s="4">
        <v>725</v>
      </c>
      <c r="D13660" s="4">
        <v>411645</v>
      </c>
    </row>
    <row r="13661" spans="1:4" x14ac:dyDescent="0.25">
      <c r="A13661" t="str">
        <f>T("   840410")</f>
        <v xml:space="preserve">   840410</v>
      </c>
      <c r="B13661" t="str">
        <f>T("   APPAREILS AUXILIAIRES POUR CHAUDIERES DES N°S 84.02 OU 84.03")</f>
        <v xml:space="preserve">   APPAREILS AUXILIAIRES POUR CHAUDIERES DES N°S 84.02 OU 84.03</v>
      </c>
      <c r="C13661" s="4">
        <v>61816</v>
      </c>
      <c r="D13661" s="4">
        <v>437700281</v>
      </c>
    </row>
    <row r="13662" spans="1:4" x14ac:dyDescent="0.25">
      <c r="A13662" t="str">
        <f>T("   840490")</f>
        <v xml:space="preserve">   840490</v>
      </c>
      <c r="B13662" t="str">
        <f>T("   PARTIES")</f>
        <v xml:space="preserve">   PARTIES</v>
      </c>
      <c r="C13662" s="4">
        <v>6144</v>
      </c>
      <c r="D13662" s="4">
        <v>2802746</v>
      </c>
    </row>
    <row r="13663" spans="1:4" x14ac:dyDescent="0.25">
      <c r="A13663" t="str">
        <f>T("   840510")</f>
        <v xml:space="preserve">   840510</v>
      </c>
      <c r="B13663" t="str">
        <f>T("   GENERATEURS DE GAZ A L'AIR OU DE GAZ A L'EAU, AVEC OU SANS LEURS EPURATEURS; GENERATE")</f>
        <v xml:space="preserve">   GENERATEURS DE GAZ A L'AIR OU DE GAZ A L'EAU, AVEC OU SANS LEURS EPURATEURS; GENERATE</v>
      </c>
      <c r="C13663" s="4">
        <v>952</v>
      </c>
      <c r="D13663" s="4">
        <v>295397</v>
      </c>
    </row>
    <row r="13664" spans="1:4" x14ac:dyDescent="0.25">
      <c r="A13664" t="str">
        <f>T("   840590")</f>
        <v xml:space="preserve">   840590</v>
      </c>
      <c r="B13664" t="str">
        <f>T("   PARTIES")</f>
        <v xml:space="preserve">   PARTIES</v>
      </c>
      <c r="C13664" s="4">
        <v>100</v>
      </c>
      <c r="D13664" s="4">
        <v>100000</v>
      </c>
    </row>
    <row r="13665" spans="1:4" x14ac:dyDescent="0.25">
      <c r="A13665" t="str">
        <f>T("   840721")</f>
        <v xml:space="preserve">   840721</v>
      </c>
      <c r="B13665" t="str">
        <f>T("   DU TYPE HORSBORD")</f>
        <v xml:space="preserve">   DU TYPE HORSBORD</v>
      </c>
      <c r="C13665" s="4">
        <v>12065.99</v>
      </c>
      <c r="D13665" s="4">
        <v>143920613</v>
      </c>
    </row>
    <row r="13666" spans="1:4" x14ac:dyDescent="0.25">
      <c r="A13666" t="str">
        <f>T("   840729")</f>
        <v xml:space="preserve">   840729</v>
      </c>
      <c r="B13666" t="str">
        <f>T("   AUTRES")</f>
        <v xml:space="preserve">   AUTRES</v>
      </c>
      <c r="C13666" s="4">
        <v>19336</v>
      </c>
      <c r="D13666" s="4">
        <v>4596154</v>
      </c>
    </row>
    <row r="13667" spans="1:4" x14ac:dyDescent="0.25">
      <c r="A13667" t="str">
        <f>T("   840731")</f>
        <v xml:space="preserve">   840731</v>
      </c>
      <c r="B13667" t="str">
        <f>T("   D'UNE CYLINDREE N'EXCEDANT PAS 50 CM³")</f>
        <v xml:space="preserve">   D'UNE CYLINDREE N'EXCEDANT PAS 50 CM³</v>
      </c>
      <c r="C13667" s="4">
        <v>25</v>
      </c>
      <c r="D13667" s="4">
        <v>158000</v>
      </c>
    </row>
    <row r="13668" spans="1:4" x14ac:dyDescent="0.25">
      <c r="A13668" t="str">
        <f>T("   840732")</f>
        <v xml:space="preserve">   840732</v>
      </c>
      <c r="B13668" t="str">
        <f>T("   D'UNE CYLINDREE EXCEDANT 50 CM³ MAIS N'EXCEDANT PAS 250 CM³")</f>
        <v xml:space="preserve">   D'UNE CYLINDREE EXCEDANT 50 CM³ MAIS N'EXCEDANT PAS 250 CM³</v>
      </c>
      <c r="C13668" s="4">
        <v>5750</v>
      </c>
      <c r="D13668" s="4">
        <v>2265000</v>
      </c>
    </row>
    <row r="13669" spans="1:4" x14ac:dyDescent="0.25">
      <c r="A13669" t="str">
        <f>T("   840733")</f>
        <v xml:space="preserve">   840733</v>
      </c>
      <c r="B13669" t="str">
        <f>T("   D'UNE CYLINDREE EXCEDANT 250 CM³ MAIS N'EXCEDANT PAS 1.000 CM³")</f>
        <v xml:space="preserve">   D'UNE CYLINDREE EXCEDANT 250 CM³ MAIS N'EXCEDANT PAS 1.000 CM³</v>
      </c>
      <c r="C13669" s="4">
        <v>1213</v>
      </c>
      <c r="D13669" s="4">
        <v>6696701</v>
      </c>
    </row>
    <row r="13670" spans="1:4" x14ac:dyDescent="0.25">
      <c r="A13670" t="str">
        <f>T("   840734")</f>
        <v xml:space="preserve">   840734</v>
      </c>
      <c r="B13670" t="str">
        <f>T("   D'UNE CYLINDREE EXCEDANT 1.000 CM³")</f>
        <v xml:space="preserve">   D'UNE CYLINDREE EXCEDANT 1.000 CM³</v>
      </c>
      <c r="C13670" s="4">
        <v>110020</v>
      </c>
      <c r="D13670" s="4">
        <v>58462738</v>
      </c>
    </row>
    <row r="13671" spans="1:4" x14ac:dyDescent="0.25">
      <c r="A13671" t="str">
        <f>T("   840790")</f>
        <v xml:space="preserve">   840790</v>
      </c>
      <c r="B13671" t="str">
        <f>T("   AUTRES MOTEURS")</f>
        <v xml:space="preserve">   AUTRES MOTEURS</v>
      </c>
      <c r="C13671" s="4">
        <v>56250</v>
      </c>
      <c r="D13671" s="4">
        <v>26085644</v>
      </c>
    </row>
    <row r="13672" spans="1:4" x14ac:dyDescent="0.25">
      <c r="A13672" t="str">
        <f>T("   840820")</f>
        <v xml:space="preserve">   840820</v>
      </c>
      <c r="B13672" t="str">
        <f>T("   MOTEURS DES TYPES UTILISES POUR LA PROPULSION DE VEHICULES DU CHAPITRE 87")</f>
        <v xml:space="preserve">   MOTEURS DES TYPES UTILISES POUR LA PROPULSION DE VEHICULES DU CHAPITRE 87</v>
      </c>
      <c r="C13672" s="4">
        <v>26307</v>
      </c>
      <c r="D13672" s="4">
        <v>8926561</v>
      </c>
    </row>
    <row r="13673" spans="1:4" x14ac:dyDescent="0.25">
      <c r="A13673" t="str">
        <f>T("   840890")</f>
        <v xml:space="preserve">   840890</v>
      </c>
      <c r="B13673" t="str">
        <f>T("   AUTRES MOTEURS")</f>
        <v xml:space="preserve">   AUTRES MOTEURS</v>
      </c>
      <c r="C13673" s="4">
        <v>80391</v>
      </c>
      <c r="D13673" s="4">
        <v>210660133</v>
      </c>
    </row>
    <row r="13674" spans="1:4" x14ac:dyDescent="0.25">
      <c r="A13674" t="str">
        <f>T("   840910")</f>
        <v xml:space="preserve">   840910</v>
      </c>
      <c r="B13674" t="str">
        <f>T("   DE MOTEURS POUR L'AVIATION")</f>
        <v xml:space="preserve">   DE MOTEURS POUR L'AVIATION</v>
      </c>
      <c r="C13674" s="4">
        <v>251</v>
      </c>
      <c r="D13674" s="4">
        <v>559631</v>
      </c>
    </row>
    <row r="13675" spans="1:4" x14ac:dyDescent="0.25">
      <c r="A13675" t="str">
        <f>T("   840991")</f>
        <v xml:space="preserve">   840991</v>
      </c>
      <c r="B13675" t="str">
        <f>T("   RECONNAISSABLES COMME ETANT EXCLUSIVEMENT OU PRINCIPALEMENT DESTINEES AUX MOTEURS A")</f>
        <v xml:space="preserve">   RECONNAISSABLES COMME ETANT EXCLUSIVEMENT OU PRINCIPALEMENT DESTINEES AUX MOTEURS A</v>
      </c>
      <c r="C13675" s="4">
        <v>437</v>
      </c>
      <c r="D13675" s="4">
        <v>3801185</v>
      </c>
    </row>
    <row r="13676" spans="1:4" x14ac:dyDescent="0.25">
      <c r="A13676" t="str">
        <f>T("   840999")</f>
        <v xml:space="preserve">   840999</v>
      </c>
      <c r="B13676" t="str">
        <f>T("   AUTRES")</f>
        <v xml:space="preserve">   AUTRES</v>
      </c>
      <c r="C13676" s="4">
        <v>27611.38</v>
      </c>
      <c r="D13676" s="4">
        <v>272515850</v>
      </c>
    </row>
    <row r="13677" spans="1:4" x14ac:dyDescent="0.25">
      <c r="A13677" t="str">
        <f>T("   841090")</f>
        <v xml:space="preserve">   841090</v>
      </c>
      <c r="B13677" t="str">
        <f>T("   PARTIES, Y COMPRIS LES REGULATEURS")</f>
        <v xml:space="preserve">   PARTIES, Y COMPRIS LES REGULATEURS</v>
      </c>
      <c r="C13677" s="4">
        <v>2242</v>
      </c>
      <c r="D13677" s="4">
        <v>1927921</v>
      </c>
    </row>
    <row r="13678" spans="1:4" x14ac:dyDescent="0.25">
      <c r="A13678" t="str">
        <f>T("   841191")</f>
        <v xml:space="preserve">   841191</v>
      </c>
      <c r="B13678" t="str">
        <f>T("   DE TURBOREACTEURS OU DE TURBOPROPULSEURS")</f>
        <v xml:space="preserve">   DE TURBOREACTEURS OU DE TURBOPROPULSEURS</v>
      </c>
      <c r="C13678" s="4">
        <v>14</v>
      </c>
      <c r="D13678" s="4">
        <v>20524706</v>
      </c>
    </row>
    <row r="13679" spans="1:4" x14ac:dyDescent="0.25">
      <c r="A13679" t="str">
        <f>T("   841210")</f>
        <v xml:space="preserve">   841210</v>
      </c>
      <c r="B13679" t="str">
        <f>T("   Propulseurs a reaction autres que les turboreacteurs")</f>
        <v xml:space="preserve">   Propulseurs a reaction autres que les turboreacteurs</v>
      </c>
      <c r="C13679" s="4">
        <v>3680</v>
      </c>
      <c r="D13679" s="4">
        <v>17629790</v>
      </c>
    </row>
    <row r="13680" spans="1:4" x14ac:dyDescent="0.25">
      <c r="A13680" t="str">
        <f>T("   841221")</f>
        <v xml:space="preserve">   841221</v>
      </c>
      <c r="B13680" t="str">
        <f>T("   A MOUVEMENT RECTILIGNE (CYLINDRES)")</f>
        <v xml:space="preserve">   A MOUVEMENT RECTILIGNE (CYLINDRES)</v>
      </c>
      <c r="C13680" s="4">
        <v>83.94</v>
      </c>
      <c r="D13680" s="4">
        <v>3637383</v>
      </c>
    </row>
    <row r="13681" spans="1:4" x14ac:dyDescent="0.25">
      <c r="A13681" t="str">
        <f>T("   841229")</f>
        <v xml:space="preserve">   841229</v>
      </c>
      <c r="B13681" t="str">
        <f>T("   AUTRES")</f>
        <v xml:space="preserve">   AUTRES</v>
      </c>
      <c r="C13681" s="4">
        <v>3031</v>
      </c>
      <c r="D13681" s="4">
        <v>7776694</v>
      </c>
    </row>
    <row r="13682" spans="1:4" x14ac:dyDescent="0.25">
      <c r="A13682" t="str">
        <f>T("   841231")</f>
        <v xml:space="preserve">   841231</v>
      </c>
      <c r="B13682" t="str">
        <f>T("   A MOUVEMENT RECTILIGNE (CYLINDRES)")</f>
        <v xml:space="preserve">   A MOUVEMENT RECTILIGNE (CYLINDRES)</v>
      </c>
      <c r="C13682" s="4">
        <v>353.4</v>
      </c>
      <c r="D13682" s="4">
        <v>26995444</v>
      </c>
    </row>
    <row r="13683" spans="1:4" x14ac:dyDescent="0.25">
      <c r="A13683" t="str">
        <f>T("   841239")</f>
        <v xml:space="preserve">   841239</v>
      </c>
      <c r="B13683" t="str">
        <f>T("   AUTRES")</f>
        <v xml:space="preserve">   AUTRES</v>
      </c>
      <c r="C13683" s="4">
        <v>3729</v>
      </c>
      <c r="D13683" s="4">
        <v>125000</v>
      </c>
    </row>
    <row r="13684" spans="1:4" x14ac:dyDescent="0.25">
      <c r="A13684" t="str">
        <f>T("   841280")</f>
        <v xml:space="preserve">   841280</v>
      </c>
      <c r="B13684" t="str">
        <f>T("   AUTRES")</f>
        <v xml:space="preserve">   AUTRES</v>
      </c>
      <c r="C13684" s="4">
        <v>15733</v>
      </c>
      <c r="D13684" s="4">
        <v>75512432</v>
      </c>
    </row>
    <row r="13685" spans="1:4" x14ac:dyDescent="0.25">
      <c r="A13685" t="str">
        <f>T("   841290")</f>
        <v xml:space="preserve">   841290</v>
      </c>
      <c r="B13685" t="str">
        <f>T("   PARTIES")</f>
        <v xml:space="preserve">   PARTIES</v>
      </c>
      <c r="C13685" s="4">
        <v>7148.2</v>
      </c>
      <c r="D13685" s="4">
        <v>24132208</v>
      </c>
    </row>
    <row r="13686" spans="1:4" x14ac:dyDescent="0.25">
      <c r="A13686" t="str">
        <f>T("   841311")</f>
        <v xml:space="preserve">   841311</v>
      </c>
      <c r="B13686" t="str">
        <f>T("   POMPES POUR LA DISTRIBUTION DE CARBURANTS OU DE LUBRIFIANTS, DES TYPES UTILISES DANS")</f>
        <v xml:space="preserve">   POMPES POUR LA DISTRIBUTION DE CARBURANTS OU DE LUBRIFIANTS, DES TYPES UTILISES DANS</v>
      </c>
      <c r="C13686" s="4">
        <v>36087</v>
      </c>
      <c r="D13686" s="4">
        <v>154019833</v>
      </c>
    </row>
    <row r="13687" spans="1:4" x14ac:dyDescent="0.25">
      <c r="A13687" t="str">
        <f>T("   841319")</f>
        <v xml:space="preserve">   841319</v>
      </c>
      <c r="B13687" t="str">
        <f>T("   AUTRES")</f>
        <v xml:space="preserve">   AUTRES</v>
      </c>
      <c r="C13687" s="4">
        <v>22439</v>
      </c>
      <c r="D13687" s="4">
        <v>55650680</v>
      </c>
    </row>
    <row r="13688" spans="1:4" x14ac:dyDescent="0.25">
      <c r="A13688" t="str">
        <f>T("   841320")</f>
        <v xml:space="preserve">   841320</v>
      </c>
      <c r="B13688" t="str">
        <f>T("   POMPES ACTIONNEES A LA MAIN, AUTRES QUE CELLES DES N°S 8413.11 OU 8413.19")</f>
        <v xml:space="preserve">   POMPES ACTIONNEES A LA MAIN, AUTRES QUE CELLES DES N°S 8413.11 OU 8413.19</v>
      </c>
      <c r="C13688" s="4">
        <v>3368</v>
      </c>
      <c r="D13688" s="4">
        <v>6405201</v>
      </c>
    </row>
    <row r="13689" spans="1:4" x14ac:dyDescent="0.25">
      <c r="A13689" t="str">
        <f>T("   841330")</f>
        <v xml:space="preserve">   841330</v>
      </c>
      <c r="B13689" t="str">
        <f>T("   POMPES A CARBURANT, A HUILE OU A LIQUIDE DE REFROIDISSEMENT POUR MOTEURS A ALLUMAGE P")</f>
        <v xml:space="preserve">   POMPES A CARBURANT, A HUILE OU A LIQUIDE DE REFROIDISSEMENT POUR MOTEURS A ALLUMAGE P</v>
      </c>
      <c r="C13689" s="4">
        <v>1351.1</v>
      </c>
      <c r="D13689" s="4">
        <v>287927708</v>
      </c>
    </row>
    <row r="13690" spans="1:4" x14ac:dyDescent="0.25">
      <c r="A13690" t="str">
        <f>T("   841340")</f>
        <v xml:space="preserve">   841340</v>
      </c>
      <c r="B13690" t="str">
        <f>T("   POMPES A BETON")</f>
        <v xml:space="preserve">   POMPES A BETON</v>
      </c>
      <c r="C13690" s="4">
        <v>2000</v>
      </c>
      <c r="D13690" s="4">
        <v>858102</v>
      </c>
    </row>
    <row r="13691" spans="1:4" x14ac:dyDescent="0.25">
      <c r="A13691" t="str">
        <f>T("   841350")</f>
        <v xml:space="preserve">   841350</v>
      </c>
      <c r="B13691" t="str">
        <f>T("   Autres pompes volumetriques alternatives")</f>
        <v xml:space="preserve">   Autres pompes volumetriques alternatives</v>
      </c>
      <c r="C13691" s="4">
        <v>1517.35</v>
      </c>
      <c r="D13691" s="4">
        <v>75050389</v>
      </c>
    </row>
    <row r="13692" spans="1:4" x14ac:dyDescent="0.25">
      <c r="A13692" t="str">
        <f>T("   841360")</f>
        <v xml:space="preserve">   841360</v>
      </c>
      <c r="B13692" t="str">
        <f>T("   Autres pompes volumetriques rotatives")</f>
        <v xml:space="preserve">   Autres pompes volumetriques rotatives</v>
      </c>
      <c r="C13692" s="4">
        <v>2286</v>
      </c>
      <c r="D13692" s="4">
        <v>40289688</v>
      </c>
    </row>
    <row r="13693" spans="1:4" x14ac:dyDescent="0.25">
      <c r="A13693" t="str">
        <f>T("   841370")</f>
        <v xml:space="preserve">   841370</v>
      </c>
      <c r="B13693" t="str">
        <f>T("   Autres pompes centrifuges")</f>
        <v xml:space="preserve">   Autres pompes centrifuges</v>
      </c>
      <c r="C13693" s="4">
        <v>19562</v>
      </c>
      <c r="D13693" s="4">
        <v>246115805</v>
      </c>
    </row>
    <row r="13694" spans="1:4" x14ac:dyDescent="0.25">
      <c r="A13694" t="str">
        <f>T("   841381")</f>
        <v xml:space="preserve">   841381</v>
      </c>
      <c r="B13694" t="str">
        <f>T("   POMPES")</f>
        <v xml:space="preserve">   POMPES</v>
      </c>
      <c r="C13694" s="4">
        <v>60453.75</v>
      </c>
      <c r="D13694" s="4">
        <v>380969914</v>
      </c>
    </row>
    <row r="13695" spans="1:4" x14ac:dyDescent="0.25">
      <c r="A13695" t="str">
        <f>T("   841382")</f>
        <v xml:space="preserve">   841382</v>
      </c>
      <c r="B13695" t="str">
        <f>T("   ELEVATEURS A LIQUIDES")</f>
        <v xml:space="preserve">   ELEVATEURS A LIQUIDES</v>
      </c>
      <c r="C13695" s="4">
        <v>6543</v>
      </c>
      <c r="D13695" s="4">
        <v>20595348</v>
      </c>
    </row>
    <row r="13696" spans="1:4" x14ac:dyDescent="0.25">
      <c r="A13696" t="str">
        <f>T("   841391")</f>
        <v xml:space="preserve">   841391</v>
      </c>
      <c r="B13696" t="str">
        <f>T("   DE POMPES")</f>
        <v xml:space="preserve">   DE POMPES</v>
      </c>
      <c r="C13696" s="4">
        <v>11370.5</v>
      </c>
      <c r="D13696" s="4">
        <v>176047907</v>
      </c>
    </row>
    <row r="13697" spans="1:4" x14ac:dyDescent="0.25">
      <c r="A13697" t="str">
        <f>T("   841392")</f>
        <v xml:space="preserve">   841392</v>
      </c>
      <c r="B13697" t="str">
        <f>T("   D'ELEVATEURS A LIQUIDES")</f>
        <v xml:space="preserve">   D'ELEVATEURS A LIQUIDES</v>
      </c>
      <c r="C13697" s="4">
        <v>250.26</v>
      </c>
      <c r="D13697" s="4">
        <v>1429985</v>
      </c>
    </row>
    <row r="13698" spans="1:4" x14ac:dyDescent="0.25">
      <c r="A13698" t="str">
        <f>T("   841410")</f>
        <v xml:space="preserve">   841410</v>
      </c>
      <c r="B13698" t="str">
        <f>T("   Pompes a vide")</f>
        <v xml:space="preserve">   Pompes a vide</v>
      </c>
      <c r="C13698" s="4">
        <v>5478</v>
      </c>
      <c r="D13698" s="4">
        <v>40755865</v>
      </c>
    </row>
    <row r="13699" spans="1:4" x14ac:dyDescent="0.25">
      <c r="A13699" t="str">
        <f>T("   841420")</f>
        <v xml:space="preserve">   841420</v>
      </c>
      <c r="B13699" t="str">
        <f>T("   POMPES A AIR, A MAIN OU A PIED")</f>
        <v xml:space="preserve">   POMPES A AIR, A MAIN OU A PIED</v>
      </c>
      <c r="C13699" s="4">
        <v>38283.68</v>
      </c>
      <c r="D13699" s="4">
        <v>30018385</v>
      </c>
    </row>
    <row r="13700" spans="1:4" x14ac:dyDescent="0.25">
      <c r="A13700" t="str">
        <f>T("   841430")</f>
        <v xml:space="preserve">   841430</v>
      </c>
      <c r="B13700" t="str">
        <f>T("   COMPRESSEURS DES TYPES UTILISES DANS LES EQUIPEMENTS FRIGORIFIQUES")</f>
        <v xml:space="preserve">   COMPRESSEURS DES TYPES UTILISES DANS LES EQUIPEMENTS FRIGORIFIQUES</v>
      </c>
      <c r="C13700" s="4">
        <v>15944.12</v>
      </c>
      <c r="D13700" s="4">
        <v>197608342</v>
      </c>
    </row>
    <row r="13701" spans="1:4" x14ac:dyDescent="0.25">
      <c r="A13701" t="str">
        <f>T("   841440")</f>
        <v xml:space="preserve">   841440</v>
      </c>
      <c r="B13701" t="str">
        <f>T("   COMPRESSEURS D'AIR MONTES SUR CHASSIS A ROUES ET REMORQUABLES")</f>
        <v xml:space="preserve">   COMPRESSEURS D'AIR MONTES SUR CHASSIS A ROUES ET REMORQUABLES</v>
      </c>
      <c r="C13701" s="4">
        <v>26494</v>
      </c>
      <c r="D13701" s="4">
        <v>147580652</v>
      </c>
    </row>
    <row r="13702" spans="1:4" x14ac:dyDescent="0.25">
      <c r="A13702" t="str">
        <f>T("   841451")</f>
        <v xml:space="preserve">   841451</v>
      </c>
      <c r="B13702" t="str">
        <f>T("   VENTILATEURS DE TABLE, DE SOL, MURAUX, PLAFONNIERS, DE TOITURES OU DE FENETRES, A MO")</f>
        <v xml:space="preserve">   VENTILATEURS DE TABLE, DE SOL, MURAUX, PLAFONNIERS, DE TOITURES OU DE FENETRES, A MO</v>
      </c>
      <c r="C13702" s="4">
        <v>544007.30000000005</v>
      </c>
      <c r="D13702" s="4">
        <v>254843408</v>
      </c>
    </row>
    <row r="13703" spans="1:4" x14ac:dyDescent="0.25">
      <c r="A13703" t="str">
        <f>T("   841459")</f>
        <v xml:space="preserve">   841459</v>
      </c>
      <c r="B13703" t="str">
        <f>T("   AUTRES")</f>
        <v xml:space="preserve">   AUTRES</v>
      </c>
      <c r="C13703" s="4">
        <v>211059.20000000001</v>
      </c>
      <c r="D13703" s="4">
        <v>161020541</v>
      </c>
    </row>
    <row r="13704" spans="1:4" x14ac:dyDescent="0.25">
      <c r="A13704" t="str">
        <f>T("   841460")</f>
        <v xml:space="preserve">   841460</v>
      </c>
      <c r="B13704" t="str">
        <f>T("   HOTTES DONT LE PLUS GRAND COTE HORIZONTAL N'EXCEDE PAS 120 CM")</f>
        <v xml:space="preserve">   HOTTES DONT LE PLUS GRAND COTE HORIZONTAL N'EXCEDE PAS 120 CM</v>
      </c>
      <c r="C13704" s="4">
        <v>665</v>
      </c>
      <c r="D13704" s="4">
        <v>1297942</v>
      </c>
    </row>
    <row r="13705" spans="1:4" x14ac:dyDescent="0.25">
      <c r="A13705" t="str">
        <f>T("   841480")</f>
        <v xml:space="preserve">   841480</v>
      </c>
      <c r="B13705" t="str">
        <f>T("   AUTRES")</f>
        <v xml:space="preserve">   AUTRES</v>
      </c>
      <c r="C13705" s="4">
        <v>21322.22</v>
      </c>
      <c r="D13705" s="4">
        <v>174194998</v>
      </c>
    </row>
    <row r="13706" spans="1:4" x14ac:dyDescent="0.25">
      <c r="A13706" t="str">
        <f>T("   841490")</f>
        <v xml:space="preserve">   841490</v>
      </c>
      <c r="B13706" t="str">
        <f>T("   PARTIES")</f>
        <v xml:space="preserve">   PARTIES</v>
      </c>
      <c r="C13706" s="4">
        <v>24498.05</v>
      </c>
      <c r="D13706" s="4">
        <v>214479508</v>
      </c>
    </row>
    <row r="13707" spans="1:4" x14ac:dyDescent="0.25">
      <c r="A13707" t="str">
        <f>T("   841510")</f>
        <v xml:space="preserve">   841510</v>
      </c>
      <c r="B13707" t="str">
        <f>T("   DU TYPE MURAL OU POUR FENETRES, FORMANT UN SEUL CORPS OU DU TYPE «SPLITSYSTEM» (SYST")</f>
        <v xml:space="preserve">   DU TYPE MURAL OU POUR FENETRES, FORMANT UN SEUL CORPS OU DU TYPE «SPLITSYSTEM» (SYST</v>
      </c>
      <c r="C13707" s="4">
        <v>1065404.3899999999</v>
      </c>
      <c r="D13707" s="4">
        <v>982280787</v>
      </c>
    </row>
    <row r="13708" spans="1:4" x14ac:dyDescent="0.25">
      <c r="A13708" t="str">
        <f>T("   841520")</f>
        <v xml:space="preserve">   841520</v>
      </c>
      <c r="B13708" t="str">
        <f>T("   DU TYPE DE CEUX UTILISES POUR LE CONFORT DES PERSONNES DANS LES VEHICULES AUTOMOBILES")</f>
        <v xml:space="preserve">   DU TYPE DE CEUX UTILISES POUR LE CONFORT DES PERSONNES DANS LES VEHICULES AUTOMOBILES</v>
      </c>
      <c r="C13708" s="4">
        <v>95</v>
      </c>
      <c r="D13708" s="4">
        <v>683071</v>
      </c>
    </row>
    <row r="13709" spans="1:4" x14ac:dyDescent="0.25">
      <c r="A13709" t="str">
        <f>T("   841581")</f>
        <v xml:space="preserve">   841581</v>
      </c>
      <c r="B13709" t="str">
        <f>T("   AVEC DISPOSITIF DE REFRIGERATION ET SOUPAPE D’INVERSION DU CYCLE THERMIQUE (POMPES A")</f>
        <v xml:space="preserve">   AVEC DISPOSITIF DE REFRIGERATION ET SOUPAPE D’INVERSION DU CYCLE THERMIQUE (POMPES A</v>
      </c>
      <c r="C13709" s="4">
        <v>2074</v>
      </c>
      <c r="D13709" s="4">
        <v>3286859</v>
      </c>
    </row>
    <row r="13710" spans="1:4" x14ac:dyDescent="0.25">
      <c r="A13710" t="str">
        <f>T("   841582")</f>
        <v xml:space="preserve">   841582</v>
      </c>
      <c r="B13710" t="str">
        <f>T("   AUTRES, AVEC DISPOSITIF DE REFRIGERATION")</f>
        <v xml:space="preserve">   AUTRES, AVEC DISPOSITIF DE REFRIGERATION</v>
      </c>
      <c r="C13710" s="4">
        <v>159326</v>
      </c>
      <c r="D13710" s="4">
        <v>143572667</v>
      </c>
    </row>
    <row r="13711" spans="1:4" x14ac:dyDescent="0.25">
      <c r="A13711" t="str">
        <f>T("   841583")</f>
        <v xml:space="preserve">   841583</v>
      </c>
      <c r="B13711" t="str">
        <f>T("   SANS DISPOSITIF DE REFRIGERATION")</f>
        <v xml:space="preserve">   SANS DISPOSITIF DE REFRIGERATION</v>
      </c>
      <c r="C13711" s="4">
        <v>1957</v>
      </c>
      <c r="D13711" s="4">
        <v>27295152</v>
      </c>
    </row>
    <row r="13712" spans="1:4" x14ac:dyDescent="0.25">
      <c r="A13712" t="str">
        <f>T("   841590")</f>
        <v xml:space="preserve">   841590</v>
      </c>
      <c r="B13712" t="str">
        <f>T("   PARTIES")</f>
        <v xml:space="preserve">   PARTIES</v>
      </c>
      <c r="C13712" s="4">
        <v>6054.28</v>
      </c>
      <c r="D13712" s="4">
        <v>38186875</v>
      </c>
    </row>
    <row r="13713" spans="1:4" x14ac:dyDescent="0.25">
      <c r="A13713" t="str">
        <f>T("   841620")</f>
        <v xml:space="preserve">   841620</v>
      </c>
      <c r="B13713" t="str">
        <f>T("   AUTRES BRULEURS, Y COMPRIS LES BRULEURS MIXTES")</f>
        <v xml:space="preserve">   AUTRES BRULEURS, Y COMPRIS LES BRULEURS MIXTES</v>
      </c>
      <c r="C13713" s="4">
        <v>1508</v>
      </c>
      <c r="D13713" s="4">
        <v>2810291</v>
      </c>
    </row>
    <row r="13714" spans="1:4" x14ac:dyDescent="0.25">
      <c r="A13714" t="str">
        <f>T("   841630")</f>
        <v xml:space="preserve">   841630</v>
      </c>
      <c r="B13714" t="str">
        <f>T("   FOYERS AUTOMATIQUES, Y COMPRIS LEURS AVANTFOYERS, LEURS GRILLES MECANIQUES, LEURS DI")</f>
        <v xml:space="preserve">   FOYERS AUTOMATIQUES, Y COMPRIS LEURS AVANTFOYERS, LEURS GRILLES MECANIQUES, LEURS DI</v>
      </c>
      <c r="C13714" s="4">
        <v>404.64</v>
      </c>
      <c r="D13714" s="4">
        <v>132437</v>
      </c>
    </row>
    <row r="13715" spans="1:4" x14ac:dyDescent="0.25">
      <c r="A13715" t="str">
        <f>T("   841690")</f>
        <v xml:space="preserve">   841690</v>
      </c>
      <c r="B13715" t="str">
        <f>T("   PARTIES")</f>
        <v xml:space="preserve">   PARTIES</v>
      </c>
      <c r="C13715" s="4">
        <v>7791</v>
      </c>
      <c r="D13715" s="4">
        <v>51153387</v>
      </c>
    </row>
    <row r="13716" spans="1:4" x14ac:dyDescent="0.25">
      <c r="A13716" t="str">
        <f>T("   841720")</f>
        <v xml:space="preserve">   841720</v>
      </c>
      <c r="B13716" t="str">
        <f>T("   FOURS DE BOULANGERIE, DE PATISSERIE OU DE BISCUITERIE")</f>
        <v xml:space="preserve">   FOURS DE BOULANGERIE, DE PATISSERIE OU DE BISCUITERIE</v>
      </c>
      <c r="C13716" s="4">
        <v>1820</v>
      </c>
      <c r="D13716" s="4">
        <v>4691158</v>
      </c>
    </row>
    <row r="13717" spans="1:4" x14ac:dyDescent="0.25">
      <c r="A13717" t="str">
        <f>T("   841780")</f>
        <v xml:space="preserve">   841780</v>
      </c>
      <c r="B13717" t="str">
        <f>T("   AUTRES")</f>
        <v xml:space="preserve">   AUTRES</v>
      </c>
      <c r="C13717" s="4">
        <v>10466.700000000001</v>
      </c>
      <c r="D13717" s="4">
        <v>61263961</v>
      </c>
    </row>
    <row r="13718" spans="1:4" x14ac:dyDescent="0.25">
      <c r="A13718" t="str">
        <f>T("   841790")</f>
        <v xml:space="preserve">   841790</v>
      </c>
      <c r="B13718" t="str">
        <f>T("   PARTIES")</f>
        <v xml:space="preserve">   PARTIES</v>
      </c>
      <c r="C13718" s="4">
        <v>5321</v>
      </c>
      <c r="D13718" s="4">
        <v>35781615</v>
      </c>
    </row>
    <row r="13719" spans="1:4" x14ac:dyDescent="0.25">
      <c r="A13719" t="str">
        <f>T("   841810")</f>
        <v xml:space="preserve">   841810</v>
      </c>
      <c r="B13719" t="str">
        <f>T("   COMBINAISONS DE REFRIGERATEURS ET DE CONGELATEURSCONSERVATEURS MUNIS DE PORTES EXTER")</f>
        <v xml:space="preserve">   COMBINAISONS DE REFRIGERATEURS ET DE CONGELATEURSCONSERVATEURS MUNIS DE PORTES EXTER</v>
      </c>
      <c r="C13719" s="4">
        <v>245268</v>
      </c>
      <c r="D13719" s="4">
        <v>190804626</v>
      </c>
    </row>
    <row r="13720" spans="1:4" x14ac:dyDescent="0.25">
      <c r="A13720" t="str">
        <f>T("   841821")</f>
        <v xml:space="preserve">   841821</v>
      </c>
      <c r="B13720" t="str">
        <f>T("   A COMPRESSION")</f>
        <v xml:space="preserve">   A COMPRESSION</v>
      </c>
      <c r="C13720" s="4">
        <v>339048</v>
      </c>
      <c r="D13720" s="4">
        <v>568601730</v>
      </c>
    </row>
    <row r="13721" spans="1:4" x14ac:dyDescent="0.25">
      <c r="A13721" t="str">
        <f>T("   841822")</f>
        <v xml:space="preserve">   841822</v>
      </c>
      <c r="B13721" t="str">
        <f>T("   REFRIGERATEURS MENAGERS ELECTRIQUES A ABSORPTION")</f>
        <v xml:space="preserve">   REFRIGERATEURS MENAGERS ELECTRIQUES A ABSORPTION</v>
      </c>
      <c r="C13721" s="4">
        <v>3350</v>
      </c>
      <c r="D13721" s="4">
        <v>2869496</v>
      </c>
    </row>
    <row r="13722" spans="1:4" x14ac:dyDescent="0.25">
      <c r="A13722" t="str">
        <f>T("   841829")</f>
        <v xml:space="preserve">   841829</v>
      </c>
      <c r="B13722" t="str">
        <f>T("   AUTRES")</f>
        <v xml:space="preserve">   AUTRES</v>
      </c>
      <c r="C13722" s="4">
        <v>1982145.65</v>
      </c>
      <c r="D13722" s="4">
        <v>1246272683</v>
      </c>
    </row>
    <row r="13723" spans="1:4" x14ac:dyDescent="0.25">
      <c r="A13723" t="str">
        <f>T("   841830")</f>
        <v xml:space="preserve">   841830</v>
      </c>
      <c r="B13723" t="str">
        <f>T("   MEUBLES CONGELATEURSCONSERVATEURS DU TYPE COFFRE, D'UNE CAPACITE N'EXCEDANT PAS 800 ")</f>
        <v xml:space="preserve">   MEUBLES CONGELATEURSCONSERVATEURS DU TYPE COFFRE, D'UNE CAPACITE N'EXCEDANT PAS 800 </v>
      </c>
      <c r="C13723" s="4">
        <v>121093.2</v>
      </c>
      <c r="D13723" s="4">
        <v>181046489</v>
      </c>
    </row>
    <row r="13724" spans="1:4" x14ac:dyDescent="0.25">
      <c r="A13724" t="str">
        <f>T("   841840")</f>
        <v xml:space="preserve">   841840</v>
      </c>
      <c r="B13724" t="str">
        <f>T("   MEUBLES CONGELATEURSCONSERVATEURS DU TYPE ARMOIRE, D'UNE CAPACITE N'EXCEDANT PAS 900")</f>
        <v xml:space="preserve">   MEUBLES CONGELATEURSCONSERVATEURS DU TYPE ARMOIRE, D'UNE CAPACITE N'EXCEDANT PAS 900</v>
      </c>
      <c r="C13724" s="4">
        <v>18492</v>
      </c>
      <c r="D13724" s="4">
        <v>38831767</v>
      </c>
    </row>
    <row r="13725" spans="1:4" x14ac:dyDescent="0.25">
      <c r="A13725" t="str">
        <f>T("   841850")</f>
        <v xml:space="preserve">   841850</v>
      </c>
      <c r="B13725" t="str">
        <f>T("   AUTRES MEUBLES (COFFRES, ARMOIRES, VITRINES, COMPTOIRS ET SIMILAIRES), POUR LA CONSER")</f>
        <v xml:space="preserve">   AUTRES MEUBLES (COFFRES, ARMOIRES, VITRINES, COMPTOIRS ET SIMILAIRES), POUR LA CONSER</v>
      </c>
      <c r="C13725" s="4">
        <v>216285</v>
      </c>
      <c r="D13725" s="4">
        <v>444615025</v>
      </c>
    </row>
    <row r="13726" spans="1:4" x14ac:dyDescent="0.25">
      <c r="A13726" t="str">
        <f>T("   841861")</f>
        <v xml:space="preserve">   841861</v>
      </c>
      <c r="B13726" t="str">
        <f>T("   POMPES A CHALEUR AUTRES QUE LES MACHINES ET APPAREILS POUR LE CONDITIONNEMENT DE L'A")</f>
        <v xml:space="preserve">   POMPES A CHALEUR AUTRES QUE LES MACHINES ET APPAREILS POUR LE CONDITIONNEMENT DE L'A</v>
      </c>
      <c r="C13726" s="4">
        <v>5295</v>
      </c>
      <c r="D13726" s="4">
        <v>10618680</v>
      </c>
    </row>
    <row r="13727" spans="1:4" x14ac:dyDescent="0.25">
      <c r="A13727" t="str">
        <f>T("   841869")</f>
        <v xml:space="preserve">   841869</v>
      </c>
      <c r="B13727" t="str">
        <f>T("   AUTRES")</f>
        <v xml:space="preserve">   AUTRES</v>
      </c>
      <c r="C13727" s="4">
        <v>60494.5</v>
      </c>
      <c r="D13727" s="4">
        <v>223924953</v>
      </c>
    </row>
    <row r="13728" spans="1:4" x14ac:dyDescent="0.25">
      <c r="A13728" t="str">
        <f>T("   841891")</f>
        <v xml:space="preserve">   841891</v>
      </c>
      <c r="B13728" t="str">
        <f>T("   Meubles concus pour recevoir un equipement pour la production du froid")</f>
        <v xml:space="preserve">   Meubles concus pour recevoir un equipement pour la production du froid</v>
      </c>
      <c r="C13728" s="4">
        <v>151710</v>
      </c>
      <c r="D13728" s="4">
        <v>184414295</v>
      </c>
    </row>
    <row r="13729" spans="1:4" x14ac:dyDescent="0.25">
      <c r="A13729" t="str">
        <f>T("   841899")</f>
        <v xml:space="preserve">   841899</v>
      </c>
      <c r="B13729" t="str">
        <f>T("   AUTRES")</f>
        <v xml:space="preserve">   AUTRES</v>
      </c>
      <c r="C13729" s="4">
        <v>236879</v>
      </c>
      <c r="D13729" s="4">
        <v>448294585</v>
      </c>
    </row>
    <row r="13730" spans="1:4" x14ac:dyDescent="0.25">
      <c r="A13730" t="str">
        <f>T("   841911")</f>
        <v xml:space="preserve">   841911</v>
      </c>
      <c r="B13730" t="str">
        <f>T("   A CHAUFFAGE INSTANTANE, A GAZ")</f>
        <v xml:space="preserve">   A CHAUFFAGE INSTANTANE, A GAZ</v>
      </c>
      <c r="C13730" s="4">
        <v>2350</v>
      </c>
      <c r="D13730" s="4">
        <v>3568272</v>
      </c>
    </row>
    <row r="13731" spans="1:4" x14ac:dyDescent="0.25">
      <c r="A13731" t="str">
        <f>T("   841919")</f>
        <v xml:space="preserve">   841919</v>
      </c>
      <c r="B13731" t="str">
        <f>T("   AUTRES")</f>
        <v xml:space="preserve">   AUTRES</v>
      </c>
      <c r="C13731" s="4">
        <v>10669</v>
      </c>
      <c r="D13731" s="4">
        <v>8245275</v>
      </c>
    </row>
    <row r="13732" spans="1:4" x14ac:dyDescent="0.25">
      <c r="A13732" t="str">
        <f>T("   841920")</f>
        <v xml:space="preserve">   841920</v>
      </c>
      <c r="B13732" t="str">
        <f>T("   STERILISATEURS MEDICOCHIRURGICAUX OU DE LABORATOIRES")</f>
        <v xml:space="preserve">   STERILISATEURS MEDICOCHIRURGICAUX OU DE LABORATOIRES</v>
      </c>
      <c r="C13732" s="4">
        <v>1868</v>
      </c>
      <c r="D13732" s="4">
        <v>23062234</v>
      </c>
    </row>
    <row r="13733" spans="1:4" x14ac:dyDescent="0.25">
      <c r="A13733" t="str">
        <f>T("   841932")</f>
        <v xml:space="preserve">   841932</v>
      </c>
      <c r="B13733" t="str">
        <f>T("   POUR LE BOIS, LES PATES A PAPIER, PAPIERS OU CARTONS")</f>
        <v xml:space="preserve">   POUR LE BOIS, LES PATES A PAPIER, PAPIERS OU CARTONS</v>
      </c>
      <c r="C13733" s="4">
        <v>2194</v>
      </c>
      <c r="D13733" s="4">
        <v>4052266</v>
      </c>
    </row>
    <row r="13734" spans="1:4" x14ac:dyDescent="0.25">
      <c r="A13734" t="str">
        <f>T("   841939")</f>
        <v xml:space="preserve">   841939</v>
      </c>
      <c r="B13734" t="str">
        <f>T("   AUTRES")</f>
        <v xml:space="preserve">   AUTRES</v>
      </c>
      <c r="C13734" s="4">
        <v>138</v>
      </c>
      <c r="D13734" s="4">
        <v>2067121</v>
      </c>
    </row>
    <row r="13735" spans="1:4" x14ac:dyDescent="0.25">
      <c r="A13735" t="str">
        <f>T("   841940")</f>
        <v xml:space="preserve">   841940</v>
      </c>
      <c r="B13735" t="str">
        <f>T("   APPAREILS DE DISTILLATION OU DE RECTIFICATION")</f>
        <v xml:space="preserve">   APPAREILS DE DISTILLATION OU DE RECTIFICATION</v>
      </c>
      <c r="C13735" s="4">
        <v>100</v>
      </c>
      <c r="D13735" s="4">
        <v>2828598</v>
      </c>
    </row>
    <row r="13736" spans="1:4" x14ac:dyDescent="0.25">
      <c r="A13736" t="str">
        <f>T("   841950")</f>
        <v xml:space="preserve">   841950</v>
      </c>
      <c r="B13736" t="str">
        <f>T("   Echangeurs de chaleur")</f>
        <v xml:space="preserve">   Echangeurs de chaleur</v>
      </c>
      <c r="C13736" s="4">
        <v>46495</v>
      </c>
      <c r="D13736" s="4">
        <v>389659728</v>
      </c>
    </row>
    <row r="13737" spans="1:4" x14ac:dyDescent="0.25">
      <c r="A13737" t="str">
        <f>T("   841960")</f>
        <v xml:space="preserve">   841960</v>
      </c>
      <c r="B13737" t="str">
        <f>T("   APPAREILS ET DISPOSITIFS POUR LA LIQUEFACTION DE L'AIR OU D'AUTRES GAZ")</f>
        <v xml:space="preserve">   APPAREILS ET DISPOSITIFS POUR LA LIQUEFACTION DE L'AIR OU D'AUTRES GAZ</v>
      </c>
      <c r="C13737" s="4">
        <v>7077</v>
      </c>
      <c r="D13737" s="4">
        <v>2995680</v>
      </c>
    </row>
    <row r="13738" spans="1:4" x14ac:dyDescent="0.25">
      <c r="A13738" t="str">
        <f>T("   841989")</f>
        <v xml:space="preserve">   841989</v>
      </c>
      <c r="B13738" t="str">
        <f>T("   AUTRES")</f>
        <v xml:space="preserve">   AUTRES</v>
      </c>
      <c r="C13738" s="4">
        <v>30576</v>
      </c>
      <c r="D13738" s="4">
        <v>169129106</v>
      </c>
    </row>
    <row r="13739" spans="1:4" x14ac:dyDescent="0.25">
      <c r="A13739" t="str">
        <f>T("   841990")</f>
        <v xml:space="preserve">   841990</v>
      </c>
      <c r="B13739" t="str">
        <f>T("   PARTIES")</f>
        <v xml:space="preserve">   PARTIES</v>
      </c>
      <c r="C13739" s="4">
        <v>193</v>
      </c>
      <c r="D13739" s="4">
        <v>2804631</v>
      </c>
    </row>
    <row r="13740" spans="1:4" x14ac:dyDescent="0.25">
      <c r="A13740" t="str">
        <f>T("   842010")</f>
        <v xml:space="preserve">   842010</v>
      </c>
      <c r="B13740" t="str">
        <f>T("   Calandres et laminoirs")</f>
        <v xml:space="preserve">   Calandres et laminoirs</v>
      </c>
      <c r="C13740" s="4">
        <v>288</v>
      </c>
      <c r="D13740" s="4">
        <v>1316935</v>
      </c>
    </row>
    <row r="13741" spans="1:4" x14ac:dyDescent="0.25">
      <c r="A13741" t="str">
        <f>T("   842099")</f>
        <v xml:space="preserve">   842099</v>
      </c>
      <c r="B13741" t="str">
        <f>T("   AUTRES")</f>
        <v xml:space="preserve">   AUTRES</v>
      </c>
      <c r="C13741" s="4">
        <v>36</v>
      </c>
      <c r="D13741" s="4">
        <v>84449</v>
      </c>
    </row>
    <row r="13742" spans="1:4" x14ac:dyDescent="0.25">
      <c r="A13742" t="str">
        <f>T("   842119")</f>
        <v xml:space="preserve">   842119</v>
      </c>
      <c r="B13742" t="str">
        <f>T("   AUTRES")</f>
        <v xml:space="preserve">   AUTRES</v>
      </c>
      <c r="C13742" s="4">
        <v>979.64</v>
      </c>
      <c r="D13742" s="4">
        <v>15641404</v>
      </c>
    </row>
    <row r="13743" spans="1:4" x14ac:dyDescent="0.25">
      <c r="A13743" t="str">
        <f>T("   842121")</f>
        <v xml:space="preserve">   842121</v>
      </c>
      <c r="B13743" t="str">
        <f>T("   POUR LA FILTRATION OU L'EPURATION DES EAUX")</f>
        <v xml:space="preserve">   POUR LA FILTRATION OU L'EPURATION DES EAUX</v>
      </c>
      <c r="C13743" s="4">
        <v>103522.5</v>
      </c>
      <c r="D13743" s="4">
        <v>929444248</v>
      </c>
    </row>
    <row r="13744" spans="1:4" x14ac:dyDescent="0.25">
      <c r="A13744" t="str">
        <f>T("   842122")</f>
        <v xml:space="preserve">   842122</v>
      </c>
      <c r="B13744" t="str">
        <f>T("   POUR LA FILTRATION OU L'EPURATION DES BOISSONS AUTRES QUE L'EAU")</f>
        <v xml:space="preserve">   POUR LA FILTRATION OU L'EPURATION DES BOISSONS AUTRES QUE L'EAU</v>
      </c>
      <c r="C13744" s="4">
        <v>4747</v>
      </c>
      <c r="D13744" s="4">
        <v>95903976</v>
      </c>
    </row>
    <row r="13745" spans="1:4" x14ac:dyDescent="0.25">
      <c r="A13745" t="str">
        <f>T("   842123")</f>
        <v xml:space="preserve">   842123</v>
      </c>
      <c r="B13745" t="str">
        <f>T("   POUR LA FILTRATION DES HUILES MINERALES DANS LES MOTEURS A ALLUMAGE PAR ETINCELLES O")</f>
        <v xml:space="preserve">   POUR LA FILTRATION DES HUILES MINERALES DANS LES MOTEURS A ALLUMAGE PAR ETINCELLES O</v>
      </c>
      <c r="C13745" s="4">
        <v>35361.800000000003</v>
      </c>
      <c r="D13745" s="4">
        <v>604260433</v>
      </c>
    </row>
    <row r="13746" spans="1:4" x14ac:dyDescent="0.25">
      <c r="A13746" t="str">
        <f>T("   842129")</f>
        <v xml:space="preserve">   842129</v>
      </c>
      <c r="B13746" t="str">
        <f>T("   AUTRES")</f>
        <v xml:space="preserve">   AUTRES</v>
      </c>
      <c r="C13746" s="4">
        <v>20078.8</v>
      </c>
      <c r="D13746" s="4">
        <v>187912357</v>
      </c>
    </row>
    <row r="13747" spans="1:4" x14ac:dyDescent="0.25">
      <c r="A13747" t="str">
        <f>T("   842131")</f>
        <v xml:space="preserve">   842131</v>
      </c>
      <c r="B13747" t="str">
        <f>T("   FILTRES D'ENTREE D'AIR POUR MOTEURS A ALLUMAGE PAR ETINCELLES OU PAR COMPRESSION")</f>
        <v xml:space="preserve">   FILTRES D'ENTREE D'AIR POUR MOTEURS A ALLUMAGE PAR ETINCELLES OU PAR COMPRESSION</v>
      </c>
      <c r="C13747" s="4">
        <v>35957</v>
      </c>
      <c r="D13747" s="4">
        <v>178183399</v>
      </c>
    </row>
    <row r="13748" spans="1:4" x14ac:dyDescent="0.25">
      <c r="A13748" t="str">
        <f>T("   842139")</f>
        <v xml:space="preserve">   842139</v>
      </c>
      <c r="B13748" t="str">
        <f>T("   AUTRES")</f>
        <v xml:space="preserve">   AUTRES</v>
      </c>
      <c r="C13748" s="4">
        <v>22000.61</v>
      </c>
      <c r="D13748" s="4">
        <v>211226859</v>
      </c>
    </row>
    <row r="13749" spans="1:4" x14ac:dyDescent="0.25">
      <c r="A13749" t="str">
        <f>T("   842191")</f>
        <v xml:space="preserve">   842191</v>
      </c>
      <c r="B13749" t="str">
        <f>T("   DE CENTRIFUGEUSES, Y COMPRIS D'ESSOREUSES CENTRIFUGES")</f>
        <v xml:space="preserve">   DE CENTRIFUGEUSES, Y COMPRIS D'ESSOREUSES CENTRIFUGES</v>
      </c>
      <c r="C13749" s="4">
        <v>73377.899999999994</v>
      </c>
      <c r="D13749" s="4">
        <v>220122701</v>
      </c>
    </row>
    <row r="13750" spans="1:4" x14ac:dyDescent="0.25">
      <c r="A13750" t="str">
        <f>T("   842199")</f>
        <v xml:space="preserve">   842199</v>
      </c>
      <c r="B13750" t="str">
        <f>T("   AUTRES")</f>
        <v xml:space="preserve">   AUTRES</v>
      </c>
      <c r="C13750" s="4">
        <v>59629.71</v>
      </c>
      <c r="D13750" s="4">
        <v>232376893</v>
      </c>
    </row>
    <row r="13751" spans="1:4" x14ac:dyDescent="0.25">
      <c r="A13751" t="str">
        <f>T("   842211")</f>
        <v xml:space="preserve">   842211</v>
      </c>
      <c r="B13751" t="str">
        <f>T("   DE TYPE MENAGER")</f>
        <v xml:space="preserve">   DE TYPE MENAGER</v>
      </c>
      <c r="C13751" s="4">
        <v>4642</v>
      </c>
      <c r="D13751" s="4">
        <v>4957053</v>
      </c>
    </row>
    <row r="13752" spans="1:4" x14ac:dyDescent="0.25">
      <c r="A13752" t="str">
        <f>T("   842219")</f>
        <v xml:space="preserve">   842219</v>
      </c>
      <c r="B13752" t="str">
        <f>T("   AUTRES")</f>
        <v xml:space="preserve">   AUTRES</v>
      </c>
      <c r="C13752" s="4">
        <v>72312</v>
      </c>
      <c r="D13752" s="4">
        <v>6498260</v>
      </c>
    </row>
    <row r="13753" spans="1:4" x14ac:dyDescent="0.25">
      <c r="A13753" t="str">
        <f>T("   842220")</f>
        <v xml:space="preserve">   842220</v>
      </c>
      <c r="B13753" t="str">
        <f>T("   MACHINES ET APPAREILS SERVANT A NETTOYER OU A SECHER LES BOUTEILLES OU AUTRES RECIPIE")</f>
        <v xml:space="preserve">   MACHINES ET APPAREILS SERVANT A NETTOYER OU A SECHER LES BOUTEILLES OU AUTRES RECIPIE</v>
      </c>
      <c r="C13753" s="4">
        <v>147789</v>
      </c>
      <c r="D13753" s="4">
        <v>958804608</v>
      </c>
    </row>
    <row r="13754" spans="1:4" x14ac:dyDescent="0.25">
      <c r="A13754" t="str">
        <f>T("   842230")</f>
        <v xml:space="preserve">   842230</v>
      </c>
      <c r="B13754" t="str">
        <f>T("   MACHINES ET APPAREILS A REMPLIR, FERMER, BOUCHER OU ETIQUETER LES BOUTEILLES, BOITES,")</f>
        <v xml:space="preserve">   MACHINES ET APPAREILS A REMPLIR, FERMER, BOUCHER OU ETIQUETER LES BOUTEILLES, BOITES,</v>
      </c>
      <c r="C13754" s="4">
        <v>15661.5</v>
      </c>
      <c r="D13754" s="4">
        <v>111553156</v>
      </c>
    </row>
    <row r="13755" spans="1:4" x14ac:dyDescent="0.25">
      <c r="A13755" t="str">
        <f>T("   842240")</f>
        <v xml:space="preserve">   842240</v>
      </c>
      <c r="B13755" t="str">
        <f>T("   AUTRES MACHINES ET APPAREILS A EMPAQUETER OU A EMBALLER LES MARCHANDISES (Y COMPRIS L")</f>
        <v xml:space="preserve">   AUTRES MACHINES ET APPAREILS A EMPAQUETER OU A EMBALLER LES MARCHANDISES (Y COMPRIS L</v>
      </c>
      <c r="C13755" s="4">
        <v>55209</v>
      </c>
      <c r="D13755" s="4">
        <v>130077999</v>
      </c>
    </row>
    <row r="13756" spans="1:4" x14ac:dyDescent="0.25">
      <c r="A13756" t="str">
        <f>T("   842290")</f>
        <v xml:space="preserve">   842290</v>
      </c>
      <c r="B13756" t="str">
        <f>T("   PARTIES")</f>
        <v xml:space="preserve">   PARTIES</v>
      </c>
      <c r="C13756" s="4">
        <v>102262.25</v>
      </c>
      <c r="D13756" s="4">
        <v>2886099534</v>
      </c>
    </row>
    <row r="13757" spans="1:4" x14ac:dyDescent="0.25">
      <c r="A13757" t="str">
        <f>T("   842310")</f>
        <v xml:space="preserve">   842310</v>
      </c>
      <c r="B13757" t="str">
        <f>T("   PESEPERSONNES, Y COMPRIS LES PESEBEBES; BALANCES DE MENAGE")</f>
        <v xml:space="preserve">   PESEPERSONNES, Y COMPRIS LES PESEBEBES; BALANCES DE MENAGE</v>
      </c>
      <c r="C13757" s="4">
        <v>5854.2</v>
      </c>
      <c r="D13757" s="4">
        <v>47388943</v>
      </c>
    </row>
    <row r="13758" spans="1:4" x14ac:dyDescent="0.25">
      <c r="A13758" t="str">
        <f>T("   842320")</f>
        <v xml:space="preserve">   842320</v>
      </c>
      <c r="B13758" t="str">
        <f>T("   Bascules a pesage continu sur transporteurs")</f>
        <v xml:space="preserve">   Bascules a pesage continu sur transporteurs</v>
      </c>
      <c r="C13758" s="4">
        <v>43910</v>
      </c>
      <c r="D13758" s="4">
        <v>25956290</v>
      </c>
    </row>
    <row r="13759" spans="1:4" x14ac:dyDescent="0.25">
      <c r="A13759" t="str">
        <f>T("   842330")</f>
        <v xml:space="preserve">   842330</v>
      </c>
      <c r="B13759" t="str">
        <f>T("   BASCULES A PESEES CONSTANTES ET BALANCES ET BASCULES ENSACHEUSES OU DOSEUSES")</f>
        <v xml:space="preserve">   BASCULES A PESEES CONSTANTES ET BALANCES ET BASCULES ENSACHEUSES OU DOSEUSES</v>
      </c>
      <c r="C13759" s="4">
        <v>419</v>
      </c>
      <c r="D13759" s="4">
        <v>4440023</v>
      </c>
    </row>
    <row r="13760" spans="1:4" x14ac:dyDescent="0.25">
      <c r="A13760" t="str">
        <f>T("   842381")</f>
        <v xml:space="preserve">   842381</v>
      </c>
      <c r="B13760" t="str">
        <f>T("   D'UNE PORTEE N'EXCEDANT PAS 30 KG")</f>
        <v xml:space="preserve">   D'UNE PORTEE N'EXCEDANT PAS 30 KG</v>
      </c>
      <c r="C13760" s="4">
        <v>352.5</v>
      </c>
      <c r="D13760" s="4">
        <v>4701506</v>
      </c>
    </row>
    <row r="13761" spans="1:4" x14ac:dyDescent="0.25">
      <c r="A13761" t="str">
        <f>T("   842382")</f>
        <v xml:space="preserve">   842382</v>
      </c>
      <c r="B13761" t="str">
        <f>T("   D'UNE PORTEE EXCEDANT 30 KG MAIS N'EXCEDANT PAS 5.000 KG")</f>
        <v xml:space="preserve">   D'UNE PORTEE EXCEDANT 30 KG MAIS N'EXCEDANT PAS 5.000 KG</v>
      </c>
      <c r="C13761" s="4">
        <v>1745</v>
      </c>
      <c r="D13761" s="4">
        <v>7327390</v>
      </c>
    </row>
    <row r="13762" spans="1:4" x14ac:dyDescent="0.25">
      <c r="A13762" t="str">
        <f>T("   842389")</f>
        <v xml:space="preserve">   842389</v>
      </c>
      <c r="B13762" t="str">
        <f>T("   AUTRES")</f>
        <v xml:space="preserve">   AUTRES</v>
      </c>
      <c r="C13762" s="4">
        <v>20917.599999999999</v>
      </c>
      <c r="D13762" s="4">
        <v>53458916</v>
      </c>
    </row>
    <row r="13763" spans="1:4" x14ac:dyDescent="0.25">
      <c r="A13763" t="str">
        <f>T("   842390")</f>
        <v xml:space="preserve">   842390</v>
      </c>
      <c r="B13763" t="str">
        <f>T("   POIDS POUR TOUTES BALANCES; PARTIES D'APPAREILS OU INSTRUMENTS DE PESAGE")</f>
        <v xml:space="preserve">   POIDS POUR TOUTES BALANCES; PARTIES D'APPAREILS OU INSTRUMENTS DE PESAGE</v>
      </c>
      <c r="C13763" s="4">
        <v>37982.6</v>
      </c>
      <c r="D13763" s="4">
        <v>155415736</v>
      </c>
    </row>
    <row r="13764" spans="1:4" x14ac:dyDescent="0.25">
      <c r="A13764" t="str">
        <f>T("   842410")</f>
        <v xml:space="preserve">   842410</v>
      </c>
      <c r="B13764" t="str">
        <f>T("   EXTINCTEURS, MEME CHARGES")</f>
        <v xml:space="preserve">   EXTINCTEURS, MEME CHARGES</v>
      </c>
      <c r="C13764" s="4">
        <v>23356.799999999999</v>
      </c>
      <c r="D13764" s="4">
        <v>37097242</v>
      </c>
    </row>
    <row r="13765" spans="1:4" x14ac:dyDescent="0.25">
      <c r="A13765" t="str">
        <f>T("   842420")</f>
        <v xml:space="preserve">   842420</v>
      </c>
      <c r="B13765" t="str">
        <f>T("   Pistolets aerographes et appareils similaires")</f>
        <v xml:space="preserve">   Pistolets aerographes et appareils similaires</v>
      </c>
      <c r="C13765" s="4">
        <v>274</v>
      </c>
      <c r="D13765" s="4">
        <v>605157</v>
      </c>
    </row>
    <row r="13766" spans="1:4" x14ac:dyDescent="0.25">
      <c r="A13766" t="str">
        <f>T("   842430")</f>
        <v xml:space="preserve">   842430</v>
      </c>
      <c r="B13766" t="str">
        <f>T("   MACHINES ET APPAREILS A JET DE SABLE, A JET DE VAPEUR ET APPAREILS A JET SIMILAIRES")</f>
        <v xml:space="preserve">   MACHINES ET APPAREILS A JET DE SABLE, A JET DE VAPEUR ET APPAREILS A JET SIMILAIRES</v>
      </c>
      <c r="C13766" s="4">
        <v>3279</v>
      </c>
      <c r="D13766" s="4">
        <v>21888937</v>
      </c>
    </row>
    <row r="13767" spans="1:4" x14ac:dyDescent="0.25">
      <c r="A13767" t="str">
        <f>T("   842481")</f>
        <v xml:space="preserve">   842481</v>
      </c>
      <c r="B13767" t="str">
        <f>T("   POUR L'AGRICULTURE OU L'HORTICULTURE")</f>
        <v xml:space="preserve">   POUR L'AGRICULTURE OU L'HORTICULTURE</v>
      </c>
      <c r="C13767" s="4">
        <v>75247.7</v>
      </c>
      <c r="D13767" s="4">
        <v>129277969</v>
      </c>
    </row>
    <row r="13768" spans="1:4" x14ac:dyDescent="0.25">
      <c r="A13768" t="str">
        <f>T("   842489")</f>
        <v xml:space="preserve">   842489</v>
      </c>
      <c r="B13768" t="str">
        <f>T("   AUTRES")</f>
        <v xml:space="preserve">   AUTRES</v>
      </c>
      <c r="C13768" s="4">
        <v>2611</v>
      </c>
      <c r="D13768" s="4">
        <v>14509622</v>
      </c>
    </row>
    <row r="13769" spans="1:4" x14ac:dyDescent="0.25">
      <c r="A13769" t="str">
        <f>T("   842490")</f>
        <v xml:space="preserve">   842490</v>
      </c>
      <c r="B13769" t="str">
        <f>T("   PARTIES")</f>
        <v xml:space="preserve">   PARTIES</v>
      </c>
      <c r="C13769" s="4">
        <v>32251</v>
      </c>
      <c r="D13769" s="4">
        <v>306725807</v>
      </c>
    </row>
    <row r="13770" spans="1:4" x14ac:dyDescent="0.25">
      <c r="A13770" t="str">
        <f>T("   842511")</f>
        <v xml:space="preserve">   842511</v>
      </c>
      <c r="B13770" t="str">
        <f>T("   A MOTEUR ELECTRIQUE")</f>
        <v xml:space="preserve">   A MOTEUR ELECTRIQUE</v>
      </c>
      <c r="C13770" s="4">
        <v>5</v>
      </c>
      <c r="D13770" s="4">
        <v>146935</v>
      </c>
    </row>
    <row r="13771" spans="1:4" x14ac:dyDescent="0.25">
      <c r="A13771" t="str">
        <f>T("   842519")</f>
        <v xml:space="preserve">   842519</v>
      </c>
      <c r="B13771" t="str">
        <f>T("   AUTRES")</f>
        <v xml:space="preserve">   AUTRES</v>
      </c>
      <c r="C13771" s="4">
        <v>12670</v>
      </c>
      <c r="D13771" s="4">
        <v>11635337</v>
      </c>
    </row>
    <row r="13772" spans="1:4" x14ac:dyDescent="0.25">
      <c r="A13772" t="str">
        <f>T("   842531")</f>
        <v xml:space="preserve">   842531</v>
      </c>
      <c r="B13772" t="str">
        <f>T("   A MOTEUR ELECTRIQUE")</f>
        <v xml:space="preserve">   A MOTEUR ELECTRIQUE</v>
      </c>
      <c r="C13772" s="4">
        <v>3413</v>
      </c>
      <c r="D13772" s="4">
        <v>36874670</v>
      </c>
    </row>
    <row r="13773" spans="1:4" x14ac:dyDescent="0.25">
      <c r="A13773" t="str">
        <f>T("   842539")</f>
        <v xml:space="preserve">   842539</v>
      </c>
      <c r="B13773" t="str">
        <f>T("   AUTRES")</f>
        <v xml:space="preserve">   AUTRES</v>
      </c>
      <c r="C13773" s="4">
        <v>48802.5</v>
      </c>
      <c r="D13773" s="4">
        <v>377295980</v>
      </c>
    </row>
    <row r="13774" spans="1:4" x14ac:dyDescent="0.25">
      <c r="A13774" t="str">
        <f>T("   842542")</f>
        <v xml:space="preserve">   842542</v>
      </c>
      <c r="B13774" t="str">
        <f>T("   AUTRES CRICS ET VERINS, HYDRAULIQUES")</f>
        <v xml:space="preserve">   AUTRES CRICS ET VERINS, HYDRAULIQUES</v>
      </c>
      <c r="C13774" s="4">
        <v>13521</v>
      </c>
      <c r="D13774" s="4">
        <v>173355778</v>
      </c>
    </row>
    <row r="13775" spans="1:4" x14ac:dyDescent="0.25">
      <c r="A13775" t="str">
        <f>T("   842549")</f>
        <v xml:space="preserve">   842549</v>
      </c>
      <c r="B13775" t="str">
        <f>T("   AUTRES")</f>
        <v xml:space="preserve">   AUTRES</v>
      </c>
      <c r="C13775" s="4">
        <v>48975.65</v>
      </c>
      <c r="D13775" s="4">
        <v>211952946</v>
      </c>
    </row>
    <row r="13776" spans="1:4" x14ac:dyDescent="0.25">
      <c r="A13776" t="str">
        <f>T("   842611")</f>
        <v xml:space="preserve">   842611</v>
      </c>
      <c r="B13776" t="str">
        <f>T("   PONTS ROULANTS ET POUTRES ROULANTES, SUR SUPPORTS FIXES")</f>
        <v xml:space="preserve">   PONTS ROULANTS ET POUTRES ROULANTES, SUR SUPPORTS FIXES</v>
      </c>
      <c r="C13776" s="4">
        <v>2100</v>
      </c>
      <c r="D13776" s="4">
        <v>17178937</v>
      </c>
    </row>
    <row r="13777" spans="1:4" x14ac:dyDescent="0.25">
      <c r="A13777" t="str">
        <f>T("   842612")</f>
        <v xml:space="preserve">   842612</v>
      </c>
      <c r="B13777" t="str">
        <f>T("   PORTIQUES MOBILES SUR PNEUMATIQUES ET CHARIOTSCAVALIERS")</f>
        <v xml:space="preserve">   PORTIQUES MOBILES SUR PNEUMATIQUES ET CHARIOTSCAVALIERS</v>
      </c>
      <c r="C13777" s="4">
        <v>21058</v>
      </c>
      <c r="D13777" s="4">
        <v>14324085</v>
      </c>
    </row>
    <row r="13778" spans="1:4" x14ac:dyDescent="0.25">
      <c r="A13778" t="str">
        <f>T("   842619")</f>
        <v xml:space="preserve">   842619</v>
      </c>
      <c r="B13778" t="str">
        <f>T("   AUTRES")</f>
        <v xml:space="preserve">   AUTRES</v>
      </c>
      <c r="C13778" s="4">
        <v>6815</v>
      </c>
      <c r="D13778" s="4">
        <v>48458054</v>
      </c>
    </row>
    <row r="13779" spans="1:4" x14ac:dyDescent="0.25">
      <c r="A13779" t="str">
        <f>T("   842620")</f>
        <v xml:space="preserve">   842620</v>
      </c>
      <c r="B13779" t="str">
        <f>T("   Grues a tour")</f>
        <v xml:space="preserve">   Grues a tour</v>
      </c>
      <c r="C13779" s="4">
        <v>585311</v>
      </c>
      <c r="D13779" s="4">
        <v>453169416</v>
      </c>
    </row>
    <row r="13780" spans="1:4" x14ac:dyDescent="0.25">
      <c r="A13780" t="str">
        <f>T("   842630")</f>
        <v xml:space="preserve">   842630</v>
      </c>
      <c r="B13780" t="str">
        <f>T("   GRUES SUR PORTIQUES")</f>
        <v xml:space="preserve">   GRUES SUR PORTIQUES</v>
      </c>
      <c r="C13780" s="4">
        <v>41140</v>
      </c>
      <c r="D13780" s="4">
        <v>183489066</v>
      </c>
    </row>
    <row r="13781" spans="1:4" x14ac:dyDescent="0.25">
      <c r="A13781" t="str">
        <f>T("   842641")</f>
        <v xml:space="preserve">   842641</v>
      </c>
      <c r="B13781" t="str">
        <f>T("   SUR PNEUMATIQUES")</f>
        <v xml:space="preserve">   SUR PNEUMATIQUES</v>
      </c>
      <c r="C13781" s="4">
        <v>628643</v>
      </c>
      <c r="D13781" s="4">
        <v>2390280049</v>
      </c>
    </row>
    <row r="13782" spans="1:4" x14ac:dyDescent="0.25">
      <c r="A13782" t="str">
        <f>T("   842649")</f>
        <v xml:space="preserve">   842649</v>
      </c>
      <c r="B13782" t="str">
        <f>T("   AUTRES")</f>
        <v xml:space="preserve">   AUTRES</v>
      </c>
      <c r="C13782" s="4">
        <v>174543</v>
      </c>
      <c r="D13782" s="4">
        <v>474925743</v>
      </c>
    </row>
    <row r="13783" spans="1:4" x14ac:dyDescent="0.25">
      <c r="A13783" t="str">
        <f>T("   842699")</f>
        <v xml:space="preserve">   842699</v>
      </c>
      <c r="B13783" t="str">
        <f>T("   AUTRES")</f>
        <v xml:space="preserve">   AUTRES</v>
      </c>
      <c r="C13783" s="4">
        <v>57400</v>
      </c>
      <c r="D13783" s="4">
        <v>171007961</v>
      </c>
    </row>
    <row r="13784" spans="1:4" x14ac:dyDescent="0.25">
      <c r="A13784" t="str">
        <f>T("   842710")</f>
        <v xml:space="preserve">   842710</v>
      </c>
      <c r="B13784" t="str">
        <f>T("   CHARIOTS AUTOPROPULSES A MOTEUR ELECTRIQUE")</f>
        <v xml:space="preserve">   CHARIOTS AUTOPROPULSES A MOTEUR ELECTRIQUE</v>
      </c>
      <c r="C13784" s="4">
        <v>18435</v>
      </c>
      <c r="D13784" s="4">
        <v>63386877</v>
      </c>
    </row>
    <row r="13785" spans="1:4" x14ac:dyDescent="0.25">
      <c r="A13785" t="str">
        <f>T("   842720")</f>
        <v xml:space="preserve">   842720</v>
      </c>
      <c r="B13785" t="str">
        <f>T("   AUTRES CHARIOTS AUTOPROPULSES")</f>
        <v xml:space="preserve">   AUTRES CHARIOTS AUTOPROPULSES</v>
      </c>
      <c r="C13785" s="4">
        <v>149460</v>
      </c>
      <c r="D13785" s="4">
        <v>286368849</v>
      </c>
    </row>
    <row r="13786" spans="1:4" x14ac:dyDescent="0.25">
      <c r="A13786" t="str">
        <f>T("   842790")</f>
        <v xml:space="preserve">   842790</v>
      </c>
      <c r="B13786" t="str">
        <f>T("   AUTRES CHARIOTS")</f>
        <v xml:space="preserve">   AUTRES CHARIOTS</v>
      </c>
      <c r="C13786" s="4">
        <v>527874.80000000005</v>
      </c>
      <c r="D13786" s="4">
        <v>1829427139</v>
      </c>
    </row>
    <row r="13787" spans="1:4" x14ac:dyDescent="0.25">
      <c r="A13787" t="str">
        <f>T("   842810")</f>
        <v xml:space="preserve">   842810</v>
      </c>
      <c r="B13787" t="str">
        <f>T("   ASCENSEURS ET MONTECHARGE")</f>
        <v xml:space="preserve">   ASCENSEURS ET MONTECHARGE</v>
      </c>
      <c r="C13787" s="4">
        <v>39475</v>
      </c>
      <c r="D13787" s="4">
        <v>180247424</v>
      </c>
    </row>
    <row r="13788" spans="1:4" x14ac:dyDescent="0.25">
      <c r="A13788" t="str">
        <f>T("   842820")</f>
        <v xml:space="preserve">   842820</v>
      </c>
      <c r="B13788" t="str">
        <f>T("   APPAREILS ELEVATEURS OU TRANSPORTEURS, PNEUMATIQUES")</f>
        <v xml:space="preserve">   APPAREILS ELEVATEURS OU TRANSPORTEURS, PNEUMATIQUES</v>
      </c>
      <c r="C13788" s="4">
        <v>6068</v>
      </c>
      <c r="D13788" s="4">
        <v>99681882</v>
      </c>
    </row>
    <row r="13789" spans="1:4" x14ac:dyDescent="0.25">
      <c r="A13789" t="str">
        <f>T("   842831")</f>
        <v xml:space="preserve">   842831</v>
      </c>
      <c r="B13789" t="str">
        <f>T("   SPECIALEMENT CONCUS POUR MINES AU FOND OU POUR AUTRES TRAVAUX SOUTERRAINS")</f>
        <v xml:space="preserve">   SPECIALEMENT CONCUS POUR MINES AU FOND OU POUR AUTRES TRAVAUX SOUTERRAINS</v>
      </c>
      <c r="C13789" s="4">
        <v>423</v>
      </c>
      <c r="D13789" s="4">
        <v>3247724</v>
      </c>
    </row>
    <row r="13790" spans="1:4" x14ac:dyDescent="0.25">
      <c r="A13790" t="str">
        <f>T("   842833")</f>
        <v xml:space="preserve">   842833</v>
      </c>
      <c r="B13790" t="str">
        <f>T("   AUTRES, A BANDE OU A COURROIE")</f>
        <v xml:space="preserve">   AUTRES, A BANDE OU A COURROIE</v>
      </c>
      <c r="C13790" s="4">
        <v>4500</v>
      </c>
      <c r="D13790" s="4">
        <v>14924433</v>
      </c>
    </row>
    <row r="13791" spans="1:4" x14ac:dyDescent="0.25">
      <c r="A13791" t="str">
        <f>T("   842839")</f>
        <v xml:space="preserve">   842839</v>
      </c>
      <c r="B13791" t="str">
        <f>T("   AUTRES")</f>
        <v xml:space="preserve">   AUTRES</v>
      </c>
      <c r="C13791" s="4">
        <v>31887</v>
      </c>
      <c r="D13791" s="4">
        <v>152470394</v>
      </c>
    </row>
    <row r="13792" spans="1:4" x14ac:dyDescent="0.25">
      <c r="A13792" t="str">
        <f>T("   842890")</f>
        <v xml:space="preserve">   842890</v>
      </c>
      <c r="B13792" t="str">
        <f>T("   AUTRES MACHINES ET APPAREILS")</f>
        <v xml:space="preserve">   AUTRES MACHINES ET APPAREILS</v>
      </c>
      <c r="C13792" s="4">
        <v>41237</v>
      </c>
      <c r="D13792" s="4">
        <v>157482961</v>
      </c>
    </row>
    <row r="13793" spans="1:4" x14ac:dyDescent="0.25">
      <c r="A13793" t="str">
        <f>T("   842911")</f>
        <v xml:space="preserve">   842911</v>
      </c>
      <c r="B13793" t="str">
        <f>T("   A CHENILLES")</f>
        <v xml:space="preserve">   A CHENILLES</v>
      </c>
      <c r="C13793" s="4">
        <v>205082</v>
      </c>
      <c r="D13793" s="4">
        <v>266666236</v>
      </c>
    </row>
    <row r="13794" spans="1:4" x14ac:dyDescent="0.25">
      <c r="A13794" t="str">
        <f>T("   842919")</f>
        <v xml:space="preserve">   842919</v>
      </c>
      <c r="B13794" t="str">
        <f>T("   AUTRES")</f>
        <v xml:space="preserve">   AUTRES</v>
      </c>
      <c r="C13794" s="4">
        <v>118623</v>
      </c>
      <c r="D13794" s="4">
        <v>202428184</v>
      </c>
    </row>
    <row r="13795" spans="1:4" x14ac:dyDescent="0.25">
      <c r="A13795" t="str">
        <f>T("   842920")</f>
        <v xml:space="preserve">   842920</v>
      </c>
      <c r="B13795" t="str">
        <f>T("   NIVELEUSES")</f>
        <v xml:space="preserve">   NIVELEUSES</v>
      </c>
      <c r="C13795" s="4">
        <v>677732</v>
      </c>
      <c r="D13795" s="4">
        <v>1436019224</v>
      </c>
    </row>
    <row r="13796" spans="1:4" x14ac:dyDescent="0.25">
      <c r="A13796" t="str">
        <f>T("   842940")</f>
        <v xml:space="preserve">   842940</v>
      </c>
      <c r="B13796" t="str">
        <f>T("   COMPACTEUSES ET ROULEAUX COMPRESSEURS")</f>
        <v xml:space="preserve">   COMPACTEUSES ET ROULEAUX COMPRESSEURS</v>
      </c>
      <c r="C13796" s="4">
        <v>617340</v>
      </c>
      <c r="D13796" s="4">
        <v>451118745</v>
      </c>
    </row>
    <row r="13797" spans="1:4" x14ac:dyDescent="0.25">
      <c r="A13797" t="str">
        <f>T("   842951")</f>
        <v xml:space="preserve">   842951</v>
      </c>
      <c r="B13797" t="str">
        <f>T("   CHARGEUSES ET CHARGEUSESPELLETEUSES A CHARGEMENT FRONTAL")</f>
        <v xml:space="preserve">   CHARGEUSES ET CHARGEUSESPELLETEUSES A CHARGEMENT FRONTAL</v>
      </c>
      <c r="C13797" s="4">
        <v>857118</v>
      </c>
      <c r="D13797" s="4">
        <v>1263672280</v>
      </c>
    </row>
    <row r="13798" spans="1:4" x14ac:dyDescent="0.25">
      <c r="A13798" t="str">
        <f>T("   842952")</f>
        <v xml:space="preserve">   842952</v>
      </c>
      <c r="B13798" t="str">
        <f>T("   ENGINS DONT LA SUPERSTRUCTURE PEUT EFFECTUER UNE ROTATION DE 360°")</f>
        <v xml:space="preserve">   ENGINS DONT LA SUPERSTRUCTURE PEUT EFFECTUER UNE ROTATION DE 360°</v>
      </c>
      <c r="C13798" s="4">
        <v>12000</v>
      </c>
      <c r="D13798" s="4">
        <v>20286190</v>
      </c>
    </row>
    <row r="13799" spans="1:4" x14ac:dyDescent="0.25">
      <c r="A13799" t="str">
        <f>T("   842959")</f>
        <v xml:space="preserve">   842959</v>
      </c>
      <c r="B13799" t="str">
        <f>T("   AUTRES")</f>
        <v xml:space="preserve">   AUTRES</v>
      </c>
      <c r="C13799" s="4">
        <v>1140484</v>
      </c>
      <c r="D13799" s="4">
        <v>1834312657</v>
      </c>
    </row>
    <row r="13800" spans="1:4" x14ac:dyDescent="0.25">
      <c r="A13800" t="str">
        <f>T("   843041")</f>
        <v xml:space="preserve">   843041</v>
      </c>
      <c r="B13800" t="str">
        <f>T("   AUTOPROPULSEES")</f>
        <v xml:space="preserve">   AUTOPROPULSEES</v>
      </c>
      <c r="C13800" s="4">
        <v>39889</v>
      </c>
      <c r="D13800" s="4">
        <v>686302578</v>
      </c>
    </row>
    <row r="13801" spans="1:4" x14ac:dyDescent="0.25">
      <c r="A13801" t="str">
        <f>T("   843049")</f>
        <v xml:space="preserve">   843049</v>
      </c>
      <c r="B13801" t="str">
        <f>T("   AUTRES")</f>
        <v xml:space="preserve">   AUTRES</v>
      </c>
      <c r="C13801" s="4">
        <v>371186</v>
      </c>
      <c r="D13801" s="4">
        <v>517352154</v>
      </c>
    </row>
    <row r="13802" spans="1:4" x14ac:dyDescent="0.25">
      <c r="A13802" t="str">
        <f>T("   843050")</f>
        <v xml:space="preserve">   843050</v>
      </c>
      <c r="B13802" t="str">
        <f>T("   AUTRES MACHINES ET APPAREILS, AUTOPROPULSES")</f>
        <v xml:space="preserve">   AUTRES MACHINES ET APPAREILS, AUTOPROPULSES</v>
      </c>
      <c r="C13802" s="4">
        <v>140000</v>
      </c>
      <c r="D13802" s="4">
        <v>262971741</v>
      </c>
    </row>
    <row r="13803" spans="1:4" x14ac:dyDescent="0.25">
      <c r="A13803" t="str">
        <f>T("   843061")</f>
        <v xml:space="preserve">   843061</v>
      </c>
      <c r="B13803" t="str">
        <f>T("   MACHINES ET APPAREILS A TASSER OU A COMPACTER")</f>
        <v xml:space="preserve">   MACHINES ET APPAREILS A TASSER OU A COMPACTER</v>
      </c>
      <c r="C13803" s="4">
        <v>8184</v>
      </c>
      <c r="D13803" s="4">
        <v>7488498</v>
      </c>
    </row>
    <row r="13804" spans="1:4" x14ac:dyDescent="0.25">
      <c r="A13804" t="str">
        <f>T("   843069")</f>
        <v xml:space="preserve">   843069</v>
      </c>
      <c r="B13804" t="str">
        <f>T("   AUTRES")</f>
        <v xml:space="preserve">   AUTRES</v>
      </c>
      <c r="C13804" s="4">
        <v>7553</v>
      </c>
      <c r="D13804" s="4">
        <v>61460934</v>
      </c>
    </row>
    <row r="13805" spans="1:4" x14ac:dyDescent="0.25">
      <c r="A13805" t="str">
        <f>T("   843110")</f>
        <v xml:space="preserve">   843110</v>
      </c>
      <c r="B13805" t="str">
        <f>T("   DE MACHINES OU APPAREILS DU N° 84.25")</f>
        <v xml:space="preserve">   DE MACHINES OU APPAREILS DU N° 84.25</v>
      </c>
      <c r="C13805" s="4">
        <v>959.69</v>
      </c>
      <c r="D13805" s="4">
        <v>8089741</v>
      </c>
    </row>
    <row r="13806" spans="1:4" x14ac:dyDescent="0.25">
      <c r="A13806" t="str">
        <f>T("   843120")</f>
        <v xml:space="preserve">   843120</v>
      </c>
      <c r="B13806" t="str">
        <f>T("   DE MACHINES OU APPAREILS DU N° 84.27")</f>
        <v xml:space="preserve">   DE MACHINES OU APPAREILS DU N° 84.27</v>
      </c>
      <c r="C13806" s="4">
        <v>57836.21</v>
      </c>
      <c r="D13806" s="4">
        <v>816332001</v>
      </c>
    </row>
    <row r="13807" spans="1:4" x14ac:dyDescent="0.25">
      <c r="A13807" t="str">
        <f>T("   843131")</f>
        <v xml:space="preserve">   843131</v>
      </c>
      <c r="B13807" t="str">
        <f>T("   D'ASCENSEURS, MONTECHARGE OU ESCALIERS MECANIQUES")</f>
        <v xml:space="preserve">   D'ASCENSEURS, MONTECHARGE OU ESCALIERS MECANIQUES</v>
      </c>
      <c r="C13807" s="4">
        <v>187.8</v>
      </c>
      <c r="D13807" s="4">
        <v>4011955</v>
      </c>
    </row>
    <row r="13808" spans="1:4" x14ac:dyDescent="0.25">
      <c r="A13808" t="str">
        <f>T("   843139")</f>
        <v xml:space="preserve">   843139</v>
      </c>
      <c r="B13808" t="str">
        <f>T("   AUTRES")</f>
        <v xml:space="preserve">   AUTRES</v>
      </c>
      <c r="C13808" s="4">
        <v>166152.68</v>
      </c>
      <c r="D13808" s="4">
        <v>1032177502</v>
      </c>
    </row>
    <row r="13809" spans="1:4" x14ac:dyDescent="0.25">
      <c r="A13809" t="str">
        <f>T("   843141")</f>
        <v xml:space="preserve">   843141</v>
      </c>
      <c r="B13809" t="str">
        <f>T("   GODETS, BENNES, BENNESPRENEUSES, PELLES, GRAPPINS ET PINCES")</f>
        <v xml:space="preserve">   GODETS, BENNES, BENNESPRENEUSES, PELLES, GRAPPINS ET PINCES</v>
      </c>
      <c r="C13809" s="4">
        <v>228256</v>
      </c>
      <c r="D13809" s="4">
        <v>569839898</v>
      </c>
    </row>
    <row r="13810" spans="1:4" x14ac:dyDescent="0.25">
      <c r="A13810" t="str">
        <f>T("   843142")</f>
        <v xml:space="preserve">   843142</v>
      </c>
      <c r="B13810" t="str">
        <f>T("   LAMES DE BOUTEURS (BULLDOZERS) OU DE BOUTEURS BIAIS (ANGLEDOZERS)")</f>
        <v xml:space="preserve">   LAMES DE BOUTEURS (BULLDOZERS) OU DE BOUTEURS BIAIS (ANGLEDOZERS)</v>
      </c>
      <c r="C13810" s="4">
        <v>323</v>
      </c>
      <c r="D13810" s="4">
        <v>1075100</v>
      </c>
    </row>
    <row r="13811" spans="1:4" x14ac:dyDescent="0.25">
      <c r="A13811" t="str">
        <f>T("   843143")</f>
        <v xml:space="preserve">   843143</v>
      </c>
      <c r="B13811" t="str">
        <f>T("   PARTIES DE MACHINES DE SONDAGE OU DE FORAGE DES N°S 8430.41 OU 8430.49")</f>
        <v xml:space="preserve">   PARTIES DE MACHINES DE SONDAGE OU DE FORAGE DES N°S 8430.41 OU 8430.49</v>
      </c>
      <c r="C13811" s="4">
        <v>5075826.5</v>
      </c>
      <c r="D13811" s="4">
        <v>21173191822</v>
      </c>
    </row>
    <row r="13812" spans="1:4" x14ac:dyDescent="0.25">
      <c r="A13812" t="str">
        <f>T("   843149")</f>
        <v xml:space="preserve">   843149</v>
      </c>
      <c r="B13812" t="str">
        <f>T("   AUTRES")</f>
        <v xml:space="preserve">   AUTRES</v>
      </c>
      <c r="C13812" s="4">
        <v>754534.89</v>
      </c>
      <c r="D13812" s="4">
        <v>2679066535</v>
      </c>
    </row>
    <row r="13813" spans="1:4" x14ac:dyDescent="0.25">
      <c r="A13813" t="str">
        <f>T("   843210")</f>
        <v xml:space="preserve">   843210</v>
      </c>
      <c r="B13813" t="str">
        <f>T("   Charrues")</f>
        <v xml:space="preserve">   Charrues</v>
      </c>
      <c r="C13813" s="4">
        <v>81984</v>
      </c>
      <c r="D13813" s="4">
        <v>180239279</v>
      </c>
    </row>
    <row r="13814" spans="1:4" x14ac:dyDescent="0.25">
      <c r="A13814" t="str">
        <f>T("   843229")</f>
        <v xml:space="preserve">   843229</v>
      </c>
      <c r="B13814" t="str">
        <f>T("   AUTRES")</f>
        <v xml:space="preserve">   AUTRES</v>
      </c>
      <c r="C13814" s="4">
        <v>97.44</v>
      </c>
      <c r="D13814" s="4">
        <v>899912</v>
      </c>
    </row>
    <row r="13815" spans="1:4" x14ac:dyDescent="0.25">
      <c r="A13815" t="str">
        <f>T("   843230")</f>
        <v xml:space="preserve">   843230</v>
      </c>
      <c r="B13815" t="str">
        <f>T("   Semoirs, plantoirs et repiqueurs")</f>
        <v xml:space="preserve">   Semoirs, plantoirs et repiqueurs</v>
      </c>
      <c r="C13815" s="4">
        <v>15638</v>
      </c>
      <c r="D13815" s="4">
        <v>11443668</v>
      </c>
    </row>
    <row r="13816" spans="1:4" x14ac:dyDescent="0.25">
      <c r="A13816" t="str">
        <f>T("   843240")</f>
        <v xml:space="preserve">   843240</v>
      </c>
      <c r="B13816" t="str">
        <f>T("   EPANDEURS DE FUMIER ET DISTRIBUTEURS D'ENGRAIS")</f>
        <v xml:space="preserve">   EPANDEURS DE FUMIER ET DISTRIBUTEURS D'ENGRAIS</v>
      </c>
      <c r="C13816" s="4">
        <v>477</v>
      </c>
      <c r="D13816" s="4">
        <v>850586</v>
      </c>
    </row>
    <row r="13817" spans="1:4" x14ac:dyDescent="0.25">
      <c r="A13817" t="str">
        <f>T("   843280")</f>
        <v xml:space="preserve">   843280</v>
      </c>
      <c r="B13817" t="str">
        <f>T("   AUTRES MACHINES, APPAREILS ET ENGINS")</f>
        <v xml:space="preserve">   AUTRES MACHINES, APPAREILS ET ENGINS</v>
      </c>
      <c r="C13817" s="4">
        <v>57550</v>
      </c>
      <c r="D13817" s="4">
        <v>188125771</v>
      </c>
    </row>
    <row r="13818" spans="1:4" x14ac:dyDescent="0.25">
      <c r="A13818" t="str">
        <f>T("   843290")</f>
        <v xml:space="preserve">   843290</v>
      </c>
      <c r="B13818" t="str">
        <f>T("   PARTIES")</f>
        <v xml:space="preserve">   PARTIES</v>
      </c>
      <c r="C13818" s="4">
        <v>196173</v>
      </c>
      <c r="D13818" s="4">
        <v>148865919</v>
      </c>
    </row>
    <row r="13819" spans="1:4" x14ac:dyDescent="0.25">
      <c r="A13819" t="str">
        <f>T("   843311")</f>
        <v xml:space="preserve">   843311</v>
      </c>
      <c r="B13819" t="str">
        <f>T("   A MOTEUR, DONT LE DISPOSITIF DE COUPE TOURNE DANS UN PLAN HORIZONTAL")</f>
        <v xml:space="preserve">   A MOTEUR, DONT LE DISPOSITIF DE COUPE TOURNE DANS UN PLAN HORIZONTAL</v>
      </c>
      <c r="C13819" s="4">
        <v>3612.37</v>
      </c>
      <c r="D13819" s="4">
        <v>8670529</v>
      </c>
    </row>
    <row r="13820" spans="1:4" x14ac:dyDescent="0.25">
      <c r="A13820" t="str">
        <f>T("   843319")</f>
        <v xml:space="preserve">   843319</v>
      </c>
      <c r="B13820" t="str">
        <f>T("   AUTRES")</f>
        <v xml:space="preserve">   AUTRES</v>
      </c>
      <c r="C13820" s="4">
        <v>1296</v>
      </c>
      <c r="D13820" s="4">
        <v>1577356</v>
      </c>
    </row>
    <row r="13821" spans="1:4" x14ac:dyDescent="0.25">
      <c r="A13821" t="str">
        <f>T("   843351")</f>
        <v xml:space="preserve">   843351</v>
      </c>
      <c r="B13821" t="str">
        <f>T("   MOISSONNEUSESBATTEUSES")</f>
        <v xml:space="preserve">   MOISSONNEUSESBATTEUSES</v>
      </c>
      <c r="C13821" s="4">
        <v>1000</v>
      </c>
      <c r="D13821" s="4">
        <v>1860000</v>
      </c>
    </row>
    <row r="13822" spans="1:4" x14ac:dyDescent="0.25">
      <c r="A13822" t="str">
        <f>T("   843359")</f>
        <v xml:space="preserve">   843359</v>
      </c>
      <c r="B13822" t="str">
        <f>T("   AUTRES")</f>
        <v xml:space="preserve">   AUTRES</v>
      </c>
      <c r="C13822" s="4">
        <v>15523</v>
      </c>
      <c r="D13822" s="4">
        <v>11146259</v>
      </c>
    </row>
    <row r="13823" spans="1:4" x14ac:dyDescent="0.25">
      <c r="A13823" t="str">
        <f>T("   843390")</f>
        <v xml:space="preserve">   843390</v>
      </c>
      <c r="B13823" t="str">
        <f>T("   PARTIES")</f>
        <v xml:space="preserve">   PARTIES</v>
      </c>
      <c r="C13823" s="4">
        <v>4257</v>
      </c>
      <c r="D13823" s="4">
        <v>7166987</v>
      </c>
    </row>
    <row r="13824" spans="1:4" x14ac:dyDescent="0.25">
      <c r="A13824" t="str">
        <f>T("   843420")</f>
        <v xml:space="preserve">   843420</v>
      </c>
      <c r="B13824" t="str">
        <f>T("   Machines et appareils de laiterie")</f>
        <v xml:space="preserve">   Machines et appareils de laiterie</v>
      </c>
      <c r="C13824" s="4">
        <v>11480</v>
      </c>
      <c r="D13824" s="4">
        <v>162399953</v>
      </c>
    </row>
    <row r="13825" spans="1:4" x14ac:dyDescent="0.25">
      <c r="A13825" t="str">
        <f>T("   843490")</f>
        <v xml:space="preserve">   843490</v>
      </c>
      <c r="B13825" t="str">
        <f>T("   PARTIES")</f>
        <v xml:space="preserve">   PARTIES</v>
      </c>
      <c r="C13825" s="4">
        <v>772</v>
      </c>
      <c r="D13825" s="4">
        <v>447760</v>
      </c>
    </row>
    <row r="13826" spans="1:4" x14ac:dyDescent="0.25">
      <c r="A13826" t="str">
        <f>T("   843510")</f>
        <v xml:space="preserve">   843510</v>
      </c>
      <c r="B13826" t="str">
        <f>T("   MACHINES ET APPAREILS")</f>
        <v xml:space="preserve">   MACHINES ET APPAREILS</v>
      </c>
      <c r="C13826" s="4">
        <v>97370</v>
      </c>
      <c r="D13826" s="4">
        <v>29873760</v>
      </c>
    </row>
    <row r="13827" spans="1:4" x14ac:dyDescent="0.25">
      <c r="A13827" t="str">
        <f>T("   843590")</f>
        <v xml:space="preserve">   843590</v>
      </c>
      <c r="B13827" t="str">
        <f>T("   PARTIES")</f>
        <v xml:space="preserve">   PARTIES</v>
      </c>
      <c r="C13827" s="4">
        <v>15705</v>
      </c>
      <c r="D13827" s="4">
        <v>54270664</v>
      </c>
    </row>
    <row r="13828" spans="1:4" x14ac:dyDescent="0.25">
      <c r="A13828" t="str">
        <f>T("   843610")</f>
        <v xml:space="preserve">   843610</v>
      </c>
      <c r="B13828" t="str">
        <f>T("   MACHINES ET APPAREILS POUR LA PREPARATION DES ALIMENTS OU PROVENDES POUR ANIMAUX")</f>
        <v xml:space="preserve">   MACHINES ET APPAREILS POUR LA PREPARATION DES ALIMENTS OU PROVENDES POUR ANIMAUX</v>
      </c>
      <c r="C13828" s="4">
        <v>76</v>
      </c>
      <c r="D13828" s="4">
        <v>200000</v>
      </c>
    </row>
    <row r="13829" spans="1:4" x14ac:dyDescent="0.25">
      <c r="A13829" t="str">
        <f>T("   843621")</f>
        <v xml:space="preserve">   843621</v>
      </c>
      <c r="B13829" t="str">
        <f>T("   Couveuses et eleveuses")</f>
        <v xml:space="preserve">   Couveuses et eleveuses</v>
      </c>
      <c r="C13829" s="4">
        <v>11514</v>
      </c>
      <c r="D13829" s="4">
        <v>8369812</v>
      </c>
    </row>
    <row r="13830" spans="1:4" x14ac:dyDescent="0.25">
      <c r="A13830" t="str">
        <f>T("   843629")</f>
        <v xml:space="preserve">   843629</v>
      </c>
      <c r="B13830" t="str">
        <f>T("   AUTRES")</f>
        <v xml:space="preserve">   AUTRES</v>
      </c>
      <c r="C13830" s="4">
        <v>156045</v>
      </c>
      <c r="D13830" s="4">
        <v>425544205</v>
      </c>
    </row>
    <row r="13831" spans="1:4" x14ac:dyDescent="0.25">
      <c r="A13831" t="str">
        <f>T("   843680")</f>
        <v xml:space="preserve">   843680</v>
      </c>
      <c r="B13831" t="str">
        <f>T("   AUTRES MACHINES ET APPAREILS")</f>
        <v xml:space="preserve">   AUTRES MACHINES ET APPAREILS</v>
      </c>
      <c r="C13831" s="4">
        <v>29840</v>
      </c>
      <c r="D13831" s="4">
        <v>128030442</v>
      </c>
    </row>
    <row r="13832" spans="1:4" x14ac:dyDescent="0.25">
      <c r="A13832" t="str">
        <f>T("   843691")</f>
        <v xml:space="preserve">   843691</v>
      </c>
      <c r="B13832" t="str">
        <f>T("   DE MACHINES OU APPAREILS D'AVICULTURE")</f>
        <v xml:space="preserve">   DE MACHINES OU APPAREILS D'AVICULTURE</v>
      </c>
      <c r="C13832" s="4">
        <v>238</v>
      </c>
      <c r="D13832" s="4">
        <v>962923</v>
      </c>
    </row>
    <row r="13833" spans="1:4" x14ac:dyDescent="0.25">
      <c r="A13833" t="str">
        <f>T("   843699")</f>
        <v xml:space="preserve">   843699</v>
      </c>
      <c r="B13833" t="str">
        <f>T("   AUTRES")</f>
        <v xml:space="preserve">   AUTRES</v>
      </c>
      <c r="C13833" s="4">
        <v>37717</v>
      </c>
      <c r="D13833" s="4">
        <v>32065874</v>
      </c>
    </row>
    <row r="13834" spans="1:4" x14ac:dyDescent="0.25">
      <c r="A13834" t="str">
        <f>T("   843780")</f>
        <v xml:space="preserve">   843780</v>
      </c>
      <c r="B13834" t="str">
        <f>T("   AUTRES MACHINES ET APPAREILS")</f>
        <v xml:space="preserve">   AUTRES MACHINES ET APPAREILS</v>
      </c>
      <c r="C13834" s="4">
        <v>60189</v>
      </c>
      <c r="D13834" s="4">
        <v>999814168</v>
      </c>
    </row>
    <row r="13835" spans="1:4" x14ac:dyDescent="0.25">
      <c r="A13835" t="str">
        <f>T("   843790")</f>
        <v xml:space="preserve">   843790</v>
      </c>
      <c r="B13835" t="str">
        <f>T("   PARTIES")</f>
        <v xml:space="preserve">   PARTIES</v>
      </c>
      <c r="C13835" s="4">
        <v>234131.18</v>
      </c>
      <c r="D13835" s="4">
        <v>197285395</v>
      </c>
    </row>
    <row r="13836" spans="1:4" x14ac:dyDescent="0.25">
      <c r="A13836" t="str">
        <f>T("   843810")</f>
        <v xml:space="preserve">   843810</v>
      </c>
      <c r="B13836" t="str">
        <f>T("   MACHINES ET APPAREILS POUR LA BOULANGERIE, LA PATISSERIE, LA BISCUITERIE OU POUR LA F")</f>
        <v xml:space="preserve">   MACHINES ET APPAREILS POUR LA BOULANGERIE, LA PATISSERIE, LA BISCUITERIE OU POUR LA F</v>
      </c>
      <c r="C13836" s="4">
        <v>40100</v>
      </c>
      <c r="D13836" s="4">
        <v>31713148</v>
      </c>
    </row>
    <row r="13837" spans="1:4" x14ac:dyDescent="0.25">
      <c r="A13837" t="str">
        <f>T("   843840")</f>
        <v xml:space="preserve">   843840</v>
      </c>
      <c r="B13837" t="str">
        <f>T("   Machines et appareils pour la brasserie")</f>
        <v xml:space="preserve">   Machines et appareils pour la brasserie</v>
      </c>
      <c r="C13837" s="4">
        <v>173058</v>
      </c>
      <c r="D13837" s="4">
        <v>1937280773</v>
      </c>
    </row>
    <row r="13838" spans="1:4" x14ac:dyDescent="0.25">
      <c r="A13838" t="str">
        <f>T("   843860")</f>
        <v xml:space="preserve">   843860</v>
      </c>
      <c r="B13838" t="str">
        <f>T("   MACHINES ET APPAREILS POUR LA PREPARATION DES FRUITS OU DES LEGUMES")</f>
        <v xml:space="preserve">   MACHINES ET APPAREILS POUR LA PREPARATION DES FRUITS OU DES LEGUMES</v>
      </c>
      <c r="C13838" s="4">
        <v>72470</v>
      </c>
      <c r="D13838" s="4">
        <v>504085011</v>
      </c>
    </row>
    <row r="13839" spans="1:4" x14ac:dyDescent="0.25">
      <c r="A13839" t="str">
        <f>T("   843880")</f>
        <v xml:space="preserve">   843880</v>
      </c>
      <c r="B13839" t="str">
        <f>T("   AUTRES MACHINES ET APPAREILS")</f>
        <v xml:space="preserve">   AUTRES MACHINES ET APPAREILS</v>
      </c>
      <c r="C13839" s="4">
        <v>678441</v>
      </c>
      <c r="D13839" s="4">
        <v>1262503321</v>
      </c>
    </row>
    <row r="13840" spans="1:4" x14ac:dyDescent="0.25">
      <c r="A13840" t="str">
        <f>T("   843890")</f>
        <v xml:space="preserve">   843890</v>
      </c>
      <c r="B13840" t="str">
        <f>T("   PARTIES")</f>
        <v xml:space="preserve">   PARTIES</v>
      </c>
      <c r="C13840" s="4">
        <v>153652</v>
      </c>
      <c r="D13840" s="4">
        <v>1007537812</v>
      </c>
    </row>
    <row r="13841" spans="1:4" x14ac:dyDescent="0.25">
      <c r="A13841" t="str">
        <f>T("   843910")</f>
        <v xml:space="preserve">   843910</v>
      </c>
      <c r="B13841" t="str">
        <f>T("   MACHINES ET APPAREILS POUR LA FABRICATION DE LA PATE DE MATIERES FIBREUSES CELLULOSIQ")</f>
        <v xml:space="preserve">   MACHINES ET APPAREILS POUR LA FABRICATION DE LA PATE DE MATIERES FIBREUSES CELLULOSIQ</v>
      </c>
      <c r="C13841" s="4">
        <v>380</v>
      </c>
      <c r="D13841" s="4">
        <v>1974636</v>
      </c>
    </row>
    <row r="13842" spans="1:4" x14ac:dyDescent="0.25">
      <c r="A13842" t="str">
        <f>T("   843999")</f>
        <v xml:space="preserve">   843999</v>
      </c>
      <c r="B13842" t="str">
        <f>T("   AUTRES")</f>
        <v xml:space="preserve">   AUTRES</v>
      </c>
      <c r="C13842" s="4">
        <v>918</v>
      </c>
      <c r="D13842" s="4">
        <v>4052675</v>
      </c>
    </row>
    <row r="13843" spans="1:4" x14ac:dyDescent="0.25">
      <c r="A13843" t="str">
        <f>T("   844010")</f>
        <v xml:space="preserve">   844010</v>
      </c>
      <c r="B13843" t="str">
        <f>T("   MACHINES ET APPAREILS")</f>
        <v xml:space="preserve">   MACHINES ET APPAREILS</v>
      </c>
      <c r="C13843" s="4">
        <v>14182</v>
      </c>
      <c r="D13843" s="4">
        <v>12554829</v>
      </c>
    </row>
    <row r="13844" spans="1:4" x14ac:dyDescent="0.25">
      <c r="A13844" t="str">
        <f>T("   844110")</f>
        <v xml:space="preserve">   844110</v>
      </c>
      <c r="B13844" t="str">
        <f>T("   COUPEUSES")</f>
        <v xml:space="preserve">   COUPEUSES</v>
      </c>
      <c r="C13844" s="4">
        <v>184</v>
      </c>
      <c r="D13844" s="4">
        <v>1506059</v>
      </c>
    </row>
    <row r="13845" spans="1:4" x14ac:dyDescent="0.25">
      <c r="A13845" t="str">
        <f>T("   844140")</f>
        <v xml:space="preserve">   844140</v>
      </c>
      <c r="B13845" t="str">
        <f>T("   Machines a mouler les articles en pate a papier, papier ou carton")</f>
        <v xml:space="preserve">   Machines a mouler les articles en pate a papier, papier ou carton</v>
      </c>
      <c r="C13845" s="4">
        <v>10930</v>
      </c>
      <c r="D13845" s="4">
        <v>29678087</v>
      </c>
    </row>
    <row r="13846" spans="1:4" x14ac:dyDescent="0.25">
      <c r="A13846" t="str">
        <f>T("   844180")</f>
        <v xml:space="preserve">   844180</v>
      </c>
      <c r="B13846" t="str">
        <f>T("   AUTRES MACHINES ET APPAREILS")</f>
        <v xml:space="preserve">   AUTRES MACHINES ET APPAREILS</v>
      </c>
      <c r="C13846" s="4">
        <v>69795</v>
      </c>
      <c r="D13846" s="4">
        <v>65891432</v>
      </c>
    </row>
    <row r="13847" spans="1:4" x14ac:dyDescent="0.25">
      <c r="A13847" t="str">
        <f>T("   844190")</f>
        <v xml:space="preserve">   844190</v>
      </c>
      <c r="B13847" t="str">
        <f>T("   PARTIES")</f>
        <v xml:space="preserve">   PARTIES</v>
      </c>
      <c r="C13847" s="4">
        <v>360</v>
      </c>
      <c r="D13847" s="4">
        <v>581080</v>
      </c>
    </row>
    <row r="13848" spans="1:4" x14ac:dyDescent="0.25">
      <c r="A13848" t="str">
        <f>T("   844230")</f>
        <v xml:space="preserve">   844230</v>
      </c>
      <c r="B13848" t="str">
        <f>T("   MACHINES, APPAREILS ET MATERIEL")</f>
        <v xml:space="preserve">   MACHINES, APPAREILS ET MATERIEL</v>
      </c>
      <c r="C13848" s="4">
        <v>17633</v>
      </c>
      <c r="D13848" s="4">
        <v>22403685</v>
      </c>
    </row>
    <row r="13849" spans="1:4" x14ac:dyDescent="0.25">
      <c r="A13849" t="str">
        <f>T("   844240")</f>
        <v xml:space="preserve">   844240</v>
      </c>
      <c r="B13849" t="str">
        <f>T("   PARTIES DE CES MACHINES, APPAREILS OU MATERIEL")</f>
        <v xml:space="preserve">   PARTIES DE CES MACHINES, APPAREILS OU MATERIEL</v>
      </c>
      <c r="C13849" s="4">
        <v>274.7</v>
      </c>
      <c r="D13849" s="4">
        <v>1778243</v>
      </c>
    </row>
    <row r="13850" spans="1:4" x14ac:dyDescent="0.25">
      <c r="A13850" t="str">
        <f>T("   844250")</f>
        <v xml:space="preserve">   844250</v>
      </c>
      <c r="B13850" t="str">
        <f>T("   CLICHES, PLANCHES, CYLINDRES ET AUTRES ORGANES IMPRIMANTS; PIERRES LITHOGRAPHIQUES, P")</f>
        <v xml:space="preserve">   CLICHES, PLANCHES, CYLINDRES ET AUTRES ORGANES IMPRIMANTS; PIERRES LITHOGRAPHIQUES, P</v>
      </c>
      <c r="C13850" s="4">
        <v>454</v>
      </c>
      <c r="D13850" s="4">
        <v>588815</v>
      </c>
    </row>
    <row r="13851" spans="1:4" x14ac:dyDescent="0.25">
      <c r="A13851" t="str">
        <f>T("   844311")</f>
        <v xml:space="preserve">   844311</v>
      </c>
      <c r="B13851" t="str">
        <f>T("   MACHINES ET APPAREILS A IMPRIMER OFFSET, ALIMENTES EN BOBINES")</f>
        <v xml:space="preserve">   MACHINES ET APPAREILS A IMPRIMER OFFSET, ALIMENTES EN BOBINES</v>
      </c>
      <c r="C13851" s="4">
        <v>21013</v>
      </c>
      <c r="D13851" s="4">
        <v>30120143</v>
      </c>
    </row>
    <row r="13852" spans="1:4" x14ac:dyDescent="0.25">
      <c r="A13852" t="str">
        <f>T("   844312")</f>
        <v xml:space="preserve">   844312</v>
      </c>
      <c r="B13852" t="str">
        <f>T("   MACHINES ET APPAREILS A IMPRIMER OFFSET DE BUREAU, ALIMENTES EN FEUILLES DONT UN COT")</f>
        <v xml:space="preserve">   MACHINES ET APPAREILS A IMPRIMER OFFSET DE BUREAU, ALIMENTES EN FEUILLES DONT UN COT</v>
      </c>
      <c r="C13852" s="4">
        <v>100</v>
      </c>
      <c r="D13852" s="4">
        <v>11850000</v>
      </c>
    </row>
    <row r="13853" spans="1:4" x14ac:dyDescent="0.25">
      <c r="A13853" t="str">
        <f>T("   844313")</f>
        <v xml:space="preserve">   844313</v>
      </c>
      <c r="B13853" t="str">
        <f>T("   AUTRES MACHINES ET APPAREILS A IMPRIMER OFFSET")</f>
        <v xml:space="preserve">   AUTRES MACHINES ET APPAREILS A IMPRIMER OFFSET</v>
      </c>
      <c r="C13853" s="4">
        <v>16500</v>
      </c>
      <c r="D13853" s="4">
        <v>6297216</v>
      </c>
    </row>
    <row r="13854" spans="1:4" x14ac:dyDescent="0.25">
      <c r="A13854" t="str">
        <f>T("   844314")</f>
        <v xml:space="preserve">   844314</v>
      </c>
      <c r="B13854" t="str">
        <f>T("   MACHINES ET APPAREILS A IMPRIMER, TYPOGRAPHIQUES, ALIMENTES EN BOBINES, A L'EXCLUSIO")</f>
        <v xml:space="preserve">   MACHINES ET APPAREILS A IMPRIMER, TYPOGRAPHIQUES, ALIMENTES EN BOBINES, A L'EXCLUSIO</v>
      </c>
      <c r="C13854" s="4">
        <v>178</v>
      </c>
      <c r="D13854" s="4">
        <v>618675</v>
      </c>
    </row>
    <row r="13855" spans="1:4" x14ac:dyDescent="0.25">
      <c r="A13855" t="str">
        <f>T("   844315")</f>
        <v xml:space="preserve">   844315</v>
      </c>
      <c r="B13855" t="str">
        <f>T("   MACHINES ET APPAREILS A IMPRIMER, TYPOGRAPHIQUES, AUTRES QU’ALIMENTES EN BOBINES, A")</f>
        <v xml:space="preserve">   MACHINES ET APPAREILS A IMPRIMER, TYPOGRAPHIQUES, AUTRES QU’ALIMENTES EN BOBINES, A</v>
      </c>
      <c r="C13855" s="4">
        <v>208</v>
      </c>
      <c r="D13855" s="4">
        <v>1016082</v>
      </c>
    </row>
    <row r="13856" spans="1:4" x14ac:dyDescent="0.25">
      <c r="A13856" t="str">
        <f>T("   844316")</f>
        <v xml:space="preserve">   844316</v>
      </c>
      <c r="B13856" t="str">
        <f>T("   MACHINES ET APPAREILS A IMPRIMER, FLEXOGRAPHIQUES")</f>
        <v xml:space="preserve">   MACHINES ET APPAREILS A IMPRIMER, FLEXOGRAPHIQUES</v>
      </c>
      <c r="C13856" s="4">
        <v>1782</v>
      </c>
      <c r="D13856" s="4">
        <v>5513343</v>
      </c>
    </row>
    <row r="13857" spans="1:4" x14ac:dyDescent="0.25">
      <c r="A13857" t="str">
        <f>T("   844317")</f>
        <v xml:space="preserve">   844317</v>
      </c>
      <c r="B13857" t="str">
        <f>T("   MACHINES ET APPAREILS A IMPRIMER, HELIOGRAPHIQUES")</f>
        <v xml:space="preserve">   MACHINES ET APPAREILS A IMPRIMER, HELIOGRAPHIQUES</v>
      </c>
      <c r="C13857" s="4">
        <v>1702</v>
      </c>
      <c r="D13857" s="4">
        <v>5438564</v>
      </c>
    </row>
    <row r="13858" spans="1:4" x14ac:dyDescent="0.25">
      <c r="A13858" t="str">
        <f>T("   844319")</f>
        <v xml:space="preserve">   844319</v>
      </c>
      <c r="B13858" t="str">
        <f>T("   AUTRES")</f>
        <v xml:space="preserve">   AUTRES</v>
      </c>
      <c r="C13858" s="4">
        <v>124167.4</v>
      </c>
      <c r="D13858" s="4">
        <v>270631896</v>
      </c>
    </row>
    <row r="13859" spans="1:4" x14ac:dyDescent="0.25">
      <c r="A13859" t="str">
        <f>T("   844331")</f>
        <v xml:space="preserve">   844331</v>
      </c>
      <c r="B13859" t="str">
        <f>T("   MACHINES QUI ASSURENT AU MOINS DEUX DES FONCTIONS SUIVANTES : IMPRESSION, COPIE OU T")</f>
        <v xml:space="preserve">   MACHINES QUI ASSURENT AU MOINS DEUX DES FONCTIONS SUIVANTES : IMPRESSION, COPIE OU T</v>
      </c>
      <c r="C13859" s="4">
        <v>7406</v>
      </c>
      <c r="D13859" s="4">
        <v>28090623</v>
      </c>
    </row>
    <row r="13860" spans="1:4" x14ac:dyDescent="0.25">
      <c r="A13860" t="str">
        <f>T("   844332")</f>
        <v xml:space="preserve">   844332</v>
      </c>
      <c r="B13860" t="str">
        <f>T("   AUTRES, APTES A ETRE CONNECTEES A UNE MACHINE AUTOMATIQUE DE TRAITEMENT DE L’INFORMA")</f>
        <v xml:space="preserve">   AUTRES, APTES A ETRE CONNECTEES A UNE MACHINE AUTOMATIQUE DE TRAITEMENT DE L’INFORMA</v>
      </c>
      <c r="C13860" s="4">
        <v>6690</v>
      </c>
      <c r="D13860" s="4">
        <v>31340272</v>
      </c>
    </row>
    <row r="13861" spans="1:4" x14ac:dyDescent="0.25">
      <c r="A13861" t="str">
        <f>T("   844339")</f>
        <v xml:space="preserve">   844339</v>
      </c>
      <c r="B13861" t="str">
        <f>T("   AUTRES")</f>
        <v xml:space="preserve">   AUTRES</v>
      </c>
      <c r="C13861" s="4">
        <v>67485</v>
      </c>
      <c r="D13861" s="4">
        <v>89255752</v>
      </c>
    </row>
    <row r="13862" spans="1:4" x14ac:dyDescent="0.25">
      <c r="A13862" t="str">
        <f>T("   844350")</f>
        <v xml:space="preserve">   844350</v>
      </c>
      <c r="B13862" t="str">
        <f>T("   Autres machines et appareils a imprimer")</f>
        <v xml:space="preserve">   Autres machines et appareils a imprimer</v>
      </c>
      <c r="C13862" s="4">
        <v>200</v>
      </c>
      <c r="D13862" s="4">
        <v>7968097</v>
      </c>
    </row>
    <row r="13863" spans="1:4" x14ac:dyDescent="0.25">
      <c r="A13863" t="str">
        <f>T("   844391")</f>
        <v xml:space="preserve">   844391</v>
      </c>
      <c r="B13863" t="str">
        <f>T("   PARTIES ET ACCESSOIRES DE MACHINES ET D’APPAREILS SERVANT A L’IMPRESSION AU MOYEN DE")</f>
        <v xml:space="preserve">   PARTIES ET ACCESSOIRES DE MACHINES ET D’APPAREILS SERVANT A L’IMPRESSION AU MOYEN DE</v>
      </c>
      <c r="C13863" s="4">
        <v>34504.74</v>
      </c>
      <c r="D13863" s="4">
        <v>68333569</v>
      </c>
    </row>
    <row r="13864" spans="1:4" x14ac:dyDescent="0.25">
      <c r="A13864" t="str">
        <f>T("   844399")</f>
        <v xml:space="preserve">   844399</v>
      </c>
      <c r="B13864" t="str">
        <f>T("   AUTRES")</f>
        <v xml:space="preserve">   AUTRES</v>
      </c>
      <c r="C13864" s="4">
        <v>43269.8</v>
      </c>
      <c r="D13864" s="4">
        <v>51205478</v>
      </c>
    </row>
    <row r="13865" spans="1:4" x14ac:dyDescent="0.25">
      <c r="A13865" t="str">
        <f>T("   844519")</f>
        <v xml:space="preserve">   844519</v>
      </c>
      <c r="B13865" t="str">
        <f>T("   AUTRES")</f>
        <v xml:space="preserve">   AUTRES</v>
      </c>
      <c r="C13865" s="4">
        <v>3971</v>
      </c>
      <c r="D13865" s="4">
        <v>5323069</v>
      </c>
    </row>
    <row r="13866" spans="1:4" x14ac:dyDescent="0.25">
      <c r="A13866" t="str">
        <f>T("   844590")</f>
        <v xml:space="preserve">   844590</v>
      </c>
      <c r="B13866" t="str">
        <f>T("   AUTRES")</f>
        <v xml:space="preserve">   AUTRES</v>
      </c>
      <c r="C13866" s="4">
        <v>300</v>
      </c>
      <c r="D13866" s="4">
        <v>731908</v>
      </c>
    </row>
    <row r="13867" spans="1:4" x14ac:dyDescent="0.25">
      <c r="A13867" t="str">
        <f>T("   844720")</f>
        <v xml:space="preserve">   844720</v>
      </c>
      <c r="B13867" t="str">
        <f>T("   METIERS A BONNETERIE RECTILIGNES; MACHINES DE COUTURETRICOTAGE")</f>
        <v xml:space="preserve">   METIERS A BONNETERIE RECTILIGNES; MACHINES DE COUTURETRICOTAGE</v>
      </c>
      <c r="C13867" s="4">
        <v>3100</v>
      </c>
      <c r="D13867" s="4">
        <v>746266</v>
      </c>
    </row>
    <row r="13868" spans="1:4" x14ac:dyDescent="0.25">
      <c r="A13868" t="str">
        <f>T("   844790")</f>
        <v xml:space="preserve">   844790</v>
      </c>
      <c r="B13868" t="str">
        <f>T("   AUTRES")</f>
        <v xml:space="preserve">   AUTRES</v>
      </c>
      <c r="C13868" s="4">
        <v>5165</v>
      </c>
      <c r="D13868" s="4">
        <v>7865443</v>
      </c>
    </row>
    <row r="13869" spans="1:4" x14ac:dyDescent="0.25">
      <c r="A13869" t="str">
        <f>T("   844819")</f>
        <v xml:space="preserve">   844819</v>
      </c>
      <c r="B13869" t="str">
        <f>T("   AUTRES")</f>
        <v xml:space="preserve">   AUTRES</v>
      </c>
      <c r="C13869" s="4">
        <v>11563116</v>
      </c>
      <c r="D13869" s="4">
        <v>192874000</v>
      </c>
    </row>
    <row r="13870" spans="1:4" x14ac:dyDescent="0.25">
      <c r="A13870" t="str">
        <f>T("   844820")</f>
        <v xml:space="preserve">   844820</v>
      </c>
      <c r="B13870" t="str">
        <f>T("   PARTIES ET ACCESSOIRES DES MACHINES DU N° 84.44 OU DE LEURS MACHINES OU APPAREILS AUX")</f>
        <v xml:space="preserve">   PARTIES ET ACCESSOIRES DES MACHINES DU N° 84.44 OU DE LEURS MACHINES OU APPAREILS AUX</v>
      </c>
      <c r="C13870" s="4">
        <v>62238</v>
      </c>
      <c r="D13870" s="4">
        <v>58805516</v>
      </c>
    </row>
    <row r="13871" spans="1:4" x14ac:dyDescent="0.25">
      <c r="A13871" t="str">
        <f>T("   844832")</f>
        <v xml:space="preserve">   844832</v>
      </c>
      <c r="B13871" t="str">
        <f>T("   DE MACHINES POUR LA PREPARATION DES MATIERES TEXTILES, AUTRES QUE LES GARNITURES DE")</f>
        <v xml:space="preserve">   DE MACHINES POUR LA PREPARATION DES MATIERES TEXTILES, AUTRES QUE LES GARNITURES DE</v>
      </c>
      <c r="C13871" s="4">
        <v>7891.91</v>
      </c>
      <c r="D13871" s="4">
        <v>96035693</v>
      </c>
    </row>
    <row r="13872" spans="1:4" x14ac:dyDescent="0.25">
      <c r="A13872" t="str">
        <f>T("   844839")</f>
        <v xml:space="preserve">   844839</v>
      </c>
      <c r="B13872" t="str">
        <f>T("   AUTRES")</f>
        <v xml:space="preserve">   AUTRES</v>
      </c>
      <c r="C13872" s="4">
        <v>14611</v>
      </c>
      <c r="D13872" s="4">
        <v>18806518</v>
      </c>
    </row>
    <row r="13873" spans="1:4" x14ac:dyDescent="0.25">
      <c r="A13873" t="str">
        <f>T("   844849")</f>
        <v xml:space="preserve">   844849</v>
      </c>
      <c r="B13873" t="str">
        <f>T("   AUTRES")</f>
        <v xml:space="preserve">   AUTRES</v>
      </c>
      <c r="C13873" s="4">
        <v>8</v>
      </c>
      <c r="D13873" s="4">
        <v>536424</v>
      </c>
    </row>
    <row r="13874" spans="1:4" x14ac:dyDescent="0.25">
      <c r="A13874" t="str">
        <f>T("   844851")</f>
        <v xml:space="preserve">   844851</v>
      </c>
      <c r="B13874" t="str">
        <f>T("   PLATINES, AIGUILLES ET AUTRES ARTICLES PARTICIPANT A LA FORMATION DES MAILLES")</f>
        <v xml:space="preserve">   PLATINES, AIGUILLES ET AUTRES ARTICLES PARTICIPANT A LA FORMATION DES MAILLES</v>
      </c>
      <c r="C13874" s="4">
        <v>9</v>
      </c>
      <c r="D13874" s="4">
        <v>122113</v>
      </c>
    </row>
    <row r="13875" spans="1:4" x14ac:dyDescent="0.25">
      <c r="A13875" t="str">
        <f>T("   844859")</f>
        <v xml:space="preserve">   844859</v>
      </c>
      <c r="B13875" t="str">
        <f>T("   AUTRES")</f>
        <v xml:space="preserve">   AUTRES</v>
      </c>
      <c r="C13875" s="4">
        <v>205004.45</v>
      </c>
      <c r="D13875" s="4">
        <v>12389204</v>
      </c>
    </row>
    <row r="13876" spans="1:4" x14ac:dyDescent="0.25">
      <c r="A13876" t="str">
        <f>T("   844900")</f>
        <v xml:space="preserve">   844900</v>
      </c>
      <c r="B13876" t="str">
        <f>T("   MACHINES ET APPAREILS POUR LA FABRICATION OU LE FINISSAGE DU FEUTRE OU DES NONTISSES, E")</f>
        <v xml:space="preserve">   MACHINES ET APPAREILS POUR LA FABRICATION OU LE FINISSAGE DU FEUTRE OU DES NONTISSES, E</v>
      </c>
      <c r="C13876" s="4">
        <v>80</v>
      </c>
      <c r="D13876" s="4">
        <v>129568</v>
      </c>
    </row>
    <row r="13877" spans="1:4" x14ac:dyDescent="0.25">
      <c r="A13877" t="str">
        <f>T("   845011")</f>
        <v xml:space="preserve">   845011</v>
      </c>
      <c r="B13877" t="str">
        <f>T("   MACHINES ENTIEREMENT AUTOMATIQUES")</f>
        <v xml:space="preserve">   MACHINES ENTIEREMENT AUTOMATIQUES</v>
      </c>
      <c r="C13877" s="4">
        <v>7431</v>
      </c>
      <c r="D13877" s="4">
        <v>6822640</v>
      </c>
    </row>
    <row r="13878" spans="1:4" x14ac:dyDescent="0.25">
      <c r="A13878" t="str">
        <f>T("   845019")</f>
        <v xml:space="preserve">   845019</v>
      </c>
      <c r="B13878" t="str">
        <f>T("   AUTRES")</f>
        <v xml:space="preserve">   AUTRES</v>
      </c>
      <c r="C13878" s="4">
        <v>28188</v>
      </c>
      <c r="D13878" s="4">
        <v>26336851</v>
      </c>
    </row>
    <row r="13879" spans="1:4" x14ac:dyDescent="0.25">
      <c r="A13879" t="str">
        <f>T("   845090")</f>
        <v xml:space="preserve">   845090</v>
      </c>
      <c r="B13879" t="str">
        <f>T("   PARTIES")</f>
        <v xml:space="preserve">   PARTIES</v>
      </c>
      <c r="C13879" s="4">
        <v>1464639</v>
      </c>
      <c r="D13879" s="4">
        <v>13250174</v>
      </c>
    </row>
    <row r="13880" spans="1:4" x14ac:dyDescent="0.25">
      <c r="A13880" t="str">
        <f>T("   845121")</f>
        <v xml:space="preserve">   845121</v>
      </c>
      <c r="B13880" t="str">
        <f>T("   D'UNE CAPACITE UNITAIRE EXPRIMEE EN POIDS DE LINGE SEC N'EXCEDANT PAS 10 KG")</f>
        <v xml:space="preserve">   D'UNE CAPACITE UNITAIRE EXPRIMEE EN POIDS DE LINGE SEC N'EXCEDANT PAS 10 KG</v>
      </c>
      <c r="C13880" s="4">
        <v>2243</v>
      </c>
      <c r="D13880" s="4">
        <v>1165398</v>
      </c>
    </row>
    <row r="13881" spans="1:4" x14ac:dyDescent="0.25">
      <c r="A13881" t="str">
        <f>T("   845129")</f>
        <v xml:space="preserve">   845129</v>
      </c>
      <c r="B13881" t="str">
        <f>T("   AUTRES")</f>
        <v xml:space="preserve">   AUTRES</v>
      </c>
      <c r="C13881" s="4">
        <v>484</v>
      </c>
      <c r="D13881" s="4">
        <v>1503361</v>
      </c>
    </row>
    <row r="13882" spans="1:4" x14ac:dyDescent="0.25">
      <c r="A13882" t="str">
        <f>T("   845130")</f>
        <v xml:space="preserve">   845130</v>
      </c>
      <c r="B13882" t="str">
        <f>T("   MACHINES ET PRESSES A REPASSER, Y COMPRIS LES PRESSES A FIXER")</f>
        <v xml:space="preserve">   MACHINES ET PRESSES A REPASSER, Y COMPRIS LES PRESSES A FIXER</v>
      </c>
      <c r="C13882" s="4">
        <v>240</v>
      </c>
      <c r="D13882" s="4">
        <v>3737004</v>
      </c>
    </row>
    <row r="13883" spans="1:4" x14ac:dyDescent="0.25">
      <c r="A13883" t="str">
        <f>T("   845140")</f>
        <v xml:space="preserve">   845140</v>
      </c>
      <c r="B13883" t="str">
        <f>T("   MACHINES POUR LE LAVAGE, LE BLANCHIMENT OU LA TEINTURE")</f>
        <v xml:space="preserve">   MACHINES POUR LE LAVAGE, LE BLANCHIMENT OU LA TEINTURE</v>
      </c>
      <c r="C13883" s="4">
        <v>1731</v>
      </c>
      <c r="D13883" s="4">
        <v>9223475</v>
      </c>
    </row>
    <row r="13884" spans="1:4" x14ac:dyDescent="0.25">
      <c r="A13884" t="str">
        <f>T("   845150")</f>
        <v xml:space="preserve">   845150</v>
      </c>
      <c r="B13884" t="str">
        <f>T("   MACHINES A ENROULER, DEROULER, PLIER, COUPER OU DENTELER LES TISSUS")</f>
        <v xml:space="preserve">   MACHINES A ENROULER, DEROULER, PLIER, COUPER OU DENTELER LES TISSUS</v>
      </c>
      <c r="C13884" s="4">
        <v>100</v>
      </c>
      <c r="D13884" s="4">
        <v>30000</v>
      </c>
    </row>
    <row r="13885" spans="1:4" x14ac:dyDescent="0.25">
      <c r="A13885" t="str">
        <f>T("   845180")</f>
        <v xml:space="preserve">   845180</v>
      </c>
      <c r="B13885" t="str">
        <f>T("   AUTRES MACHINES ET APPAREILS")</f>
        <v xml:space="preserve">   AUTRES MACHINES ET APPAREILS</v>
      </c>
      <c r="C13885" s="4">
        <v>17284</v>
      </c>
      <c r="D13885" s="4">
        <v>126013075</v>
      </c>
    </row>
    <row r="13886" spans="1:4" x14ac:dyDescent="0.25">
      <c r="A13886" t="str">
        <f>T("   845190")</f>
        <v xml:space="preserve">   845190</v>
      </c>
      <c r="B13886" t="str">
        <f>T("   PARTIES")</f>
        <v xml:space="preserve">   PARTIES</v>
      </c>
      <c r="C13886" s="4">
        <v>902</v>
      </c>
      <c r="D13886" s="4">
        <v>4261988</v>
      </c>
    </row>
    <row r="13887" spans="1:4" x14ac:dyDescent="0.25">
      <c r="A13887" t="str">
        <f>T("   845210")</f>
        <v xml:space="preserve">   845210</v>
      </c>
      <c r="B13887" t="str">
        <f>T("   Machines a coudre de type menager")</f>
        <v xml:space="preserve">   Machines a coudre de type menager</v>
      </c>
      <c r="C13887" s="4">
        <v>470889</v>
      </c>
      <c r="D13887" s="4">
        <v>278417298</v>
      </c>
    </row>
    <row r="13888" spans="1:4" x14ac:dyDescent="0.25">
      <c r="A13888" t="str">
        <f>T("   845229")</f>
        <v xml:space="preserve">   845229</v>
      </c>
      <c r="B13888" t="str">
        <f>T("   AUTRES")</f>
        <v xml:space="preserve">   AUTRES</v>
      </c>
      <c r="C13888" s="4">
        <v>88664</v>
      </c>
      <c r="D13888" s="4">
        <v>84697692</v>
      </c>
    </row>
    <row r="13889" spans="1:4" x14ac:dyDescent="0.25">
      <c r="A13889" t="str">
        <f>T("   845290")</f>
        <v xml:space="preserve">   845290</v>
      </c>
      <c r="B13889" t="str">
        <f>T("   MEUBLES, EMBASES ET COUVERCLES POUR MACHINES A COUDRE ET LEURS PARTIES; AUTRES PARTIE")</f>
        <v xml:space="preserve">   MEUBLES, EMBASES ET COUVERCLES POUR MACHINES A COUDRE ET LEURS PARTIES; AUTRES PARTIE</v>
      </c>
      <c r="C13889" s="4">
        <v>195</v>
      </c>
      <c r="D13889" s="4">
        <v>73761</v>
      </c>
    </row>
    <row r="13890" spans="1:4" x14ac:dyDescent="0.25">
      <c r="A13890" t="str">
        <f>T("   845310")</f>
        <v xml:space="preserve">   845310</v>
      </c>
      <c r="B13890" t="str">
        <f>T("   MACHINES ET APPAREILS POUR LA PREPARATION, LE TANNAGE OU LE TRAVAIL DES CUIRS OU PEAU")</f>
        <v xml:space="preserve">   MACHINES ET APPAREILS POUR LA PREPARATION, LE TANNAGE OU LE TRAVAIL DES CUIRS OU PEAU</v>
      </c>
      <c r="C13890" s="4">
        <v>3200</v>
      </c>
      <c r="D13890" s="4">
        <v>700000</v>
      </c>
    </row>
    <row r="13891" spans="1:4" x14ac:dyDescent="0.25">
      <c r="A13891" t="str">
        <f>T("   845410")</f>
        <v xml:space="preserve">   845410</v>
      </c>
      <c r="B13891" t="str">
        <f>T("   CONVERTISSEURS")</f>
        <v xml:space="preserve">   CONVERTISSEURS</v>
      </c>
      <c r="C13891" s="4">
        <v>4328</v>
      </c>
      <c r="D13891" s="4">
        <v>23757559</v>
      </c>
    </row>
    <row r="13892" spans="1:4" x14ac:dyDescent="0.25">
      <c r="A13892" t="str">
        <f>T("   845590")</f>
        <v xml:space="preserve">   845590</v>
      </c>
      <c r="B13892" t="str">
        <f>T("   AUTRES PARTIES")</f>
        <v xml:space="preserve">   AUTRES PARTIES</v>
      </c>
      <c r="C13892" s="4">
        <v>7421</v>
      </c>
      <c r="D13892" s="4">
        <v>637910</v>
      </c>
    </row>
    <row r="13893" spans="1:4" x14ac:dyDescent="0.25">
      <c r="A13893" t="str">
        <f>T("   845819")</f>
        <v xml:space="preserve">   845819</v>
      </c>
      <c r="B13893" t="str">
        <f>T("   AUTRES")</f>
        <v xml:space="preserve">   AUTRES</v>
      </c>
      <c r="C13893" s="4">
        <v>2200</v>
      </c>
      <c r="D13893" s="4">
        <v>11174279</v>
      </c>
    </row>
    <row r="13894" spans="1:4" x14ac:dyDescent="0.25">
      <c r="A13894" t="str">
        <f>T("   845929")</f>
        <v xml:space="preserve">   845929</v>
      </c>
      <c r="B13894" t="str">
        <f>T("   AUTRES")</f>
        <v xml:space="preserve">   AUTRES</v>
      </c>
      <c r="C13894" s="4">
        <v>4320</v>
      </c>
      <c r="D13894" s="4">
        <v>29014753</v>
      </c>
    </row>
    <row r="13895" spans="1:4" x14ac:dyDescent="0.25">
      <c r="A13895" t="str">
        <f>T("   846019")</f>
        <v xml:space="preserve">   846019</v>
      </c>
      <c r="B13895" t="str">
        <f>T("   AUTRES")</f>
        <v xml:space="preserve">   AUTRES</v>
      </c>
      <c r="C13895" s="4">
        <v>4980</v>
      </c>
      <c r="D13895" s="4">
        <v>644582</v>
      </c>
    </row>
    <row r="13896" spans="1:4" x14ac:dyDescent="0.25">
      <c r="A13896" t="str">
        <f>T("   846039")</f>
        <v xml:space="preserve">   846039</v>
      </c>
      <c r="B13896" t="str">
        <f>T("   AUTRES")</f>
        <v xml:space="preserve">   AUTRES</v>
      </c>
      <c r="C13896" s="4">
        <v>190</v>
      </c>
      <c r="D13896" s="4">
        <v>3619487</v>
      </c>
    </row>
    <row r="13897" spans="1:4" x14ac:dyDescent="0.25">
      <c r="A13897" t="str">
        <f>T("   846150")</f>
        <v xml:space="preserve">   846150</v>
      </c>
      <c r="B13897" t="str">
        <f>T("   MACHINES A SCIER OU A TRONCONNER")</f>
        <v xml:space="preserve">   MACHINES A SCIER OU A TRONCONNER</v>
      </c>
      <c r="C13897" s="4">
        <v>1783</v>
      </c>
      <c r="D13897" s="4">
        <v>1892461</v>
      </c>
    </row>
    <row r="13898" spans="1:4" x14ac:dyDescent="0.25">
      <c r="A13898" t="str">
        <f>T("   846190")</f>
        <v xml:space="preserve">   846190</v>
      </c>
      <c r="B13898" t="str">
        <f>T("   AUTRES")</f>
        <v xml:space="preserve">   AUTRES</v>
      </c>
      <c r="C13898" s="4">
        <v>24533</v>
      </c>
      <c r="D13898" s="4">
        <v>84273558</v>
      </c>
    </row>
    <row r="13899" spans="1:4" x14ac:dyDescent="0.25">
      <c r="A13899" t="str">
        <f>T("   846210")</f>
        <v xml:space="preserve">   846210</v>
      </c>
      <c r="B13899" t="str">
        <f>T("   MACHINES (Y COMPRIS LES PRESSES) A FORGER OU A ESTAMPER, MOUTONS, MARTEAUXPILONS ET")</f>
        <v xml:space="preserve">   MACHINES (Y COMPRIS LES PRESSES) A FORGER OU A ESTAMPER, MOUTONS, MARTEAUXPILONS ET</v>
      </c>
      <c r="C13899" s="4">
        <v>12600</v>
      </c>
      <c r="D13899" s="4">
        <v>12434903</v>
      </c>
    </row>
    <row r="13900" spans="1:4" x14ac:dyDescent="0.25">
      <c r="A13900" t="str">
        <f>T("   846229")</f>
        <v xml:space="preserve">   846229</v>
      </c>
      <c r="B13900" t="str">
        <f>T("   AUTRES")</f>
        <v xml:space="preserve">   AUTRES</v>
      </c>
      <c r="C13900" s="4">
        <v>1513</v>
      </c>
      <c r="D13900" s="4">
        <v>21682577</v>
      </c>
    </row>
    <row r="13901" spans="1:4" x14ac:dyDescent="0.25">
      <c r="A13901" t="str">
        <f>T("   846239")</f>
        <v xml:space="preserve">   846239</v>
      </c>
      <c r="B13901" t="str">
        <f>T("   AUTRES")</f>
        <v xml:space="preserve">   AUTRES</v>
      </c>
      <c r="C13901" s="4">
        <v>1287</v>
      </c>
      <c r="D13901" s="4">
        <v>16314467</v>
      </c>
    </row>
    <row r="13902" spans="1:4" x14ac:dyDescent="0.25">
      <c r="A13902" t="str">
        <f>T("   846249")</f>
        <v xml:space="preserve">   846249</v>
      </c>
      <c r="B13902" t="str">
        <f>T("   AUTRES")</f>
        <v xml:space="preserve">   AUTRES</v>
      </c>
      <c r="C13902" s="4">
        <v>800</v>
      </c>
      <c r="D13902" s="4">
        <v>4257234</v>
      </c>
    </row>
    <row r="13903" spans="1:4" x14ac:dyDescent="0.25">
      <c r="A13903" t="str">
        <f>T("   846291")</f>
        <v xml:space="preserve">   846291</v>
      </c>
      <c r="B13903" t="str">
        <f>T("   PRESSES HYDRAULIQUES")</f>
        <v xml:space="preserve">   PRESSES HYDRAULIQUES</v>
      </c>
      <c r="C13903" s="4">
        <v>11878</v>
      </c>
      <c r="D13903" s="4">
        <v>287738730</v>
      </c>
    </row>
    <row r="13904" spans="1:4" x14ac:dyDescent="0.25">
      <c r="A13904" t="str">
        <f>T("   846299")</f>
        <v xml:space="preserve">   846299</v>
      </c>
      <c r="B13904" t="str">
        <f>T("   AUTRES")</f>
        <v xml:space="preserve">   AUTRES</v>
      </c>
      <c r="C13904" s="4">
        <v>115</v>
      </c>
      <c r="D13904" s="4">
        <v>257442</v>
      </c>
    </row>
    <row r="13905" spans="1:4" x14ac:dyDescent="0.25">
      <c r="A13905" t="str">
        <f>T("   846310")</f>
        <v xml:space="preserve">   846310</v>
      </c>
      <c r="B13905" t="str">
        <f>T("   BANCS A ETIRER LES BARRES, TUBES, PROFILES, FILS OU SIMILAIRES")</f>
        <v xml:space="preserve">   BANCS A ETIRER LES BARRES, TUBES, PROFILES, FILS OU SIMILAIRES</v>
      </c>
      <c r="C13905" s="4">
        <v>6550</v>
      </c>
      <c r="D13905" s="4">
        <v>42542515</v>
      </c>
    </row>
    <row r="13906" spans="1:4" x14ac:dyDescent="0.25">
      <c r="A13906" t="str">
        <f>T("   846330")</f>
        <v xml:space="preserve">   846330</v>
      </c>
      <c r="B13906" t="str">
        <f>T("   Machines pour le travail des metaux sous forme de fil")</f>
        <v xml:space="preserve">   Machines pour le travail des metaux sous forme de fil</v>
      </c>
      <c r="C13906" s="4">
        <v>2</v>
      </c>
      <c r="D13906" s="4">
        <v>451648</v>
      </c>
    </row>
    <row r="13907" spans="1:4" x14ac:dyDescent="0.25">
      <c r="A13907" t="str">
        <f>T("   846390")</f>
        <v xml:space="preserve">   846390</v>
      </c>
      <c r="B13907" t="str">
        <f>T("   AUTRES")</f>
        <v xml:space="preserve">   AUTRES</v>
      </c>
      <c r="C13907" s="4">
        <v>2593</v>
      </c>
      <c r="D13907" s="4">
        <v>2542069</v>
      </c>
    </row>
    <row r="13908" spans="1:4" x14ac:dyDescent="0.25">
      <c r="A13908" t="str">
        <f>T("   846410")</f>
        <v xml:space="preserve">   846410</v>
      </c>
      <c r="B13908" t="str">
        <f>T("   MACHINES A SCIER")</f>
        <v xml:space="preserve">   MACHINES A SCIER</v>
      </c>
      <c r="C13908" s="4">
        <v>8000</v>
      </c>
      <c r="D13908" s="4">
        <v>8394527</v>
      </c>
    </row>
    <row r="13909" spans="1:4" x14ac:dyDescent="0.25">
      <c r="A13909" t="str">
        <f>T("   846420")</f>
        <v xml:space="preserve">   846420</v>
      </c>
      <c r="B13909" t="str">
        <f>T("   MACHINES A MEULER OU A POLIR")</f>
        <v xml:space="preserve">   MACHINES A MEULER OU A POLIR</v>
      </c>
      <c r="C13909" s="4">
        <v>1503</v>
      </c>
      <c r="D13909" s="4">
        <v>1556644</v>
      </c>
    </row>
    <row r="13910" spans="1:4" x14ac:dyDescent="0.25">
      <c r="A13910" t="str">
        <f>T("   846490")</f>
        <v xml:space="preserve">   846490</v>
      </c>
      <c r="B13910" t="str">
        <f>T("   AUTRES")</f>
        <v xml:space="preserve">   AUTRES</v>
      </c>
      <c r="C13910" s="4">
        <v>14623</v>
      </c>
      <c r="D13910" s="4">
        <v>6361875</v>
      </c>
    </row>
    <row r="13911" spans="1:4" x14ac:dyDescent="0.25">
      <c r="A13911" t="str">
        <f>T("   846591")</f>
        <v xml:space="preserve">   846591</v>
      </c>
      <c r="B13911" t="str">
        <f>T("   MACHINES A SCIER")</f>
        <v xml:space="preserve">   MACHINES A SCIER</v>
      </c>
      <c r="C13911" s="4">
        <v>203675</v>
      </c>
      <c r="D13911" s="4">
        <v>139919314</v>
      </c>
    </row>
    <row r="13912" spans="1:4" x14ac:dyDescent="0.25">
      <c r="A13912" t="str">
        <f>T("   846593")</f>
        <v xml:space="preserve">   846593</v>
      </c>
      <c r="B13912" t="str">
        <f>T("   MACHINES A MEULER, A PONCER OU A POLIR")</f>
        <v xml:space="preserve">   MACHINES A MEULER, A PONCER OU A POLIR</v>
      </c>
      <c r="C13912" s="4">
        <v>48</v>
      </c>
      <c r="D13912" s="4">
        <v>1105673</v>
      </c>
    </row>
    <row r="13913" spans="1:4" x14ac:dyDescent="0.25">
      <c r="A13913" t="str">
        <f>T("   846594")</f>
        <v xml:space="preserve">   846594</v>
      </c>
      <c r="B13913" t="str">
        <f>T("   MACHINES A CINTRER OU A ASSEMBLER")</f>
        <v xml:space="preserve">   MACHINES A CINTRER OU A ASSEMBLER</v>
      </c>
      <c r="C13913" s="4">
        <v>1</v>
      </c>
      <c r="D13913" s="4">
        <v>49790</v>
      </c>
    </row>
    <row r="13914" spans="1:4" x14ac:dyDescent="0.25">
      <c r="A13914" t="str">
        <f>T("   846599")</f>
        <v xml:space="preserve">   846599</v>
      </c>
      <c r="B13914" t="str">
        <f>T("   AUTRES")</f>
        <v xml:space="preserve">   AUTRES</v>
      </c>
      <c r="C13914" s="4">
        <v>118103</v>
      </c>
      <c r="D13914" s="4">
        <v>126391000</v>
      </c>
    </row>
    <row r="13915" spans="1:4" x14ac:dyDescent="0.25">
      <c r="A13915" t="str">
        <f>T("   846610")</f>
        <v xml:space="preserve">   846610</v>
      </c>
      <c r="B13915" t="str">
        <f>T("   PORTEOUTILS ET FILIERES A DECLENCHEMENT AUTOMATIQUE")</f>
        <v xml:space="preserve">   PORTEOUTILS ET FILIERES A DECLENCHEMENT AUTOMATIQUE</v>
      </c>
      <c r="C13915" s="4">
        <v>3.25</v>
      </c>
      <c r="D13915" s="4">
        <v>1108519</v>
      </c>
    </row>
    <row r="13916" spans="1:4" x14ac:dyDescent="0.25">
      <c r="A13916" t="str">
        <f>T("   846620")</f>
        <v xml:space="preserve">   846620</v>
      </c>
      <c r="B13916" t="str">
        <f>T("   PORTEPIECES")</f>
        <v xml:space="preserve">   PORTEPIECES</v>
      </c>
      <c r="C13916" s="4">
        <v>40</v>
      </c>
      <c r="D13916" s="4">
        <v>12235687</v>
      </c>
    </row>
    <row r="13917" spans="1:4" x14ac:dyDescent="0.25">
      <c r="A13917" t="str">
        <f>T("   846630")</f>
        <v xml:space="preserve">   846630</v>
      </c>
      <c r="B13917" t="str">
        <f>T("   DISPOSITIFS DIVISEURS ET AUTRES DISPOSITIFS SPECIAUX SE MONTANT SUR MACHINESOUTILS")</f>
        <v xml:space="preserve">   DISPOSITIFS DIVISEURS ET AUTRES DISPOSITIFS SPECIAUX SE MONTANT SUR MACHINESOUTILS</v>
      </c>
      <c r="C13917" s="4">
        <v>1721</v>
      </c>
      <c r="D13917" s="4">
        <v>19225114</v>
      </c>
    </row>
    <row r="13918" spans="1:4" x14ac:dyDescent="0.25">
      <c r="A13918" t="str">
        <f>T("   846691")</f>
        <v xml:space="preserve">   846691</v>
      </c>
      <c r="B13918" t="str">
        <f>T("   POUR MACHINES DU N° 84.64")</f>
        <v xml:space="preserve">   POUR MACHINES DU N° 84.64</v>
      </c>
      <c r="C13918" s="4">
        <v>151930</v>
      </c>
      <c r="D13918" s="4">
        <v>97271582</v>
      </c>
    </row>
    <row r="13919" spans="1:4" x14ac:dyDescent="0.25">
      <c r="A13919" t="str">
        <f>T("   846692")</f>
        <v xml:space="preserve">   846692</v>
      </c>
      <c r="B13919" t="str">
        <f>T("   POUR MACHINES DU N° 84.65")</f>
        <v xml:space="preserve">   POUR MACHINES DU N° 84.65</v>
      </c>
      <c r="C13919" s="4">
        <v>10030</v>
      </c>
      <c r="D13919" s="4">
        <v>6557501</v>
      </c>
    </row>
    <row r="13920" spans="1:4" x14ac:dyDescent="0.25">
      <c r="A13920" t="str">
        <f>T("   846693")</f>
        <v xml:space="preserve">   846693</v>
      </c>
      <c r="B13920" t="str">
        <f>T("   POUR MACHINES DES N°S 84.56 A 84.61")</f>
        <v xml:space="preserve">   POUR MACHINES DES N°S 84.56 A 84.61</v>
      </c>
      <c r="C13920" s="4">
        <v>21404</v>
      </c>
      <c r="D13920" s="4">
        <v>16641561</v>
      </c>
    </row>
    <row r="13921" spans="1:4" x14ac:dyDescent="0.25">
      <c r="A13921" t="str">
        <f>T("   846694")</f>
        <v xml:space="preserve">   846694</v>
      </c>
      <c r="B13921" t="str">
        <f>T("   POUR MACHINES DES N°S 84.62 OU 84.63")</f>
        <v xml:space="preserve">   POUR MACHINES DES N°S 84.62 OU 84.63</v>
      </c>
      <c r="C13921" s="4">
        <v>78</v>
      </c>
      <c r="D13921" s="4">
        <v>1395227</v>
      </c>
    </row>
    <row r="13922" spans="1:4" x14ac:dyDescent="0.25">
      <c r="A13922" t="str">
        <f>T("   846711")</f>
        <v xml:space="preserve">   846711</v>
      </c>
      <c r="B13922" t="str">
        <f>T("   ROTATIFS (MEME A PERCUSSION)")</f>
        <v xml:space="preserve">   ROTATIFS (MEME A PERCUSSION)</v>
      </c>
      <c r="C13922" s="4">
        <v>23</v>
      </c>
      <c r="D13922" s="4">
        <v>1920651</v>
      </c>
    </row>
    <row r="13923" spans="1:4" x14ac:dyDescent="0.25">
      <c r="A13923" t="str">
        <f>T("   846719")</f>
        <v xml:space="preserve">   846719</v>
      </c>
      <c r="B13923" t="str">
        <f>T("   AUTRES")</f>
        <v xml:space="preserve">   AUTRES</v>
      </c>
      <c r="C13923" s="4">
        <v>538.9</v>
      </c>
      <c r="D13923" s="4">
        <v>1712340</v>
      </c>
    </row>
    <row r="13924" spans="1:4" x14ac:dyDescent="0.25">
      <c r="A13924" t="str">
        <f>T("   846721")</f>
        <v xml:space="preserve">   846721</v>
      </c>
      <c r="B13924" t="str">
        <f>T("   PERCEUSES DE TOUS GENRES, Y COMPRIS LES PERFORATRICES ROTATIVES")</f>
        <v xml:space="preserve">   PERCEUSES DE TOUS GENRES, Y COMPRIS LES PERFORATRICES ROTATIVES</v>
      </c>
      <c r="C13924" s="4">
        <v>1202</v>
      </c>
      <c r="D13924" s="4">
        <v>8171442</v>
      </c>
    </row>
    <row r="13925" spans="1:4" x14ac:dyDescent="0.25">
      <c r="A13925" t="str">
        <f>T("   846722")</f>
        <v xml:space="preserve">   846722</v>
      </c>
      <c r="B13925" t="str">
        <f>T("   SCIES ET TRONCONNEUSES")</f>
        <v xml:space="preserve">   SCIES ET TRONCONNEUSES</v>
      </c>
      <c r="C13925" s="4">
        <v>335</v>
      </c>
      <c r="D13925" s="4">
        <v>2024981</v>
      </c>
    </row>
    <row r="13926" spans="1:4" x14ac:dyDescent="0.25">
      <c r="A13926" t="str">
        <f>T("   846729")</f>
        <v xml:space="preserve">   846729</v>
      </c>
      <c r="B13926" t="str">
        <f>T("   AUTRES")</f>
        <v xml:space="preserve">   AUTRES</v>
      </c>
      <c r="C13926" s="4">
        <v>585.5</v>
      </c>
      <c r="D13926" s="4">
        <v>9155121</v>
      </c>
    </row>
    <row r="13927" spans="1:4" x14ac:dyDescent="0.25">
      <c r="A13927" t="str">
        <f>T("   846781")</f>
        <v xml:space="preserve">   846781</v>
      </c>
      <c r="B13927" t="str">
        <f>T("   TRONCONNEUSES A CHAINE")</f>
        <v xml:space="preserve">   TRONCONNEUSES A CHAINE</v>
      </c>
      <c r="C13927" s="4">
        <v>180</v>
      </c>
      <c r="D13927" s="4">
        <v>300486</v>
      </c>
    </row>
    <row r="13928" spans="1:4" x14ac:dyDescent="0.25">
      <c r="A13928" t="str">
        <f>T("   846789")</f>
        <v xml:space="preserve">   846789</v>
      </c>
      <c r="B13928" t="str">
        <f>T("   AUTRES")</f>
        <v xml:space="preserve">   AUTRES</v>
      </c>
      <c r="C13928" s="4">
        <v>3797</v>
      </c>
      <c r="D13928" s="4">
        <v>19861203</v>
      </c>
    </row>
    <row r="13929" spans="1:4" x14ac:dyDescent="0.25">
      <c r="A13929" t="str">
        <f>T("   846792")</f>
        <v xml:space="preserve">   846792</v>
      </c>
      <c r="B13929" t="str">
        <f>T("   D'OUTILS PNEUMATIQUES")</f>
        <v xml:space="preserve">   D'OUTILS PNEUMATIQUES</v>
      </c>
      <c r="C13929" s="4">
        <v>1</v>
      </c>
      <c r="D13929" s="4">
        <v>102482</v>
      </c>
    </row>
    <row r="13930" spans="1:4" x14ac:dyDescent="0.25">
      <c r="A13930" t="str">
        <f>T("   846799")</f>
        <v xml:space="preserve">   846799</v>
      </c>
      <c r="B13930" t="str">
        <f>T("   AUTRES")</f>
        <v xml:space="preserve">   AUTRES</v>
      </c>
      <c r="C13930" s="4">
        <v>2077</v>
      </c>
      <c r="D13930" s="4">
        <v>15563170</v>
      </c>
    </row>
    <row r="13931" spans="1:4" x14ac:dyDescent="0.25">
      <c r="A13931" t="str">
        <f>T("   846810")</f>
        <v xml:space="preserve">   846810</v>
      </c>
      <c r="B13931" t="str">
        <f>T("   CHALUMEAUX GUIDES A LA MAIN")</f>
        <v xml:space="preserve">   CHALUMEAUX GUIDES A LA MAIN</v>
      </c>
      <c r="C13931" s="4">
        <v>1625</v>
      </c>
      <c r="D13931" s="4">
        <v>3371265</v>
      </c>
    </row>
    <row r="13932" spans="1:4" x14ac:dyDescent="0.25">
      <c r="A13932" t="str">
        <f>T("   846820")</f>
        <v xml:space="preserve">   846820</v>
      </c>
      <c r="B13932" t="str">
        <f>T("   Autres machines et appareils aux gaz")</f>
        <v xml:space="preserve">   Autres machines et appareils aux gaz</v>
      </c>
      <c r="C13932" s="4">
        <v>39</v>
      </c>
      <c r="D13932" s="4">
        <v>3688039</v>
      </c>
    </row>
    <row r="13933" spans="1:4" x14ac:dyDescent="0.25">
      <c r="A13933" t="str">
        <f>T("   846880")</f>
        <v xml:space="preserve">   846880</v>
      </c>
      <c r="B13933" t="str">
        <f>T("   AUTRES MACHINES ET APPAREILS")</f>
        <v xml:space="preserve">   AUTRES MACHINES ET APPAREILS</v>
      </c>
      <c r="C13933" s="4">
        <v>33297</v>
      </c>
      <c r="D13933" s="4">
        <v>33460269</v>
      </c>
    </row>
    <row r="13934" spans="1:4" x14ac:dyDescent="0.25">
      <c r="A13934" t="str">
        <f>T("   846890")</f>
        <v xml:space="preserve">   846890</v>
      </c>
      <c r="B13934" t="str">
        <f>T("   PARTIES")</f>
        <v xml:space="preserve">   PARTIES</v>
      </c>
      <c r="C13934" s="4">
        <v>30704</v>
      </c>
      <c r="D13934" s="4">
        <v>202312962</v>
      </c>
    </row>
    <row r="13935" spans="1:4" x14ac:dyDescent="0.25">
      <c r="A13935" t="str">
        <f>T("   846900")</f>
        <v xml:space="preserve">   846900</v>
      </c>
      <c r="B13935" t="str">
        <f>T("   MACHINES A ECRIRE AUTRES QUE LES IMPRIMANTES DU N° 84.43; MACHINES POUR LE TRAITEMENT D")</f>
        <v xml:space="preserve">   MACHINES A ECRIRE AUTRES QUE LES IMPRIMANTES DU N° 84.43; MACHINES POUR LE TRAITEMENT D</v>
      </c>
      <c r="C13935" s="4">
        <v>4157</v>
      </c>
      <c r="D13935" s="4">
        <v>12556703</v>
      </c>
    </row>
    <row r="13936" spans="1:4" x14ac:dyDescent="0.25">
      <c r="A13936" t="str">
        <f>T("   847010")</f>
        <v xml:space="preserve">   847010</v>
      </c>
      <c r="B13936" t="str">
        <f>T("   CALCULATRICES ELECTRONIQUES POUVANT FONCTIONNER SANS SOURCE D'ENERGIE ELECTRIQUE EXTE")</f>
        <v xml:space="preserve">   CALCULATRICES ELECTRONIQUES POUVANT FONCTIONNER SANS SOURCE D'ENERGIE ELECTRIQUE EXTE</v>
      </c>
      <c r="C13936" s="4">
        <v>5136</v>
      </c>
      <c r="D13936" s="4">
        <v>7502776</v>
      </c>
    </row>
    <row r="13937" spans="1:4" x14ac:dyDescent="0.25">
      <c r="A13937" t="str">
        <f>T("   847029")</f>
        <v xml:space="preserve">   847029</v>
      </c>
      <c r="B13937" t="str">
        <f>T("   AUTRES")</f>
        <v xml:space="preserve">   AUTRES</v>
      </c>
      <c r="C13937" s="4">
        <v>6800</v>
      </c>
      <c r="D13937" s="4">
        <v>3849814</v>
      </c>
    </row>
    <row r="13938" spans="1:4" x14ac:dyDescent="0.25">
      <c r="A13938" t="str">
        <f>T("   847030")</f>
        <v xml:space="preserve">   847030</v>
      </c>
      <c r="B13938" t="str">
        <f>T("   AUTRES MACHINES A CALCULER")</f>
        <v xml:space="preserve">   AUTRES MACHINES A CALCULER</v>
      </c>
      <c r="C13938" s="4">
        <v>646</v>
      </c>
      <c r="D13938" s="4">
        <v>9603871</v>
      </c>
    </row>
    <row r="13939" spans="1:4" x14ac:dyDescent="0.25">
      <c r="A13939" t="str">
        <f>T("   847050")</f>
        <v xml:space="preserve">   847050</v>
      </c>
      <c r="B13939" t="str">
        <f>T("   Caisses enregistreuses")</f>
        <v xml:space="preserve">   Caisses enregistreuses</v>
      </c>
      <c r="C13939" s="4">
        <v>1158</v>
      </c>
      <c r="D13939" s="4">
        <v>1462041</v>
      </c>
    </row>
    <row r="13940" spans="1:4" x14ac:dyDescent="0.25">
      <c r="A13940" t="str">
        <f>T("   847090")</f>
        <v xml:space="preserve">   847090</v>
      </c>
      <c r="B13940" t="str">
        <f>T("   AUTRES")</f>
        <v xml:space="preserve">   AUTRES</v>
      </c>
      <c r="C13940" s="4">
        <v>2060</v>
      </c>
      <c r="D13940" s="4">
        <v>722703</v>
      </c>
    </row>
    <row r="13941" spans="1:4" x14ac:dyDescent="0.25">
      <c r="A13941" t="str">
        <f>T("   847110")</f>
        <v xml:space="preserve">   847110</v>
      </c>
      <c r="B13941" t="str">
        <f>T("   MACHINES AUTOMATIQUES DE TRAITEMENT DE L'INFORMATION ANALOGIQUES,HYBRIDES")</f>
        <v xml:space="preserve">   MACHINES AUTOMATIQUES DE TRAITEMENT DE L'INFORMATION ANALOGIQUES,HYBRIDES</v>
      </c>
      <c r="C13941" s="4">
        <v>3619</v>
      </c>
      <c r="D13941" s="4">
        <v>9626144</v>
      </c>
    </row>
    <row r="13942" spans="1:4" x14ac:dyDescent="0.25">
      <c r="A13942" t="str">
        <f>T("   847130")</f>
        <v xml:space="preserve">   847130</v>
      </c>
      <c r="B13942" t="str">
        <f>T("   MACHINES AUTOMATIQUES DE TRAITEMENT DE L'INFORMATION PORTATIVES, D'UN POIDS N'EXCEDAN")</f>
        <v xml:space="preserve">   MACHINES AUTOMATIQUES DE TRAITEMENT DE L'INFORMATION PORTATIVES, D'UN POIDS N'EXCEDAN</v>
      </c>
      <c r="C13942" s="4">
        <v>10279.1</v>
      </c>
      <c r="D13942" s="4">
        <v>140662263</v>
      </c>
    </row>
    <row r="13943" spans="1:4" x14ac:dyDescent="0.25">
      <c r="A13943" t="str">
        <f>T("   847141")</f>
        <v xml:space="preserve">   847141</v>
      </c>
      <c r="B13943" t="str">
        <f>T("   COMPORTANT, SOUS UNE MEME ENVELOPPE, AU MOINS UNE UNITE CENTRALE DE TRAITEMENT ET, Q")</f>
        <v xml:space="preserve">   COMPORTANT, SOUS UNE MEME ENVELOPPE, AU MOINS UNE UNITE CENTRALE DE TRAITEMENT ET, Q</v>
      </c>
      <c r="C13943" s="4">
        <v>30358.3</v>
      </c>
      <c r="D13943" s="4">
        <v>141833839</v>
      </c>
    </row>
    <row r="13944" spans="1:4" x14ac:dyDescent="0.25">
      <c r="A13944" t="str">
        <f>T("   847149")</f>
        <v xml:space="preserve">   847149</v>
      </c>
      <c r="B13944" t="str">
        <f>T("   AUTRES, SE PRESENTANT SOUS FORME DE SYSTEMES")</f>
        <v xml:space="preserve">   AUTRES, SE PRESENTANT SOUS FORME DE SYSTEMES</v>
      </c>
      <c r="C13944" s="4">
        <v>113582.9</v>
      </c>
      <c r="D13944" s="4">
        <v>516765778</v>
      </c>
    </row>
    <row r="13945" spans="1:4" x14ac:dyDescent="0.25">
      <c r="A13945" t="str">
        <f>T("   847150")</f>
        <v xml:space="preserve">   847150</v>
      </c>
      <c r="B13945" t="str">
        <f>T("   UNITES DE TRAITEMENT AUTRES QUE CELLES DES N°S 8471.41 OU 8471.49, POUVANT COMPORTER,")</f>
        <v xml:space="preserve">   UNITES DE TRAITEMENT AUTRES QUE CELLES DES N°S 8471.41 OU 8471.49, POUVANT COMPORTER,</v>
      </c>
      <c r="C13945" s="4">
        <v>2751</v>
      </c>
      <c r="D13945" s="4">
        <v>354663652</v>
      </c>
    </row>
    <row r="13946" spans="1:4" x14ac:dyDescent="0.25">
      <c r="A13946" t="str">
        <f>T("   847160")</f>
        <v xml:space="preserve">   847160</v>
      </c>
      <c r="B13946" t="str">
        <f>T("   UNITES D'ENTREE OU DE SORTIE, POUVANT COMPORTER, SOUS LA MEME ENVELOPPE, DES UNITES D")</f>
        <v xml:space="preserve">   UNITES D'ENTREE OU DE SORTIE, POUVANT COMPORTER, SOUS LA MEME ENVELOPPE, DES UNITES D</v>
      </c>
      <c r="C13946" s="4">
        <v>3420.8</v>
      </c>
      <c r="D13946" s="4">
        <v>25355420</v>
      </c>
    </row>
    <row r="13947" spans="1:4" x14ac:dyDescent="0.25">
      <c r="A13947" t="str">
        <f>T("   847170")</f>
        <v xml:space="preserve">   847170</v>
      </c>
      <c r="B13947" t="str">
        <f>T("   UNITES DE MEMOIRE")</f>
        <v xml:space="preserve">   UNITES DE MEMOIRE</v>
      </c>
      <c r="C13947" s="4">
        <v>5348</v>
      </c>
      <c r="D13947" s="4">
        <v>3602085</v>
      </c>
    </row>
    <row r="13948" spans="1:4" x14ac:dyDescent="0.25">
      <c r="A13948" t="str">
        <f>T("   847180")</f>
        <v xml:space="preserve">   847180</v>
      </c>
      <c r="B13948" t="str">
        <f>T("   AUTRES UNITES DE MACHINES AUTOMATIQUES DE TRAITEMENT DE L'INFORMATION")</f>
        <v xml:space="preserve">   AUTRES UNITES DE MACHINES AUTOMATIQUES DE TRAITEMENT DE L'INFORMATION</v>
      </c>
      <c r="C13948" s="4">
        <v>255753.02</v>
      </c>
      <c r="D13948" s="4">
        <v>1392936788</v>
      </c>
    </row>
    <row r="13949" spans="1:4" x14ac:dyDescent="0.25">
      <c r="A13949" t="str">
        <f>T("   847190")</f>
        <v xml:space="preserve">   847190</v>
      </c>
      <c r="B13949" t="str">
        <f>T("   AUTRES")</f>
        <v xml:space="preserve">   AUTRES</v>
      </c>
      <c r="C13949" s="4">
        <v>138720.14000000001</v>
      </c>
      <c r="D13949" s="4">
        <v>1748980388</v>
      </c>
    </row>
    <row r="13950" spans="1:4" x14ac:dyDescent="0.25">
      <c r="A13950" t="str">
        <f>T("   847193")</f>
        <v xml:space="preserve">   847193</v>
      </c>
      <c r="B13950" t="str">
        <f>T("   UNITES DE MEMOIRE MEME PRESENTEES AVEC LE RESTE D'UN SYSTEME")</f>
        <v xml:space="preserve">   UNITES DE MEMOIRE MEME PRESENTEES AVEC LE RESTE D'UN SYSTEME</v>
      </c>
      <c r="C13950" s="4">
        <v>29</v>
      </c>
      <c r="D13950" s="4">
        <v>298738</v>
      </c>
    </row>
    <row r="13951" spans="1:4" x14ac:dyDescent="0.25">
      <c r="A13951" t="str">
        <f>T("   847210")</f>
        <v xml:space="preserve">   847210</v>
      </c>
      <c r="B13951" t="str">
        <f>T("   Duplicateurs")</f>
        <v xml:space="preserve">   Duplicateurs</v>
      </c>
      <c r="C13951" s="4">
        <v>463</v>
      </c>
      <c r="D13951" s="4">
        <v>2380865</v>
      </c>
    </row>
    <row r="13952" spans="1:4" x14ac:dyDescent="0.25">
      <c r="A13952" t="str">
        <f>T("   847230")</f>
        <v xml:space="preserve">   847230</v>
      </c>
      <c r="B13952" t="str">
        <f>T("   MACHINES POUR LE TRIAGE, LE PLIAGE, LA MISE SOUS ENVELOPPE OU SOUS BANDE DU COURRIER,")</f>
        <v xml:space="preserve">   MACHINES POUR LE TRIAGE, LE PLIAGE, LA MISE SOUS ENVELOPPE OU SOUS BANDE DU COURRIER,</v>
      </c>
      <c r="C13952" s="4">
        <v>2185</v>
      </c>
      <c r="D13952" s="4">
        <v>6528500</v>
      </c>
    </row>
    <row r="13953" spans="1:4" x14ac:dyDescent="0.25">
      <c r="A13953" t="str">
        <f>T("   847290")</f>
        <v xml:space="preserve">   847290</v>
      </c>
      <c r="B13953" t="str">
        <f>T("   AUTRES")</f>
        <v xml:space="preserve">   AUTRES</v>
      </c>
      <c r="C13953" s="4">
        <v>64651.62</v>
      </c>
      <c r="D13953" s="4">
        <v>274638726</v>
      </c>
    </row>
    <row r="13954" spans="1:4" x14ac:dyDescent="0.25">
      <c r="A13954" t="str">
        <f>T("   847310")</f>
        <v xml:space="preserve">   847310</v>
      </c>
      <c r="B13954" t="str">
        <f>T("   PARTIES ET ACCESSOIRES DES MACHINES DU N° 84.69")</f>
        <v xml:space="preserve">   PARTIES ET ACCESSOIRES DES MACHINES DU N° 84.69</v>
      </c>
      <c r="C13954" s="4">
        <v>7918</v>
      </c>
      <c r="D13954" s="4">
        <v>23074706</v>
      </c>
    </row>
    <row r="13955" spans="1:4" x14ac:dyDescent="0.25">
      <c r="A13955" t="str">
        <f>T("   847330")</f>
        <v xml:space="preserve">   847330</v>
      </c>
      <c r="B13955" t="str">
        <f>T("   PARTIES ET ACCESSOIRES DES MACHINES DU N° 84.71")</f>
        <v xml:space="preserve">   PARTIES ET ACCESSOIRES DES MACHINES DU N° 84.71</v>
      </c>
      <c r="C13955" s="4">
        <v>137412.85999999999</v>
      </c>
      <c r="D13955" s="4">
        <v>294408267</v>
      </c>
    </row>
    <row r="13956" spans="1:4" x14ac:dyDescent="0.25">
      <c r="A13956" t="str">
        <f>T("   847340")</f>
        <v xml:space="preserve">   847340</v>
      </c>
      <c r="B13956" t="str">
        <f>T("   PARTIES ET ACCESSOIRES DES MACHINES DU N° 84.72")</f>
        <v xml:space="preserve">   PARTIES ET ACCESSOIRES DES MACHINES DU N° 84.72</v>
      </c>
      <c r="C13956" s="4">
        <v>1130.6300000000001</v>
      </c>
      <c r="D13956" s="4">
        <v>37559061</v>
      </c>
    </row>
    <row r="13957" spans="1:4" x14ac:dyDescent="0.25">
      <c r="A13957" t="str">
        <f>T("   847350")</f>
        <v xml:space="preserve">   847350</v>
      </c>
      <c r="B13957" t="str">
        <f>T("   PARTIES ET ACCESSOIRES QUI PEUVENT ETRE UTILISES INDIFFEREMMENT AVEC LES MACHINES OU")</f>
        <v xml:space="preserve">   PARTIES ET ACCESSOIRES QUI PEUVENT ETRE UTILISES INDIFFEREMMENT AVEC LES MACHINES OU</v>
      </c>
      <c r="C13957" s="4">
        <v>1062.58</v>
      </c>
      <c r="D13957" s="4">
        <v>15213823</v>
      </c>
    </row>
    <row r="13958" spans="1:4" x14ac:dyDescent="0.25">
      <c r="A13958" t="str">
        <f>T("   847410")</f>
        <v xml:space="preserve">   847410</v>
      </c>
      <c r="B13958" t="str">
        <f>T("   MACHINES ET APPAREILS A TRIER, CRIBLER, SEPARER OU LAVER")</f>
        <v xml:space="preserve">   MACHINES ET APPAREILS A TRIER, CRIBLER, SEPARER OU LAVER</v>
      </c>
      <c r="C13958" s="4">
        <v>252080</v>
      </c>
      <c r="D13958" s="4">
        <v>94637317</v>
      </c>
    </row>
    <row r="13959" spans="1:4" x14ac:dyDescent="0.25">
      <c r="A13959" t="str">
        <f>T("   847420")</f>
        <v xml:space="preserve">   847420</v>
      </c>
      <c r="B13959" t="str">
        <f>T("   MACHINES ET APPAREILS A CONCASSER, BROYER OU PULVERISER")</f>
        <v xml:space="preserve">   MACHINES ET APPAREILS A CONCASSER, BROYER OU PULVERISER</v>
      </c>
      <c r="C13959" s="4">
        <v>368889</v>
      </c>
      <c r="D13959" s="4">
        <v>695721176</v>
      </c>
    </row>
    <row r="13960" spans="1:4" x14ac:dyDescent="0.25">
      <c r="A13960" t="str">
        <f>T("   847431")</f>
        <v xml:space="preserve">   847431</v>
      </c>
      <c r="B13960" t="str">
        <f>T("   BETONNIERES ET APPAREILS A GACHER LE CIMENT")</f>
        <v xml:space="preserve">   BETONNIERES ET APPAREILS A GACHER LE CIMENT</v>
      </c>
      <c r="C13960" s="4">
        <v>325079</v>
      </c>
      <c r="D13960" s="4">
        <v>374171034</v>
      </c>
    </row>
    <row r="13961" spans="1:4" x14ac:dyDescent="0.25">
      <c r="A13961" t="str">
        <f>T("   847439")</f>
        <v xml:space="preserve">   847439</v>
      </c>
      <c r="B13961" t="str">
        <f>T("   AUTRES")</f>
        <v xml:space="preserve">   AUTRES</v>
      </c>
      <c r="C13961" s="4">
        <v>88336.34</v>
      </c>
      <c r="D13961" s="4">
        <v>62399626</v>
      </c>
    </row>
    <row r="13962" spans="1:4" x14ac:dyDescent="0.25">
      <c r="A13962" t="str">
        <f>T("   847480")</f>
        <v xml:space="preserve">   847480</v>
      </c>
      <c r="B13962" t="str">
        <f>T("   AUTRES MACHINES ET APPAREILS")</f>
        <v xml:space="preserve">   AUTRES MACHINES ET APPAREILS</v>
      </c>
      <c r="C13962" s="4">
        <v>126563</v>
      </c>
      <c r="D13962" s="4">
        <v>124474707</v>
      </c>
    </row>
    <row r="13963" spans="1:4" x14ac:dyDescent="0.25">
      <c r="A13963" t="str">
        <f>T("   847490")</f>
        <v xml:space="preserve">   847490</v>
      </c>
      <c r="B13963" t="str">
        <f>T("   PARTIES")</f>
        <v xml:space="preserve">   PARTIES</v>
      </c>
      <c r="C13963" s="4">
        <v>242079.5</v>
      </c>
      <c r="D13963" s="4">
        <v>677225975</v>
      </c>
    </row>
    <row r="13964" spans="1:4" x14ac:dyDescent="0.25">
      <c r="A13964" t="str">
        <f>T("   847629")</f>
        <v xml:space="preserve">   847629</v>
      </c>
      <c r="B13964" t="str">
        <f>T("   AUTRES")</f>
        <v xml:space="preserve">   AUTRES</v>
      </c>
      <c r="C13964" s="4">
        <v>8</v>
      </c>
      <c r="D13964" s="4">
        <v>1457543</v>
      </c>
    </row>
    <row r="13965" spans="1:4" x14ac:dyDescent="0.25">
      <c r="A13965" t="str">
        <f>T("   847689")</f>
        <v xml:space="preserve">   847689</v>
      </c>
      <c r="B13965" t="str">
        <f>T("   AUTRES")</f>
        <v xml:space="preserve">   AUTRES</v>
      </c>
      <c r="C13965" s="4">
        <v>2258</v>
      </c>
      <c r="D13965" s="4">
        <v>335000</v>
      </c>
    </row>
    <row r="13966" spans="1:4" x14ac:dyDescent="0.25">
      <c r="A13966" t="str">
        <f>T("   847710")</f>
        <v xml:space="preserve">   847710</v>
      </c>
      <c r="B13966" t="str">
        <f>T("   MACHINES A MOULER PAR INJECTION")</f>
        <v xml:space="preserve">   MACHINES A MOULER PAR INJECTION</v>
      </c>
      <c r="C13966" s="4">
        <v>81750</v>
      </c>
      <c r="D13966" s="4">
        <v>426556627</v>
      </c>
    </row>
    <row r="13967" spans="1:4" x14ac:dyDescent="0.25">
      <c r="A13967" t="str">
        <f>T("   847730")</f>
        <v xml:space="preserve">   847730</v>
      </c>
      <c r="B13967" t="str">
        <f>T("   MACHINES A MOULER PAR SOUFFLAGE")</f>
        <v xml:space="preserve">   MACHINES A MOULER PAR SOUFFLAGE</v>
      </c>
      <c r="C13967" s="4">
        <v>15923</v>
      </c>
      <c r="D13967" s="4">
        <v>30495398</v>
      </c>
    </row>
    <row r="13968" spans="1:4" x14ac:dyDescent="0.25">
      <c r="A13968" t="str">
        <f>T("   847740")</f>
        <v xml:space="preserve">   847740</v>
      </c>
      <c r="B13968" t="str">
        <f>T("   Machines a mouler sous vide et autres machines a thermoformer")</f>
        <v xml:space="preserve">   Machines a mouler sous vide et autres machines a thermoformer</v>
      </c>
      <c r="C13968" s="4">
        <v>1850</v>
      </c>
      <c r="D13968" s="4">
        <v>3044310</v>
      </c>
    </row>
    <row r="13969" spans="1:4" x14ac:dyDescent="0.25">
      <c r="A13969" t="str">
        <f>T("   847759")</f>
        <v xml:space="preserve">   847759</v>
      </c>
      <c r="B13969" t="str">
        <f>T("   AUTRES")</f>
        <v xml:space="preserve">   AUTRES</v>
      </c>
      <c r="C13969" s="4">
        <v>10071.5</v>
      </c>
      <c r="D13969" s="4">
        <v>46808580</v>
      </c>
    </row>
    <row r="13970" spans="1:4" x14ac:dyDescent="0.25">
      <c r="A13970" t="str">
        <f>T("   847780")</f>
        <v xml:space="preserve">   847780</v>
      </c>
      <c r="B13970" t="str">
        <f>T("   AUTRES MACHINES ET APPAREILS")</f>
        <v xml:space="preserve">   AUTRES MACHINES ET APPAREILS</v>
      </c>
      <c r="C13970" s="4">
        <v>37968</v>
      </c>
      <c r="D13970" s="4">
        <v>294247702</v>
      </c>
    </row>
    <row r="13971" spans="1:4" x14ac:dyDescent="0.25">
      <c r="A13971" t="str">
        <f>T("   847790")</f>
        <v xml:space="preserve">   847790</v>
      </c>
      <c r="B13971" t="str">
        <f>T("   PARTIES")</f>
        <v xml:space="preserve">   PARTIES</v>
      </c>
      <c r="C13971" s="4">
        <v>17244.400000000001</v>
      </c>
      <c r="D13971" s="4">
        <v>37448827</v>
      </c>
    </row>
    <row r="13972" spans="1:4" x14ac:dyDescent="0.25">
      <c r="A13972" t="str">
        <f>T("   847810")</f>
        <v xml:space="preserve">   847810</v>
      </c>
      <c r="B13972" t="str">
        <f>T("   MACHINES ET APPAREILS")</f>
        <v xml:space="preserve">   MACHINES ET APPAREILS</v>
      </c>
      <c r="C13972" s="4">
        <v>358</v>
      </c>
      <c r="D13972" s="4">
        <v>781248</v>
      </c>
    </row>
    <row r="13973" spans="1:4" x14ac:dyDescent="0.25">
      <c r="A13973" t="str">
        <f>T("   847910")</f>
        <v xml:space="preserve">   847910</v>
      </c>
      <c r="B13973" t="str">
        <f>T("   MACHINES ET APPAREILS POUR LES TRAVAUX PUBLICS, LE BATIMENT OU LES TRAVAUX ANALOGUES")</f>
        <v xml:space="preserve">   MACHINES ET APPAREILS POUR LES TRAVAUX PUBLICS, LE BATIMENT OU LES TRAVAUX ANALOGUES</v>
      </c>
      <c r="C13973" s="4">
        <v>74859.899999999994</v>
      </c>
      <c r="D13973" s="4">
        <v>102750936</v>
      </c>
    </row>
    <row r="13974" spans="1:4" x14ac:dyDescent="0.25">
      <c r="A13974" t="str">
        <f>T("   847920")</f>
        <v xml:space="preserve">   847920</v>
      </c>
      <c r="B13974" t="str">
        <f>T("   MACHINES ET APPAREILS POUR L'EXTRACTION OU LA PREPARATION DES HUILES OU GRAISSES VEGE")</f>
        <v xml:space="preserve">   MACHINES ET APPAREILS POUR L'EXTRACTION OU LA PREPARATION DES HUILES OU GRAISSES VEGE</v>
      </c>
      <c r="C13974" s="4">
        <v>689.25</v>
      </c>
      <c r="D13974" s="4">
        <v>6317391</v>
      </c>
    </row>
    <row r="13975" spans="1:4" x14ac:dyDescent="0.25">
      <c r="A13975" t="str">
        <f>T("   847940")</f>
        <v xml:space="preserve">   847940</v>
      </c>
      <c r="B13975" t="str">
        <f>T("   MACHINES DE CORDERIE OU DE CABLERIE")</f>
        <v xml:space="preserve">   MACHINES DE CORDERIE OU DE CABLERIE</v>
      </c>
      <c r="C13975" s="4">
        <v>322</v>
      </c>
      <c r="D13975" s="4">
        <v>979547</v>
      </c>
    </row>
    <row r="13976" spans="1:4" x14ac:dyDescent="0.25">
      <c r="A13976" t="str">
        <f>T("   847981")</f>
        <v xml:space="preserve">   847981</v>
      </c>
      <c r="B13976" t="str">
        <f>T("   POUR LE TRAITEMENT DES METAUX, Y COMPRIS LES BOBINEUSES POUR ENROULEMENTS ELECTRIQUE")</f>
        <v xml:space="preserve">   POUR LE TRAITEMENT DES METAUX, Y COMPRIS LES BOBINEUSES POUR ENROULEMENTS ELECTRIQUE</v>
      </c>
      <c r="C13976" s="4">
        <v>850</v>
      </c>
      <c r="D13976" s="4">
        <v>1294530</v>
      </c>
    </row>
    <row r="13977" spans="1:4" x14ac:dyDescent="0.25">
      <c r="A13977" t="str">
        <f>T("   847982")</f>
        <v xml:space="preserve">   847982</v>
      </c>
      <c r="B13977" t="str">
        <f>T("   A MELANGER, MALAXER, CONCASSER, BROYER, CRIBLER, TAMISER, HOMOGENEISER, EMULSIONNER")</f>
        <v xml:space="preserve">   A MELANGER, MALAXER, CONCASSER, BROYER, CRIBLER, TAMISER, HOMOGENEISER, EMULSIONNER</v>
      </c>
      <c r="C13977" s="4">
        <v>6733</v>
      </c>
      <c r="D13977" s="4">
        <v>49408118</v>
      </c>
    </row>
    <row r="13978" spans="1:4" x14ac:dyDescent="0.25">
      <c r="A13978" t="str">
        <f>T("   847989")</f>
        <v xml:space="preserve">   847989</v>
      </c>
      <c r="B13978" t="str">
        <f>T("   AUTRES")</f>
        <v xml:space="preserve">   AUTRES</v>
      </c>
      <c r="C13978" s="4">
        <v>529442.19999999995</v>
      </c>
      <c r="D13978" s="4">
        <v>904982847</v>
      </c>
    </row>
    <row r="13979" spans="1:4" x14ac:dyDescent="0.25">
      <c r="A13979" t="str">
        <f>T("   847990")</f>
        <v xml:space="preserve">   847990</v>
      </c>
      <c r="B13979" t="str">
        <f>T("   PARTIES")</f>
        <v xml:space="preserve">   PARTIES</v>
      </c>
      <c r="C13979" s="4">
        <v>7929.4</v>
      </c>
      <c r="D13979" s="4">
        <v>68920637</v>
      </c>
    </row>
    <row r="13980" spans="1:4" x14ac:dyDescent="0.25">
      <c r="A13980" t="str">
        <f>T("   848030")</f>
        <v xml:space="preserve">   848030</v>
      </c>
      <c r="B13980" t="str">
        <f>T("   MODELES POUR MOULES")</f>
        <v xml:space="preserve">   MODELES POUR MOULES</v>
      </c>
      <c r="C13980" s="4">
        <v>915</v>
      </c>
      <c r="D13980" s="4">
        <v>15186130</v>
      </c>
    </row>
    <row r="13981" spans="1:4" x14ac:dyDescent="0.25">
      <c r="A13981" t="str">
        <f>T("   848041")</f>
        <v xml:space="preserve">   848041</v>
      </c>
      <c r="B13981" t="str">
        <f>T("   POUR LE MOULAGE PAR INJECTION OU PAR COMPRESSION")</f>
        <v xml:space="preserve">   POUR LE MOULAGE PAR INJECTION OU PAR COMPRESSION</v>
      </c>
      <c r="C13981" s="4">
        <v>146</v>
      </c>
      <c r="D13981" s="4">
        <v>146381</v>
      </c>
    </row>
    <row r="13982" spans="1:4" x14ac:dyDescent="0.25">
      <c r="A13982" t="str">
        <f>T("   848049")</f>
        <v xml:space="preserve">   848049</v>
      </c>
      <c r="B13982" t="str">
        <f>T("   AUTRES")</f>
        <v xml:space="preserve">   AUTRES</v>
      </c>
      <c r="C13982" s="4">
        <v>63</v>
      </c>
      <c r="D13982" s="4">
        <v>1480173</v>
      </c>
    </row>
    <row r="13983" spans="1:4" x14ac:dyDescent="0.25">
      <c r="A13983" t="str">
        <f>T("   848060")</f>
        <v xml:space="preserve">   848060</v>
      </c>
      <c r="B13983" t="str">
        <f>T("   MOULES POUR LES MATIERES MINERALES")</f>
        <v xml:space="preserve">   MOULES POUR LES MATIERES MINERALES</v>
      </c>
      <c r="C13983" s="4">
        <v>5169</v>
      </c>
      <c r="D13983" s="4">
        <v>1247921</v>
      </c>
    </row>
    <row r="13984" spans="1:4" x14ac:dyDescent="0.25">
      <c r="A13984" t="str">
        <f>T("   848071")</f>
        <v xml:space="preserve">   848071</v>
      </c>
      <c r="B13984" t="str">
        <f>T("   POUR LE MOULAGE PAR INJECTION OU PAR COMPRESSION")</f>
        <v xml:space="preserve">   POUR LE MOULAGE PAR INJECTION OU PAR COMPRESSION</v>
      </c>
      <c r="C13984" s="4">
        <v>720</v>
      </c>
      <c r="D13984" s="4">
        <v>5247319</v>
      </c>
    </row>
    <row r="13985" spans="1:4" x14ac:dyDescent="0.25">
      <c r="A13985" t="str">
        <f>T("   848079")</f>
        <v xml:space="preserve">   848079</v>
      </c>
      <c r="B13985" t="str">
        <f>T("   AUTRES")</f>
        <v xml:space="preserve">   AUTRES</v>
      </c>
      <c r="C13985" s="4">
        <v>50760</v>
      </c>
      <c r="D13985" s="4">
        <v>26986700</v>
      </c>
    </row>
    <row r="13986" spans="1:4" x14ac:dyDescent="0.25">
      <c r="A13986" t="str">
        <f>T("   848110")</f>
        <v xml:space="preserve">   848110</v>
      </c>
      <c r="B13986" t="str">
        <f>T("   DETENDEURS")</f>
        <v xml:space="preserve">   DETENDEURS</v>
      </c>
      <c r="C13986" s="4">
        <v>6485.55</v>
      </c>
      <c r="D13986" s="4">
        <v>23303303</v>
      </c>
    </row>
    <row r="13987" spans="1:4" x14ac:dyDescent="0.25">
      <c r="A13987" t="str">
        <f>T("   848120")</f>
        <v xml:space="preserve">   848120</v>
      </c>
      <c r="B13987" t="str">
        <f>T("   VALVES POUR TRANSMISSIONS OLEOHYDRAULIQUES OU PNEUMATIQUES")</f>
        <v xml:space="preserve">   VALVES POUR TRANSMISSIONS OLEOHYDRAULIQUES OU PNEUMATIQUES</v>
      </c>
      <c r="C13987" s="4">
        <v>1736.66</v>
      </c>
      <c r="D13987" s="4">
        <v>77724764</v>
      </c>
    </row>
    <row r="13988" spans="1:4" x14ac:dyDescent="0.25">
      <c r="A13988" t="str">
        <f>T("   848130")</f>
        <v xml:space="preserve">   848130</v>
      </c>
      <c r="B13988" t="str">
        <f>T("   Clapets et soupapes de retenue")</f>
        <v xml:space="preserve">   Clapets et soupapes de retenue</v>
      </c>
      <c r="C13988" s="4">
        <v>45204.69</v>
      </c>
      <c r="D13988" s="4">
        <v>58508057</v>
      </c>
    </row>
    <row r="13989" spans="1:4" x14ac:dyDescent="0.25">
      <c r="A13989" t="str">
        <f>T("   848140")</f>
        <v xml:space="preserve">   848140</v>
      </c>
      <c r="B13989" t="str">
        <f>T("   SOUPAPES DE TROPPLEIN OU DE SURETE")</f>
        <v xml:space="preserve">   SOUPAPES DE TROPPLEIN OU DE SURETE</v>
      </c>
      <c r="C13989" s="4">
        <v>1522</v>
      </c>
      <c r="D13989" s="4">
        <v>8716433</v>
      </c>
    </row>
    <row r="13990" spans="1:4" x14ac:dyDescent="0.25">
      <c r="A13990" t="str">
        <f>T("   848180")</f>
        <v xml:space="preserve">   848180</v>
      </c>
      <c r="B13990" t="str">
        <f>T("   Autres articles de robinetterie et organes similaires")</f>
        <v xml:space="preserve">   Autres articles de robinetterie et organes similaires</v>
      </c>
      <c r="C13990" s="4">
        <v>360608.54</v>
      </c>
      <c r="D13990" s="4">
        <v>1029940093</v>
      </c>
    </row>
    <row r="13991" spans="1:4" x14ac:dyDescent="0.25">
      <c r="A13991" t="str">
        <f>T("   848190")</f>
        <v xml:space="preserve">   848190</v>
      </c>
      <c r="B13991" t="str">
        <f>T("   PARTIES")</f>
        <v xml:space="preserve">   PARTIES</v>
      </c>
      <c r="C13991" s="4">
        <v>7853.1</v>
      </c>
      <c r="D13991" s="4">
        <v>42272381</v>
      </c>
    </row>
    <row r="13992" spans="1:4" x14ac:dyDescent="0.25">
      <c r="A13992" t="str">
        <f>T("   848210")</f>
        <v xml:space="preserve">   848210</v>
      </c>
      <c r="B13992" t="str">
        <f>T("   ROULEMENTS A BILLES")</f>
        <v xml:space="preserve">   ROULEMENTS A BILLES</v>
      </c>
      <c r="C13992" s="4">
        <v>2092.6</v>
      </c>
      <c r="D13992" s="4">
        <v>21615544</v>
      </c>
    </row>
    <row r="13993" spans="1:4" x14ac:dyDescent="0.25">
      <c r="A13993" t="str">
        <f>T("   848220")</f>
        <v xml:space="preserve">   848220</v>
      </c>
      <c r="B13993" t="str">
        <f>T("   ROULEMENTS A ROULEAUX CONIQUES, Y COMPRIS LES ASSEMBLAGES DE CONES ET ROULEAUX CONIQU")</f>
        <v xml:space="preserve">   ROULEMENTS A ROULEAUX CONIQUES, Y COMPRIS LES ASSEMBLAGES DE CONES ET ROULEAUX CONIQU</v>
      </c>
      <c r="C13993" s="4">
        <v>1806</v>
      </c>
      <c r="D13993" s="4">
        <v>19532694</v>
      </c>
    </row>
    <row r="13994" spans="1:4" x14ac:dyDescent="0.25">
      <c r="A13994" t="str">
        <f>T("   848240")</f>
        <v xml:space="preserve">   848240</v>
      </c>
      <c r="B13994" t="str">
        <f>T("   ROULEMENTS A AIGUILLES")</f>
        <v xml:space="preserve">   ROULEMENTS A AIGUILLES</v>
      </c>
      <c r="C13994" s="4">
        <v>343.5</v>
      </c>
      <c r="D13994" s="4">
        <v>6027471</v>
      </c>
    </row>
    <row r="13995" spans="1:4" x14ac:dyDescent="0.25">
      <c r="A13995" t="str">
        <f>T("   848250")</f>
        <v xml:space="preserve">   848250</v>
      </c>
      <c r="B13995" t="str">
        <f>T("   ROULEMENTS A ROULEAUX CYLINDRIQUES")</f>
        <v xml:space="preserve">   ROULEMENTS A ROULEAUX CYLINDRIQUES</v>
      </c>
      <c r="C13995" s="4">
        <v>269</v>
      </c>
      <c r="D13995" s="4">
        <v>1427107</v>
      </c>
    </row>
    <row r="13996" spans="1:4" x14ac:dyDescent="0.25">
      <c r="A13996" t="str">
        <f>T("   848280")</f>
        <v xml:space="preserve">   848280</v>
      </c>
      <c r="B13996" t="str">
        <f>T("   AUTRES, Y COMPRIS LES ROULEMENTS COMBINES")</f>
        <v xml:space="preserve">   AUTRES, Y COMPRIS LES ROULEMENTS COMBINES</v>
      </c>
      <c r="C13996" s="4">
        <v>18381.05</v>
      </c>
      <c r="D13996" s="4">
        <v>35344411</v>
      </c>
    </row>
    <row r="13997" spans="1:4" x14ac:dyDescent="0.25">
      <c r="A13997" t="str">
        <f>T("   848291")</f>
        <v xml:space="preserve">   848291</v>
      </c>
      <c r="B13997" t="str">
        <f>T("   BILLES, GALETS, ROULEAUX ET AIGUILLES")</f>
        <v xml:space="preserve">   BILLES, GALETS, ROULEAUX ET AIGUILLES</v>
      </c>
      <c r="C13997" s="4">
        <v>4815</v>
      </c>
      <c r="D13997" s="4">
        <v>27041547</v>
      </c>
    </row>
    <row r="13998" spans="1:4" x14ac:dyDescent="0.25">
      <c r="A13998" t="str">
        <f>T("   848299")</f>
        <v xml:space="preserve">   848299</v>
      </c>
      <c r="B13998" t="str">
        <f>T("   AUTRES")</f>
        <v xml:space="preserve">   AUTRES</v>
      </c>
      <c r="C13998" s="4">
        <v>13666.9</v>
      </c>
      <c r="D13998" s="4">
        <v>25915969</v>
      </c>
    </row>
    <row r="13999" spans="1:4" x14ac:dyDescent="0.25">
      <c r="A13999" t="str">
        <f>T("   848310")</f>
        <v xml:space="preserve">   848310</v>
      </c>
      <c r="B13999" t="str">
        <f>T("   ARBRES DE TRANSMISSION (Y COMPRIS LES ARBRES A CAMES ET LES VILEBREQUINS) ET MANIVELL")</f>
        <v xml:space="preserve">   ARBRES DE TRANSMISSION (Y COMPRIS LES ARBRES A CAMES ET LES VILEBREQUINS) ET MANIVELL</v>
      </c>
      <c r="C13999" s="4">
        <v>1603.19</v>
      </c>
      <c r="D13999" s="4">
        <v>11883572</v>
      </c>
    </row>
    <row r="14000" spans="1:4" x14ac:dyDescent="0.25">
      <c r="A14000" t="str">
        <f>T("   848320")</f>
        <v xml:space="preserve">   848320</v>
      </c>
      <c r="B14000" t="str">
        <f>T("   PALIERS A ROULEMENTS INCORPORES")</f>
        <v xml:space="preserve">   PALIERS A ROULEMENTS INCORPORES</v>
      </c>
      <c r="C14000" s="4">
        <v>69</v>
      </c>
      <c r="D14000" s="4">
        <v>1292241</v>
      </c>
    </row>
    <row r="14001" spans="1:4" x14ac:dyDescent="0.25">
      <c r="A14001" t="str">
        <f>T("   848330")</f>
        <v xml:space="preserve">   848330</v>
      </c>
      <c r="B14001" t="str">
        <f>T("   PALIERS, AUTRES QU'A ROULEMENTS INCORPORES; COUSSINETS")</f>
        <v xml:space="preserve">   PALIERS, AUTRES QU'A ROULEMENTS INCORPORES; COUSSINETS</v>
      </c>
      <c r="C14001" s="4">
        <v>2685.24</v>
      </c>
      <c r="D14001" s="4">
        <v>34478309</v>
      </c>
    </row>
    <row r="14002" spans="1:4" x14ac:dyDescent="0.25">
      <c r="A14002" t="str">
        <f>T("   848340")</f>
        <v xml:space="preserve">   848340</v>
      </c>
      <c r="B14002" t="str">
        <f>T("   ENGRENAGES ET ROUES DE FRICTION, AUTRES QUE LES ROUES DENTEES ET AUTRES ORGANES ELEME")</f>
        <v xml:space="preserve">   ENGRENAGES ET ROUES DE FRICTION, AUTRES QUE LES ROUES DENTEES ET AUTRES ORGANES ELEME</v>
      </c>
      <c r="C14002" s="4">
        <v>15154.76</v>
      </c>
      <c r="D14002" s="4">
        <v>162079779</v>
      </c>
    </row>
    <row r="14003" spans="1:4" x14ac:dyDescent="0.25">
      <c r="A14003" t="str">
        <f>T("   848350")</f>
        <v xml:space="preserve">   848350</v>
      </c>
      <c r="B14003" t="str">
        <f>T("   VOLANTS ET POULIES, Y COMPRIS LES POULIES A MOUFLES")</f>
        <v xml:space="preserve">   VOLANTS ET POULIES, Y COMPRIS LES POULIES A MOUFLES</v>
      </c>
      <c r="C14003" s="4">
        <v>1940</v>
      </c>
      <c r="D14003" s="4">
        <v>12156938</v>
      </c>
    </row>
    <row r="14004" spans="1:4" x14ac:dyDescent="0.25">
      <c r="A14004" t="str">
        <f>T("   848360")</f>
        <v xml:space="preserve">   848360</v>
      </c>
      <c r="B14004" t="str">
        <f>T("   EMBRAYAGES ET ORGANES D'ACCOUPLEMENT, Y COMPRIS LES JOINTS D'ARTICULATION")</f>
        <v xml:space="preserve">   EMBRAYAGES ET ORGANES D'ACCOUPLEMENT, Y COMPRIS LES JOINTS D'ARTICULATION</v>
      </c>
      <c r="C14004" s="4">
        <v>5247.2</v>
      </c>
      <c r="D14004" s="4">
        <v>104723626</v>
      </c>
    </row>
    <row r="14005" spans="1:4" x14ac:dyDescent="0.25">
      <c r="A14005" t="str">
        <f>T("   848390")</f>
        <v xml:space="preserve">   848390</v>
      </c>
      <c r="B14005" t="str">
        <f>T("   ROUES DENTEES ET AUTRES ORGANES ELEMENTAIRES DE TRANSMISSION PRESENTES SEPAREMENT; PA")</f>
        <v xml:space="preserve">   ROUES DENTEES ET AUTRES ORGANES ELEMENTAIRES DE TRANSMISSION PRESENTES SEPAREMENT; PA</v>
      </c>
      <c r="C14005" s="4">
        <v>5353.56</v>
      </c>
      <c r="D14005" s="4">
        <v>71469402</v>
      </c>
    </row>
    <row r="14006" spans="1:4" x14ac:dyDescent="0.25">
      <c r="A14006" t="str">
        <f>T("   848410")</f>
        <v xml:space="preserve">   848410</v>
      </c>
      <c r="B14006" t="str">
        <f>T("   JOINTS METALLOPLASTIQUES")</f>
        <v xml:space="preserve">   JOINTS METALLOPLASTIQUES</v>
      </c>
      <c r="C14006" s="4">
        <v>4985.3599999999997</v>
      </c>
      <c r="D14006" s="4">
        <v>23407253</v>
      </c>
    </row>
    <row r="14007" spans="1:4" x14ac:dyDescent="0.25">
      <c r="A14007" t="str">
        <f>T("   848420")</f>
        <v xml:space="preserve">   848420</v>
      </c>
      <c r="B14007" t="str">
        <f>T("   JOINTS D'ETANCHEITE MECANIQUES")</f>
        <v xml:space="preserve">   JOINTS D'ETANCHEITE MECANIQUES</v>
      </c>
      <c r="C14007" s="4">
        <v>316.63</v>
      </c>
      <c r="D14007" s="4">
        <v>39948406</v>
      </c>
    </row>
    <row r="14008" spans="1:4" x14ac:dyDescent="0.25">
      <c r="A14008" t="str">
        <f>T("   848490")</f>
        <v xml:space="preserve">   848490</v>
      </c>
      <c r="B14008" t="str">
        <f>T("   AUTRES")</f>
        <v xml:space="preserve">   AUTRES</v>
      </c>
      <c r="C14008" s="4">
        <v>11965.08</v>
      </c>
      <c r="D14008" s="4">
        <v>245391438</v>
      </c>
    </row>
    <row r="14009" spans="1:4" x14ac:dyDescent="0.25">
      <c r="A14009" t="str">
        <f>T("   848620")</f>
        <v xml:space="preserve">   848620</v>
      </c>
      <c r="B14009" t="str">
        <f>T("   MACHINES ET APPAREILS POUR LA FABRICATION DE DISPOSITIFS A SEMICONDUCTEUR OU DES CIR")</f>
        <v xml:space="preserve">   MACHINES ET APPAREILS POUR LA FABRICATION DE DISPOSITIFS A SEMICONDUCTEUR OU DES CIR</v>
      </c>
      <c r="C14009" s="4">
        <v>300</v>
      </c>
      <c r="D14009" s="4">
        <v>220000</v>
      </c>
    </row>
    <row r="14010" spans="1:4" x14ac:dyDescent="0.25">
      <c r="A14010" t="str">
        <f>T("   848630")</f>
        <v xml:space="preserve">   848630</v>
      </c>
      <c r="B14010" t="str">
        <f>T("   MACHINES ET APPAREILS POUR LA FABRICATION DE DISPOSITIFS D'AFFICHAGE A ECRAN PLAT")</f>
        <v xml:space="preserve">   MACHINES ET APPAREILS POUR LA FABRICATION DE DISPOSITIFS D'AFFICHAGE A ECRAN PLAT</v>
      </c>
      <c r="C14010" s="4">
        <v>500</v>
      </c>
      <c r="D14010" s="4">
        <v>131000</v>
      </c>
    </row>
    <row r="14011" spans="1:4" x14ac:dyDescent="0.25">
      <c r="A14011" t="str">
        <f>T("   848790")</f>
        <v xml:space="preserve">   848790</v>
      </c>
      <c r="B14011" t="str">
        <f>T("   AUTRES")</f>
        <v xml:space="preserve">   AUTRES</v>
      </c>
      <c r="C14011" s="4">
        <v>1505</v>
      </c>
      <c r="D14011" s="4">
        <v>1791794</v>
      </c>
    </row>
    <row r="14012" spans="1:4" x14ac:dyDescent="0.25">
      <c r="A14012" t="str">
        <f>T("   850110")</f>
        <v xml:space="preserve">   850110</v>
      </c>
      <c r="B14012" t="str">
        <f>T("   MOTEURS D'UNE PUISSANCE N'EXCEDANT PAS 37,5 W")</f>
        <v xml:space="preserve">   MOTEURS D'UNE PUISSANCE N'EXCEDANT PAS 37,5 W</v>
      </c>
      <c r="C14012" s="4">
        <v>11354</v>
      </c>
      <c r="D14012" s="4">
        <v>27148852</v>
      </c>
    </row>
    <row r="14013" spans="1:4" x14ac:dyDescent="0.25">
      <c r="A14013" t="str">
        <f>T("   850120")</f>
        <v xml:space="preserve">   850120</v>
      </c>
      <c r="B14013" t="str">
        <f>T("   MOTEURS UNIVERSELS D'UNE PUISSANCE EXCEDANT 37,5 W")</f>
        <v xml:space="preserve">   MOTEURS UNIVERSELS D'UNE PUISSANCE EXCEDANT 37,5 W</v>
      </c>
      <c r="C14013" s="4">
        <v>13</v>
      </c>
      <c r="D14013" s="4">
        <v>304759</v>
      </c>
    </row>
    <row r="14014" spans="1:4" x14ac:dyDescent="0.25">
      <c r="A14014" t="str">
        <f>T("   850131")</f>
        <v xml:space="preserve">   850131</v>
      </c>
      <c r="B14014" t="str">
        <f>T("   D'UNE PUISSANCE N'EXCEDANT PAS 750 W")</f>
        <v xml:space="preserve">   D'UNE PUISSANCE N'EXCEDANT PAS 750 W</v>
      </c>
      <c r="C14014" s="4">
        <v>71100</v>
      </c>
      <c r="D14014" s="4">
        <v>77638067</v>
      </c>
    </row>
    <row r="14015" spans="1:4" x14ac:dyDescent="0.25">
      <c r="A14015" t="str">
        <f>T("   850132")</f>
        <v xml:space="preserve">   850132</v>
      </c>
      <c r="B14015" t="str">
        <f>T("   D'UNE PUISSANCE EXCEDANT 750 W MAIS N'EXCEDANT PAS 75 KW")</f>
        <v xml:space="preserve">   D'UNE PUISSANCE EXCEDANT 750 W MAIS N'EXCEDANT PAS 75 KW</v>
      </c>
      <c r="C14015" s="4">
        <v>199</v>
      </c>
      <c r="D14015" s="4">
        <v>2215686</v>
      </c>
    </row>
    <row r="14016" spans="1:4" x14ac:dyDescent="0.25">
      <c r="A14016" t="str">
        <f>T("   850134")</f>
        <v xml:space="preserve">   850134</v>
      </c>
      <c r="B14016" t="str">
        <f>T("   D'UNE PUISSANCE EXCEDANT 375 KW")</f>
        <v xml:space="preserve">   D'UNE PUISSANCE EXCEDANT 375 KW</v>
      </c>
      <c r="C14016" s="4">
        <v>2000</v>
      </c>
      <c r="D14016" s="4">
        <v>80028716</v>
      </c>
    </row>
    <row r="14017" spans="1:4" x14ac:dyDescent="0.25">
      <c r="A14017" t="str">
        <f>T("   850140")</f>
        <v xml:space="preserve">   850140</v>
      </c>
      <c r="B14017" t="str">
        <f>T("   AUTRES MOTEURS A COURANT ALTERNATIF, MONOPHASES")</f>
        <v xml:space="preserve">   AUTRES MOTEURS A COURANT ALTERNATIF, MONOPHASES</v>
      </c>
      <c r="C14017" s="4">
        <v>5165.24</v>
      </c>
      <c r="D14017" s="4">
        <v>40275922</v>
      </c>
    </row>
    <row r="14018" spans="1:4" x14ac:dyDescent="0.25">
      <c r="A14018" t="str">
        <f>T("   850151")</f>
        <v xml:space="preserve">   850151</v>
      </c>
      <c r="B14018" t="str">
        <f>T("   D'UNE PUISSANCE N'EXCEDANT PAS 750 W")</f>
        <v xml:space="preserve">   D'UNE PUISSANCE N'EXCEDANT PAS 750 W</v>
      </c>
      <c r="C14018" s="4">
        <v>12228.8</v>
      </c>
      <c r="D14018" s="4">
        <v>47672568</v>
      </c>
    </row>
    <row r="14019" spans="1:4" x14ac:dyDescent="0.25">
      <c r="A14019" t="str">
        <f>T("   850152")</f>
        <v xml:space="preserve">   850152</v>
      </c>
      <c r="B14019" t="str">
        <f>T("   D'UNE PUISSANCE EXCEDANT 750 W MAIS N'EXCEDANT PAS 75 KW")</f>
        <v xml:space="preserve">   D'UNE PUISSANCE EXCEDANT 750 W MAIS N'EXCEDANT PAS 75 KW</v>
      </c>
      <c r="C14019" s="4">
        <v>5081</v>
      </c>
      <c r="D14019" s="4">
        <v>34403704</v>
      </c>
    </row>
    <row r="14020" spans="1:4" x14ac:dyDescent="0.25">
      <c r="A14020" t="str">
        <f>T("   850153")</f>
        <v xml:space="preserve">   850153</v>
      </c>
      <c r="B14020" t="str">
        <f>T("   D'UNE PUISSANCE EXCEDANT 75 KW")</f>
        <v xml:space="preserve">   D'UNE PUISSANCE EXCEDANT 75 KW</v>
      </c>
      <c r="C14020" s="4">
        <v>14779</v>
      </c>
      <c r="D14020" s="4">
        <v>62631940</v>
      </c>
    </row>
    <row r="14021" spans="1:4" x14ac:dyDescent="0.25">
      <c r="A14021" t="str">
        <f>T("   850161")</f>
        <v xml:space="preserve">   850161</v>
      </c>
      <c r="B14021" t="str">
        <f>T("   D'UNE PUISSANCE N'EXCEDANT PAS 75 KVA")</f>
        <v xml:space="preserve">   D'UNE PUISSANCE N'EXCEDANT PAS 75 KVA</v>
      </c>
      <c r="C14021" s="4">
        <v>6605.5</v>
      </c>
      <c r="D14021" s="4">
        <v>7546355</v>
      </c>
    </row>
    <row r="14022" spans="1:4" x14ac:dyDescent="0.25">
      <c r="A14022" t="str">
        <f>T("   850162")</f>
        <v xml:space="preserve">   850162</v>
      </c>
      <c r="B14022" t="str">
        <f>T("   D'UNE PUISSANCE EXCEDANT 75 KVA MAIS N'EXCEDANT PAS 375 KVA")</f>
        <v xml:space="preserve">   D'UNE PUISSANCE EXCEDANT 75 KVA MAIS N'EXCEDANT PAS 375 KVA</v>
      </c>
      <c r="C14022" s="4">
        <v>40414.6</v>
      </c>
      <c r="D14022" s="4">
        <v>178937599</v>
      </c>
    </row>
    <row r="14023" spans="1:4" x14ac:dyDescent="0.25">
      <c r="A14023" t="str">
        <f>T("   850163")</f>
        <v xml:space="preserve">   850163</v>
      </c>
      <c r="B14023" t="str">
        <f>T("   D'UNE PUISSANCE EXCEDANT 375 KVA MAIS N'EXCEDANT PAS 750 KVA")</f>
        <v xml:space="preserve">   D'UNE PUISSANCE EXCEDANT 375 KVA MAIS N'EXCEDANT PAS 750 KVA</v>
      </c>
      <c r="C14023" s="4">
        <v>132247</v>
      </c>
      <c r="D14023" s="4">
        <v>132765019</v>
      </c>
    </row>
    <row r="14024" spans="1:4" x14ac:dyDescent="0.25">
      <c r="A14024" t="str">
        <f>T("   850164")</f>
        <v xml:space="preserve">   850164</v>
      </c>
      <c r="B14024" t="str">
        <f>T("   D'UNE PUISSANCE EXCEDANT 750 KVA")</f>
        <v xml:space="preserve">   D'UNE PUISSANCE EXCEDANT 750 KVA</v>
      </c>
      <c r="C14024" s="4">
        <v>302</v>
      </c>
      <c r="D14024" s="4">
        <v>10167635</v>
      </c>
    </row>
    <row r="14025" spans="1:4" x14ac:dyDescent="0.25">
      <c r="A14025" t="str">
        <f>T("   850211")</f>
        <v xml:space="preserve">   850211</v>
      </c>
      <c r="B14025" t="str">
        <f>T("   D'UNE PUISSANCE N'EXCEDANT PAS 75 KVA")</f>
        <v xml:space="preserve">   D'UNE PUISSANCE N'EXCEDANT PAS 75 KVA</v>
      </c>
      <c r="C14025" s="4">
        <v>512246.85</v>
      </c>
      <c r="D14025" s="4">
        <v>1933668500</v>
      </c>
    </row>
    <row r="14026" spans="1:4" x14ac:dyDescent="0.25">
      <c r="A14026" t="str">
        <f>T("   850212")</f>
        <v xml:space="preserve">   850212</v>
      </c>
      <c r="B14026" t="str">
        <f>T("   D'UNE PUISSANCE EXCEDANT 75 KVA MAIS N'EXCEDANT PAS 375 KVA")</f>
        <v xml:space="preserve">   D'UNE PUISSANCE EXCEDANT 75 KVA MAIS N'EXCEDANT PAS 375 KVA</v>
      </c>
      <c r="C14026" s="4">
        <v>145867</v>
      </c>
      <c r="D14026" s="4">
        <v>785378744</v>
      </c>
    </row>
    <row r="14027" spans="1:4" x14ac:dyDescent="0.25">
      <c r="A14027" t="str">
        <f>T("   850213")</f>
        <v xml:space="preserve">   850213</v>
      </c>
      <c r="B14027" t="str">
        <f>T("   D'UNE PUISSANCE EXCEDANT 375 KVA")</f>
        <v xml:space="preserve">   D'UNE PUISSANCE EXCEDANT 375 KVA</v>
      </c>
      <c r="C14027" s="4">
        <v>399273</v>
      </c>
      <c r="D14027" s="4">
        <v>2494215866</v>
      </c>
    </row>
    <row r="14028" spans="1:4" x14ac:dyDescent="0.25">
      <c r="A14028" t="str">
        <f>T("   850220")</f>
        <v xml:space="preserve">   850220</v>
      </c>
      <c r="B14028" t="str">
        <f>T("   GROUPES ELECTROGENES A MOTEUR A PISTON A ALLUMAGE PAR ETINCELLES (MOTEURS A EXPLOSION")</f>
        <v xml:space="preserve">   GROUPES ELECTROGENES A MOTEUR A PISTON A ALLUMAGE PAR ETINCELLES (MOTEURS A EXPLOSION</v>
      </c>
      <c r="C14028" s="4">
        <v>813996.5</v>
      </c>
      <c r="D14028" s="4">
        <v>730585737</v>
      </c>
    </row>
    <row r="14029" spans="1:4" x14ac:dyDescent="0.25">
      <c r="A14029" t="str">
        <f>T("   850239")</f>
        <v xml:space="preserve">   850239</v>
      </c>
      <c r="B14029" t="str">
        <f>T("   AUTRES")</f>
        <v xml:space="preserve">   AUTRES</v>
      </c>
      <c r="C14029" s="4">
        <v>381940</v>
      </c>
      <c r="D14029" s="4">
        <v>1094519477</v>
      </c>
    </row>
    <row r="14030" spans="1:4" x14ac:dyDescent="0.25">
      <c r="A14030" t="str">
        <f>T("   850240")</f>
        <v xml:space="preserve">   850240</v>
      </c>
      <c r="B14030" t="str">
        <f>T("   CONVERTISSEURS ROTATIFS ELECTRIQUES")</f>
        <v xml:space="preserve">   CONVERTISSEURS ROTATIFS ELECTRIQUES</v>
      </c>
      <c r="C14030" s="4">
        <v>583</v>
      </c>
      <c r="D14030" s="4">
        <v>1111073</v>
      </c>
    </row>
    <row r="14031" spans="1:4" x14ac:dyDescent="0.25">
      <c r="A14031" t="str">
        <f>T("   850300")</f>
        <v xml:space="preserve">   850300</v>
      </c>
      <c r="B14031" t="str">
        <f>T("   PARTIES RECONNAISSABLES COMME ETANT EXCLUSIVEMENT OU PRINCIPALEMENT DESTINEES AUX MACHI")</f>
        <v xml:space="preserve">   PARTIES RECONNAISSABLES COMME ETANT EXCLUSIVEMENT OU PRINCIPALEMENT DESTINEES AUX MACHI</v>
      </c>
      <c r="C14031" s="4">
        <v>59835.79</v>
      </c>
      <c r="D14031" s="4">
        <v>337159812</v>
      </c>
    </row>
    <row r="14032" spans="1:4" x14ac:dyDescent="0.25">
      <c r="A14032" t="str">
        <f>T("   850410")</f>
        <v xml:space="preserve">   850410</v>
      </c>
      <c r="B14032" t="str">
        <f>T("   BALLASTS POUR LAMPES OU TUBES A DECHARGE")</f>
        <v xml:space="preserve">   BALLASTS POUR LAMPES OU TUBES A DECHARGE</v>
      </c>
      <c r="C14032" s="4">
        <v>98</v>
      </c>
      <c r="D14032" s="4">
        <v>674399</v>
      </c>
    </row>
    <row r="14033" spans="1:4" x14ac:dyDescent="0.25">
      <c r="A14033" t="str">
        <f>T("   850421")</f>
        <v xml:space="preserve">   850421</v>
      </c>
      <c r="B14033" t="str">
        <f>T("   D'UNE PUISSANCE N'EXCEDANT PAS 650 KVA")</f>
        <v xml:space="preserve">   D'UNE PUISSANCE N'EXCEDANT PAS 650 KVA</v>
      </c>
      <c r="C14033" s="4">
        <v>92352</v>
      </c>
      <c r="D14033" s="4">
        <v>412289995</v>
      </c>
    </row>
    <row r="14034" spans="1:4" x14ac:dyDescent="0.25">
      <c r="A14034" t="str">
        <f>T("   850422")</f>
        <v xml:space="preserve">   850422</v>
      </c>
      <c r="B14034" t="str">
        <f>T("   D'UNE PUISSANCE EXCEDANT 650 KVA MAIS N'EXCEDANT PAS 10.000 KVA")</f>
        <v xml:space="preserve">   D'UNE PUISSANCE EXCEDANT 650 KVA MAIS N'EXCEDANT PAS 10.000 KVA</v>
      </c>
      <c r="C14034" s="4">
        <v>64423</v>
      </c>
      <c r="D14034" s="4">
        <v>541396384</v>
      </c>
    </row>
    <row r="14035" spans="1:4" x14ac:dyDescent="0.25">
      <c r="A14035" t="str">
        <f>T("   850423")</f>
        <v xml:space="preserve">   850423</v>
      </c>
      <c r="B14035" t="str">
        <f>T("   D'UNE PUISSANCE EXCEDANT 10.000 KVA")</f>
        <v xml:space="preserve">   D'UNE PUISSANCE EXCEDANT 10.000 KVA</v>
      </c>
      <c r="C14035" s="4">
        <v>18808</v>
      </c>
      <c r="D14035" s="4">
        <v>21268278</v>
      </c>
    </row>
    <row r="14036" spans="1:4" x14ac:dyDescent="0.25">
      <c r="A14036" t="str">
        <f>T("   850431")</f>
        <v xml:space="preserve">   850431</v>
      </c>
      <c r="B14036" t="str">
        <f>T("   D'UNE PUISSANCE N'EXCEDANT PAS 1 KVA")</f>
        <v xml:space="preserve">   D'UNE PUISSANCE N'EXCEDANT PAS 1 KVA</v>
      </c>
      <c r="C14036" s="4">
        <v>1641</v>
      </c>
      <c r="D14036" s="4">
        <v>22868234</v>
      </c>
    </row>
    <row r="14037" spans="1:4" x14ac:dyDescent="0.25">
      <c r="A14037" t="str">
        <f>T("   850432")</f>
        <v xml:space="preserve">   850432</v>
      </c>
      <c r="B14037" t="str">
        <f>T("   D'UNE PUISSANCE EXCEDANT 1 KVA MAIS N'EXCEDANT PAS 16 KVA")</f>
        <v xml:space="preserve">   D'UNE PUISSANCE EXCEDANT 1 KVA MAIS N'EXCEDANT PAS 16 KVA</v>
      </c>
      <c r="C14037" s="4">
        <v>47464.2</v>
      </c>
      <c r="D14037" s="4">
        <v>88231809</v>
      </c>
    </row>
    <row r="14038" spans="1:4" x14ac:dyDescent="0.25">
      <c r="A14038" t="str">
        <f>T("   850433")</f>
        <v xml:space="preserve">   850433</v>
      </c>
      <c r="B14038" t="str">
        <f>T("   D'UNE PUISSANCE EXCEDANT 16 KVA MAIS N'EXCEDANT PAS 500 KVA")</f>
        <v xml:space="preserve">   D'UNE PUISSANCE EXCEDANT 16 KVA MAIS N'EXCEDANT PAS 500 KVA</v>
      </c>
      <c r="C14038" s="4">
        <v>132213</v>
      </c>
      <c r="D14038" s="4">
        <v>426840216</v>
      </c>
    </row>
    <row r="14039" spans="1:4" x14ac:dyDescent="0.25">
      <c r="A14039" t="str">
        <f>T("   850434")</f>
        <v xml:space="preserve">   850434</v>
      </c>
      <c r="B14039" t="str">
        <f>T("   D'UNE PUISSANCE EXCEDANT 500 KVA")</f>
        <v xml:space="preserve">   D'UNE PUISSANCE EXCEDANT 500 KVA</v>
      </c>
      <c r="C14039" s="4">
        <v>23840</v>
      </c>
      <c r="D14039" s="4">
        <v>162532470</v>
      </c>
    </row>
    <row r="14040" spans="1:4" x14ac:dyDescent="0.25">
      <c r="A14040" t="str">
        <f>T("   850440")</f>
        <v xml:space="preserve">   850440</v>
      </c>
      <c r="B14040" t="str">
        <f>T("   CONVERTISSEURS STATIQUES")</f>
        <v xml:space="preserve">   CONVERTISSEURS STATIQUES</v>
      </c>
      <c r="C14040" s="4">
        <v>208881.44</v>
      </c>
      <c r="D14040" s="4">
        <v>1471620872</v>
      </c>
    </row>
    <row r="14041" spans="1:4" x14ac:dyDescent="0.25">
      <c r="A14041" t="str">
        <f>T("   850450")</f>
        <v xml:space="preserve">   850450</v>
      </c>
      <c r="B14041" t="str">
        <f>T("   AUTRES BOBINES DE REACTANCE ET AUTRES SELFS")</f>
        <v xml:space="preserve">   AUTRES BOBINES DE REACTANCE ET AUTRES SELFS</v>
      </c>
      <c r="C14041" s="4">
        <v>46102.9</v>
      </c>
      <c r="D14041" s="4">
        <v>165944178</v>
      </c>
    </row>
    <row r="14042" spans="1:4" x14ac:dyDescent="0.25">
      <c r="A14042" t="str">
        <f>T("   850490")</f>
        <v xml:space="preserve">   850490</v>
      </c>
      <c r="B14042" t="str">
        <f>T("   PARTIES")</f>
        <v xml:space="preserve">   PARTIES</v>
      </c>
      <c r="C14042" s="4">
        <v>37684.620000000003</v>
      </c>
      <c r="D14042" s="4">
        <v>256584098</v>
      </c>
    </row>
    <row r="14043" spans="1:4" x14ac:dyDescent="0.25">
      <c r="A14043" t="str">
        <f>T("   850511")</f>
        <v xml:space="preserve">   850511</v>
      </c>
      <c r="B14043" t="str">
        <f>T("   EN METAL")</f>
        <v xml:space="preserve">   EN METAL</v>
      </c>
      <c r="C14043" s="4">
        <v>77</v>
      </c>
      <c r="D14043" s="4">
        <v>1685343</v>
      </c>
    </row>
    <row r="14044" spans="1:4" x14ac:dyDescent="0.25">
      <c r="A14044" t="str">
        <f>T("   850519")</f>
        <v xml:space="preserve">   850519</v>
      </c>
      <c r="B14044" t="str">
        <f>T("   AUTRES")</f>
        <v xml:space="preserve">   AUTRES</v>
      </c>
      <c r="C14044" s="4">
        <v>9044.81</v>
      </c>
      <c r="D14044" s="4">
        <v>14429836</v>
      </c>
    </row>
    <row r="14045" spans="1:4" x14ac:dyDescent="0.25">
      <c r="A14045" t="str">
        <f>T("   850520")</f>
        <v xml:space="preserve">   850520</v>
      </c>
      <c r="B14045" t="str">
        <f>T("   ACCOUPLEMENTS, EMBRAYAGES, VARIATEURS DE VITESSE ET FREINS ELECTROMAGNETIQUES")</f>
        <v xml:space="preserve">   ACCOUPLEMENTS, EMBRAYAGES, VARIATEURS DE VITESSE ET FREINS ELECTROMAGNETIQUES</v>
      </c>
      <c r="C14045" s="4">
        <v>156.34</v>
      </c>
      <c r="D14045" s="4">
        <v>2935704</v>
      </c>
    </row>
    <row r="14046" spans="1:4" x14ac:dyDescent="0.25">
      <c r="A14046" t="str">
        <f>T("   850590")</f>
        <v xml:space="preserve">   850590</v>
      </c>
      <c r="B14046" t="str">
        <f>T("   AUTRES, Y COMPRIS LES PARTIES")</f>
        <v xml:space="preserve">   AUTRES, Y COMPRIS LES PARTIES</v>
      </c>
      <c r="C14046" s="4">
        <v>327</v>
      </c>
      <c r="D14046" s="4">
        <v>2452789</v>
      </c>
    </row>
    <row r="14047" spans="1:4" x14ac:dyDescent="0.25">
      <c r="A14047" t="str">
        <f>T("   850610")</f>
        <v xml:space="preserve">   850610</v>
      </c>
      <c r="B14047" t="str">
        <f>T("   AU BIOXYDE DE MANGANESE")</f>
        <v xml:space="preserve">   AU BIOXYDE DE MANGANESE</v>
      </c>
      <c r="C14047" s="4">
        <v>6554804</v>
      </c>
      <c r="D14047" s="4">
        <v>1166976607</v>
      </c>
    </row>
    <row r="14048" spans="1:4" x14ac:dyDescent="0.25">
      <c r="A14048" t="str">
        <f>T("   850650")</f>
        <v xml:space="preserve">   850650</v>
      </c>
      <c r="B14048" t="str">
        <f>T("   AU LITHIUM")</f>
        <v xml:space="preserve">   AU LITHIUM</v>
      </c>
      <c r="C14048" s="4">
        <v>142.4</v>
      </c>
      <c r="D14048" s="4">
        <v>5185417</v>
      </c>
    </row>
    <row r="14049" spans="1:4" x14ac:dyDescent="0.25">
      <c r="A14049" t="str">
        <f>T("   850680")</f>
        <v xml:space="preserve">   850680</v>
      </c>
      <c r="B14049" t="str">
        <f>T("   AUTRES PILES ET BATTERIES DE PILES")</f>
        <v xml:space="preserve">   AUTRES PILES ET BATTERIES DE PILES</v>
      </c>
      <c r="C14049" s="4">
        <v>3516263.8</v>
      </c>
      <c r="D14049" s="4">
        <v>549074192</v>
      </c>
    </row>
    <row r="14050" spans="1:4" x14ac:dyDescent="0.25">
      <c r="A14050" t="str">
        <f>T("   850690")</f>
        <v xml:space="preserve">   850690</v>
      </c>
      <c r="B14050" t="str">
        <f>T("   PARTIES")</f>
        <v xml:space="preserve">   PARTIES</v>
      </c>
      <c r="C14050" s="4">
        <v>25593</v>
      </c>
      <c r="D14050" s="4">
        <v>19874750</v>
      </c>
    </row>
    <row r="14051" spans="1:4" x14ac:dyDescent="0.25">
      <c r="A14051" t="str">
        <f>T("   850710")</f>
        <v xml:space="preserve">   850710</v>
      </c>
      <c r="B14051" t="str">
        <f>T("   AU PLOMB, DES TYPES UTILISES POUR LE DEMARRAGE DES MOTEURS A PISTON")</f>
        <v xml:space="preserve">   AU PLOMB, DES TYPES UTILISES POUR LE DEMARRAGE DES MOTEURS A PISTON</v>
      </c>
      <c r="C14051" s="4">
        <v>353514</v>
      </c>
      <c r="D14051" s="4">
        <v>239172602</v>
      </c>
    </row>
    <row r="14052" spans="1:4" x14ac:dyDescent="0.25">
      <c r="A14052" t="str">
        <f>T("   850720")</f>
        <v xml:space="preserve">   850720</v>
      </c>
      <c r="B14052" t="str">
        <f>T("   AUTRES ACCUMULATEURS AU PLOMB")</f>
        <v xml:space="preserve">   AUTRES ACCUMULATEURS AU PLOMB</v>
      </c>
      <c r="C14052" s="4">
        <v>295262</v>
      </c>
      <c r="D14052" s="4">
        <v>405169985</v>
      </c>
    </row>
    <row r="14053" spans="1:4" x14ac:dyDescent="0.25">
      <c r="A14053" t="str">
        <f>T("   850730")</f>
        <v xml:space="preserve">   850730</v>
      </c>
      <c r="B14053" t="str">
        <f>T("   AU NICKELCADMIUM")</f>
        <v xml:space="preserve">   AU NICKELCADMIUM</v>
      </c>
      <c r="C14053" s="4">
        <v>39</v>
      </c>
      <c r="D14053" s="4">
        <v>3623831</v>
      </c>
    </row>
    <row r="14054" spans="1:4" x14ac:dyDescent="0.25">
      <c r="A14054" t="str">
        <f>T("   850780")</f>
        <v xml:space="preserve">   850780</v>
      </c>
      <c r="B14054" t="str">
        <f>T("   AUTRES ACCUMULATEURS")</f>
        <v xml:space="preserve">   AUTRES ACCUMULATEURS</v>
      </c>
      <c r="C14054" s="4">
        <v>366059.77</v>
      </c>
      <c r="D14054" s="4">
        <v>637453453</v>
      </c>
    </row>
    <row r="14055" spans="1:4" x14ac:dyDescent="0.25">
      <c r="A14055" t="str">
        <f>T("   850790")</f>
        <v xml:space="preserve">   850790</v>
      </c>
      <c r="B14055" t="str">
        <f>T("   PARTIES")</f>
        <v xml:space="preserve">   PARTIES</v>
      </c>
      <c r="C14055" s="4">
        <v>13</v>
      </c>
      <c r="D14055" s="4">
        <v>1199095</v>
      </c>
    </row>
    <row r="14056" spans="1:4" x14ac:dyDescent="0.25">
      <c r="A14056" t="str">
        <f>T("   850810")</f>
        <v xml:space="preserve">   850810</v>
      </c>
      <c r="B14056" t="str">
        <f>T("   PERCEUSES DE TOUS GENRES Y COMPRIS LES PERFORATRICES ROTATIVES")</f>
        <v xml:space="preserve">   PERCEUSES DE TOUS GENRES Y COMPRIS LES PERFORATRICES ROTATIVES</v>
      </c>
      <c r="C14056" s="4">
        <v>1380</v>
      </c>
      <c r="D14056" s="4">
        <v>236157</v>
      </c>
    </row>
    <row r="14057" spans="1:4" x14ac:dyDescent="0.25">
      <c r="A14057" t="str">
        <f>T("   850819")</f>
        <v xml:space="preserve">   850819</v>
      </c>
      <c r="B14057" t="str">
        <f>T("   AUTRES")</f>
        <v xml:space="preserve">   AUTRES</v>
      </c>
      <c r="C14057" s="4">
        <v>1200</v>
      </c>
      <c r="D14057" s="4">
        <v>191836</v>
      </c>
    </row>
    <row r="14058" spans="1:4" x14ac:dyDescent="0.25">
      <c r="A14058" t="str">
        <f>T("   850860")</f>
        <v xml:space="preserve">   850860</v>
      </c>
      <c r="B14058" t="str">
        <f>T("   AUTRES ASPIRATEURS")</f>
        <v xml:space="preserve">   AUTRES ASPIRATEURS</v>
      </c>
      <c r="C14058" s="4">
        <v>4949</v>
      </c>
      <c r="D14058" s="4">
        <v>9224604</v>
      </c>
    </row>
    <row r="14059" spans="1:4" x14ac:dyDescent="0.25">
      <c r="A14059" t="str">
        <f>T("   850870")</f>
        <v xml:space="preserve">   850870</v>
      </c>
      <c r="B14059" t="str">
        <f>T("   PARTIES")</f>
        <v xml:space="preserve">   PARTIES</v>
      </c>
      <c r="C14059" s="4">
        <v>2060</v>
      </c>
      <c r="D14059" s="4">
        <v>9714620</v>
      </c>
    </row>
    <row r="14060" spans="1:4" x14ac:dyDescent="0.25">
      <c r="A14060" t="str">
        <f>T("   850910")</f>
        <v xml:space="preserve">   850910</v>
      </c>
      <c r="B14060" t="str">
        <f>T("   ASPIRATEURS DE POUSSIERES A USAGE DOMESTIQUE")</f>
        <v xml:space="preserve">   ASPIRATEURS DE POUSSIERES A USAGE DOMESTIQUE</v>
      </c>
      <c r="C14060" s="4">
        <v>50</v>
      </c>
      <c r="D14060" s="4">
        <v>150000</v>
      </c>
    </row>
    <row r="14061" spans="1:4" x14ac:dyDescent="0.25">
      <c r="A14061" t="str">
        <f>T("   850940")</f>
        <v xml:space="preserve">   850940</v>
      </c>
      <c r="B14061" t="str">
        <f>T("   BROYEURS ET MELANGEURS POUR ALIMENTS; PRESSEFRUITS ET PRESSELEGUMES")</f>
        <v xml:space="preserve">   BROYEURS ET MELANGEURS POUR ALIMENTS; PRESSEFRUITS ET PRESSELEGUMES</v>
      </c>
      <c r="C14061" s="4">
        <v>13978</v>
      </c>
      <c r="D14061" s="4">
        <v>30122325</v>
      </c>
    </row>
    <row r="14062" spans="1:4" x14ac:dyDescent="0.25">
      <c r="A14062" t="str">
        <f>T("   850980")</f>
        <v xml:space="preserve">   850980</v>
      </c>
      <c r="B14062" t="str">
        <f>T("   AUTRES APPAREILS")</f>
        <v xml:space="preserve">   AUTRES APPAREILS</v>
      </c>
      <c r="C14062" s="4">
        <v>77473.789999999994</v>
      </c>
      <c r="D14062" s="4">
        <v>47965143</v>
      </c>
    </row>
    <row r="14063" spans="1:4" x14ac:dyDescent="0.25">
      <c r="A14063" t="str">
        <f>T("   850990")</f>
        <v xml:space="preserve">   850990</v>
      </c>
      <c r="B14063" t="str">
        <f>T("   PARTIES")</f>
        <v xml:space="preserve">   PARTIES</v>
      </c>
      <c r="C14063" s="4">
        <v>73</v>
      </c>
      <c r="D14063" s="4">
        <v>166745</v>
      </c>
    </row>
    <row r="14064" spans="1:4" x14ac:dyDescent="0.25">
      <c r="A14064" t="str">
        <f>T("   851010")</f>
        <v xml:space="preserve">   851010</v>
      </c>
      <c r="B14064" t="str">
        <f>T("   RASOIRS")</f>
        <v xml:space="preserve">   RASOIRS</v>
      </c>
      <c r="C14064" s="4">
        <v>1656</v>
      </c>
      <c r="D14064" s="4">
        <v>3649145</v>
      </c>
    </row>
    <row r="14065" spans="1:4" x14ac:dyDescent="0.25">
      <c r="A14065" t="str">
        <f>T("   851020")</f>
        <v xml:space="preserve">   851020</v>
      </c>
      <c r="B14065" t="str">
        <f>T("   TONDEUSES")</f>
        <v xml:space="preserve">   TONDEUSES</v>
      </c>
      <c r="C14065" s="4">
        <v>1106</v>
      </c>
      <c r="D14065" s="4">
        <v>1646285</v>
      </c>
    </row>
    <row r="14066" spans="1:4" x14ac:dyDescent="0.25">
      <c r="A14066" t="str">
        <f>T("   851110")</f>
        <v xml:space="preserve">   851110</v>
      </c>
      <c r="B14066" t="str">
        <f>T("   BOUGIES D'ALLUMAGE")</f>
        <v xml:space="preserve">   BOUGIES D'ALLUMAGE</v>
      </c>
      <c r="C14066" s="4">
        <v>382</v>
      </c>
      <c r="D14066" s="4">
        <v>2921348</v>
      </c>
    </row>
    <row r="14067" spans="1:4" x14ac:dyDescent="0.25">
      <c r="A14067" t="str">
        <f>T("   851120")</f>
        <v xml:space="preserve">   851120</v>
      </c>
      <c r="B14067" t="str">
        <f>T("   MAGNETOS; DYNAMOSMAGNETOS; VOLANTS MAGNETIQUES")</f>
        <v xml:space="preserve">   MAGNETOS; DYNAMOSMAGNETOS; VOLANTS MAGNETIQUES</v>
      </c>
      <c r="C14067" s="4">
        <v>2</v>
      </c>
      <c r="D14067" s="4">
        <v>122815</v>
      </c>
    </row>
    <row r="14068" spans="1:4" x14ac:dyDescent="0.25">
      <c r="A14068" t="str">
        <f>T("   851130")</f>
        <v xml:space="preserve">   851130</v>
      </c>
      <c r="B14068" t="str">
        <f>T("   DISTRIBUTEURS; BOBINES D'ALLUMAGE")</f>
        <v xml:space="preserve">   DISTRIBUTEURS; BOBINES D'ALLUMAGE</v>
      </c>
      <c r="C14068" s="4">
        <v>195</v>
      </c>
      <c r="D14068" s="4">
        <v>14984751</v>
      </c>
    </row>
    <row r="14069" spans="1:4" x14ac:dyDescent="0.25">
      <c r="A14069" t="str">
        <f>T("   851140")</f>
        <v xml:space="preserve">   851140</v>
      </c>
      <c r="B14069" t="str">
        <f>T("   Demarreurs, meme fonctionnant comme generatrices")</f>
        <v xml:space="preserve">   Demarreurs, meme fonctionnant comme generatrices</v>
      </c>
      <c r="C14069" s="4">
        <v>1110.93</v>
      </c>
      <c r="D14069" s="4">
        <v>28450245</v>
      </c>
    </row>
    <row r="14070" spans="1:4" x14ac:dyDescent="0.25">
      <c r="A14070" t="str">
        <f>T("   851150")</f>
        <v xml:space="preserve">   851150</v>
      </c>
      <c r="B14070" t="str">
        <f>T("   AUTRES GENERATRICES")</f>
        <v xml:space="preserve">   AUTRES GENERATRICES</v>
      </c>
      <c r="C14070" s="4">
        <v>710</v>
      </c>
      <c r="D14070" s="4">
        <v>11801079</v>
      </c>
    </row>
    <row r="14071" spans="1:4" x14ac:dyDescent="0.25">
      <c r="A14071" t="str">
        <f>T("   851180")</f>
        <v xml:space="preserve">   851180</v>
      </c>
      <c r="B14071" t="str">
        <f>T("   AUTRES APPAREILS ET DISPOSITIFS")</f>
        <v xml:space="preserve">   AUTRES APPAREILS ET DISPOSITIFS</v>
      </c>
      <c r="C14071" s="4">
        <v>18737</v>
      </c>
      <c r="D14071" s="4">
        <v>35674232</v>
      </c>
    </row>
    <row r="14072" spans="1:4" x14ac:dyDescent="0.25">
      <c r="A14072" t="str">
        <f>T("   851190")</f>
        <v xml:space="preserve">   851190</v>
      </c>
      <c r="B14072" t="str">
        <f>T("   PARTIES")</f>
        <v xml:space="preserve">   PARTIES</v>
      </c>
      <c r="C14072" s="4">
        <v>99.8</v>
      </c>
      <c r="D14072" s="4">
        <v>1555001</v>
      </c>
    </row>
    <row r="14073" spans="1:4" x14ac:dyDescent="0.25">
      <c r="A14073" t="str">
        <f>T("   851220")</f>
        <v xml:space="preserve">   851220</v>
      </c>
      <c r="B14073" t="str">
        <f>T("   AUTRES APPAREILS D'ECLAIRAGE OU DE SIGNALISATION VISUELLE")</f>
        <v xml:space="preserve">   AUTRES APPAREILS D'ECLAIRAGE OU DE SIGNALISATION VISUELLE</v>
      </c>
      <c r="C14073" s="4">
        <v>121297</v>
      </c>
      <c r="D14073" s="4">
        <v>60790409</v>
      </c>
    </row>
    <row r="14074" spans="1:4" x14ac:dyDescent="0.25">
      <c r="A14074" t="str">
        <f>T("   851230")</f>
        <v xml:space="preserve">   851230</v>
      </c>
      <c r="B14074" t="str">
        <f>T("   APPAREILS DE SIGNALISATION ACOUSTIQUE")</f>
        <v xml:space="preserve">   APPAREILS DE SIGNALISATION ACOUSTIQUE</v>
      </c>
      <c r="C14074" s="4">
        <v>327</v>
      </c>
      <c r="D14074" s="4">
        <v>7302914</v>
      </c>
    </row>
    <row r="14075" spans="1:4" x14ac:dyDescent="0.25">
      <c r="A14075" t="str">
        <f>T("   851240")</f>
        <v xml:space="preserve">   851240</v>
      </c>
      <c r="B14075" t="str">
        <f>T("   ESSUIEGLACES, DEGIVREURS ET DISPOSITIFS ANTIBUEE")</f>
        <v xml:space="preserve">   ESSUIEGLACES, DEGIVREURS ET DISPOSITIFS ANTIBUEE</v>
      </c>
      <c r="C14075" s="4">
        <v>28</v>
      </c>
      <c r="D14075" s="4">
        <v>603576</v>
      </c>
    </row>
    <row r="14076" spans="1:4" x14ac:dyDescent="0.25">
      <c r="A14076" t="str">
        <f>T("   851290")</f>
        <v xml:space="preserve">   851290</v>
      </c>
      <c r="B14076" t="str">
        <f>T("   PARTIES")</f>
        <v xml:space="preserve">   PARTIES</v>
      </c>
      <c r="C14076" s="4">
        <v>511.5</v>
      </c>
      <c r="D14076" s="4">
        <v>2195670</v>
      </c>
    </row>
    <row r="14077" spans="1:4" x14ac:dyDescent="0.25">
      <c r="A14077" t="str">
        <f>T("   851310")</f>
        <v xml:space="preserve">   851310</v>
      </c>
      <c r="B14077" t="str">
        <f>T("   LAMPES")</f>
        <v xml:space="preserve">   LAMPES</v>
      </c>
      <c r="C14077" s="4">
        <v>1153423.3</v>
      </c>
      <c r="D14077" s="4">
        <v>322599602</v>
      </c>
    </row>
    <row r="14078" spans="1:4" x14ac:dyDescent="0.25">
      <c r="A14078" t="str">
        <f>T("   851410")</f>
        <v xml:space="preserve">   851410</v>
      </c>
      <c r="B14078" t="str">
        <f>T("   FOURS A RESISTANCE (A CHAUFFAGE INDIRECT)")</f>
        <v xml:space="preserve">   FOURS A RESISTANCE (A CHAUFFAGE INDIRECT)</v>
      </c>
      <c r="C14078" s="4">
        <v>150</v>
      </c>
      <c r="D14078" s="4">
        <v>2589967</v>
      </c>
    </row>
    <row r="14079" spans="1:4" x14ac:dyDescent="0.25">
      <c r="A14079" t="str">
        <f>T("   851430")</f>
        <v xml:space="preserve">   851430</v>
      </c>
      <c r="B14079" t="str">
        <f>T("   AUTRES FOURS")</f>
        <v xml:space="preserve">   AUTRES FOURS</v>
      </c>
      <c r="C14079" s="4">
        <v>10656</v>
      </c>
      <c r="D14079" s="4">
        <v>9915195</v>
      </c>
    </row>
    <row r="14080" spans="1:4" x14ac:dyDescent="0.25">
      <c r="A14080" t="str">
        <f>T("   851519")</f>
        <v xml:space="preserve">   851519</v>
      </c>
      <c r="B14080" t="str">
        <f>T("   AUTRES")</f>
        <v xml:space="preserve">   AUTRES</v>
      </c>
      <c r="C14080" s="4">
        <v>281</v>
      </c>
      <c r="D14080" s="4">
        <v>4715113</v>
      </c>
    </row>
    <row r="14081" spans="1:4" x14ac:dyDescent="0.25">
      <c r="A14081" t="str">
        <f>T("   851529")</f>
        <v xml:space="preserve">   851529</v>
      </c>
      <c r="B14081" t="str">
        <f>T("   AUTRES")</f>
        <v xml:space="preserve">   AUTRES</v>
      </c>
      <c r="C14081" s="4">
        <v>4085</v>
      </c>
      <c r="D14081" s="4">
        <v>1901884</v>
      </c>
    </row>
    <row r="14082" spans="1:4" x14ac:dyDescent="0.25">
      <c r="A14082" t="str">
        <f>T("   851531")</f>
        <v xml:space="preserve">   851531</v>
      </c>
      <c r="B14082" t="str">
        <f>T("   ENTIEREMENT OU PARTIELLEMENT AUTOMATIQUES")</f>
        <v xml:space="preserve">   ENTIEREMENT OU PARTIELLEMENT AUTOMATIQUES</v>
      </c>
      <c r="C14082" s="4">
        <v>240</v>
      </c>
      <c r="D14082" s="4">
        <v>286478</v>
      </c>
    </row>
    <row r="14083" spans="1:4" x14ac:dyDescent="0.25">
      <c r="A14083" t="str">
        <f>T("   851539")</f>
        <v xml:space="preserve">   851539</v>
      </c>
      <c r="B14083" t="str">
        <f>T("   AUTRES")</f>
        <v xml:space="preserve">   AUTRES</v>
      </c>
      <c r="C14083" s="4">
        <v>2020</v>
      </c>
      <c r="D14083" s="4">
        <v>11193510</v>
      </c>
    </row>
    <row r="14084" spans="1:4" x14ac:dyDescent="0.25">
      <c r="A14084" t="str">
        <f>T("   851580")</f>
        <v xml:space="preserve">   851580</v>
      </c>
      <c r="B14084" t="str">
        <f>T("   AUTRES MACHINES ET APPAREILS")</f>
        <v xml:space="preserve">   AUTRES MACHINES ET APPAREILS</v>
      </c>
      <c r="C14084" s="4">
        <v>26444</v>
      </c>
      <c r="D14084" s="4">
        <v>56224119</v>
      </c>
    </row>
    <row r="14085" spans="1:4" x14ac:dyDescent="0.25">
      <c r="A14085" t="str">
        <f>T("   851590")</f>
        <v xml:space="preserve">   851590</v>
      </c>
      <c r="B14085" t="str">
        <f>T("   PARTIES")</f>
        <v xml:space="preserve">   PARTIES</v>
      </c>
      <c r="C14085" s="4">
        <v>1001.33</v>
      </c>
      <c r="D14085" s="4">
        <v>10900602</v>
      </c>
    </row>
    <row r="14086" spans="1:4" x14ac:dyDescent="0.25">
      <c r="A14086" t="str">
        <f>T("   851610")</f>
        <v xml:space="preserve">   851610</v>
      </c>
      <c r="B14086" t="str">
        <f>T("   CHAUFFEEAU ET THERMOPLONGEURS ELECTRIQUES")</f>
        <v xml:space="preserve">   CHAUFFEEAU ET THERMOPLONGEURS ELECTRIQUES</v>
      </c>
      <c r="C14086" s="4">
        <v>40057</v>
      </c>
      <c r="D14086" s="4">
        <v>59313073</v>
      </c>
    </row>
    <row r="14087" spans="1:4" x14ac:dyDescent="0.25">
      <c r="A14087" t="str">
        <f>T("   851629")</f>
        <v xml:space="preserve">   851629</v>
      </c>
      <c r="B14087" t="str">
        <f>T("   AUTRES")</f>
        <v xml:space="preserve">   AUTRES</v>
      </c>
      <c r="C14087" s="4">
        <v>1189.0999999999999</v>
      </c>
      <c r="D14087" s="4">
        <v>2851928</v>
      </c>
    </row>
    <row r="14088" spans="1:4" x14ac:dyDescent="0.25">
      <c r="A14088" t="str">
        <f>T("   851631")</f>
        <v xml:space="preserve">   851631</v>
      </c>
      <c r="B14088" t="str">
        <f>T("   SECHECHEVEUX")</f>
        <v xml:space="preserve">   SECHECHEVEUX</v>
      </c>
      <c r="C14088" s="4">
        <v>11723</v>
      </c>
      <c r="D14088" s="4">
        <v>7646517</v>
      </c>
    </row>
    <row r="14089" spans="1:4" x14ac:dyDescent="0.25">
      <c r="A14089" t="str">
        <f>T("   851632")</f>
        <v xml:space="preserve">   851632</v>
      </c>
      <c r="B14089" t="str">
        <f>T("   AUTRES APPAREILS POUR LA COIFFURE")</f>
        <v xml:space="preserve">   AUTRES APPAREILS POUR LA COIFFURE</v>
      </c>
      <c r="C14089" s="4">
        <v>79</v>
      </c>
      <c r="D14089" s="4">
        <v>335084</v>
      </c>
    </row>
    <row r="14090" spans="1:4" x14ac:dyDescent="0.25">
      <c r="A14090" t="str">
        <f>T("   851640")</f>
        <v xml:space="preserve">   851640</v>
      </c>
      <c r="B14090" t="str">
        <f>T("   Fers a repasser electriques")</f>
        <v xml:space="preserve">   Fers a repasser electriques</v>
      </c>
      <c r="C14090" s="4">
        <v>25846</v>
      </c>
      <c r="D14090" s="4">
        <v>16598332</v>
      </c>
    </row>
    <row r="14091" spans="1:4" x14ac:dyDescent="0.25">
      <c r="A14091" t="str">
        <f>T("   851650")</f>
        <v xml:space="preserve">   851650</v>
      </c>
      <c r="B14091" t="str">
        <f>T("   FOURS A MICROONDES")</f>
        <v xml:space="preserve">   FOURS A MICROONDES</v>
      </c>
      <c r="C14091" s="4">
        <v>32919</v>
      </c>
      <c r="D14091" s="4">
        <v>21785972</v>
      </c>
    </row>
    <row r="14092" spans="1:4" x14ac:dyDescent="0.25">
      <c r="A14092" t="str">
        <f>T("   851660")</f>
        <v xml:space="preserve">   851660</v>
      </c>
      <c r="B14092" t="str">
        <f>T("   AUTRES FOURS; CUISINIERES, RECHAUDS (Y COMPRIS LES TABLES DE CUISSON), GRILS ET ROTIS")</f>
        <v xml:space="preserve">   AUTRES FOURS; CUISINIERES, RECHAUDS (Y COMPRIS LES TABLES DE CUISSON), GRILS ET ROTIS</v>
      </c>
      <c r="C14092" s="4">
        <v>71493.5</v>
      </c>
      <c r="D14092" s="4">
        <v>60539623</v>
      </c>
    </row>
    <row r="14093" spans="1:4" x14ac:dyDescent="0.25">
      <c r="A14093" t="str">
        <f>T("   851671")</f>
        <v xml:space="preserve">   851671</v>
      </c>
      <c r="B14093" t="str">
        <f>T("   APPAREILS POUR LA PREPARATION DU CAFE OU DU THE")</f>
        <v xml:space="preserve">   APPAREILS POUR LA PREPARATION DU CAFE OU DU THE</v>
      </c>
      <c r="C14093" s="4">
        <v>994</v>
      </c>
      <c r="D14093" s="4">
        <v>4709061</v>
      </c>
    </row>
    <row r="14094" spans="1:4" x14ac:dyDescent="0.25">
      <c r="A14094" t="str">
        <f>T("   851672")</f>
        <v xml:space="preserve">   851672</v>
      </c>
      <c r="B14094" t="str">
        <f>T("   GRILLEPAIN")</f>
        <v xml:space="preserve">   GRILLEPAIN</v>
      </c>
      <c r="C14094" s="4">
        <v>106</v>
      </c>
      <c r="D14094" s="4">
        <v>37342</v>
      </c>
    </row>
    <row r="14095" spans="1:4" x14ac:dyDescent="0.25">
      <c r="A14095" t="str">
        <f>T("   851679")</f>
        <v xml:space="preserve">   851679</v>
      </c>
      <c r="B14095" t="str">
        <f>T("   AUTRES")</f>
        <v xml:space="preserve">   AUTRES</v>
      </c>
      <c r="C14095" s="4">
        <v>144918</v>
      </c>
      <c r="D14095" s="4">
        <v>68755043</v>
      </c>
    </row>
    <row r="14096" spans="1:4" x14ac:dyDescent="0.25">
      <c r="A14096" t="str">
        <f>T("   851680")</f>
        <v xml:space="preserve">   851680</v>
      </c>
      <c r="B14096" t="str">
        <f>T("   Resistances chauffantes")</f>
        <v xml:space="preserve">   Resistances chauffantes</v>
      </c>
      <c r="C14096" s="4">
        <v>263.85000000000002</v>
      </c>
      <c r="D14096" s="4">
        <v>16320525</v>
      </c>
    </row>
    <row r="14097" spans="1:4" x14ac:dyDescent="0.25">
      <c r="A14097" t="str">
        <f>T("   851690")</f>
        <v xml:space="preserve">   851690</v>
      </c>
      <c r="B14097" t="str">
        <f>T("   PARTIES")</f>
        <v xml:space="preserve">   PARTIES</v>
      </c>
      <c r="C14097" s="4">
        <v>455</v>
      </c>
      <c r="D14097" s="4">
        <v>2802327</v>
      </c>
    </row>
    <row r="14098" spans="1:4" x14ac:dyDescent="0.25">
      <c r="A14098" t="str">
        <f>T("   851711")</f>
        <v xml:space="preserve">   851711</v>
      </c>
      <c r="B14098" t="str">
        <f>T("   POSTES TELEPHONIQUES D'USAGERS PAR FIL A COMBINES SANS FIL")</f>
        <v xml:space="preserve">   POSTES TELEPHONIQUES D'USAGERS PAR FIL A COMBINES SANS FIL</v>
      </c>
      <c r="C14098" s="4">
        <v>782</v>
      </c>
      <c r="D14098" s="4">
        <v>1023833</v>
      </c>
    </row>
    <row r="14099" spans="1:4" x14ac:dyDescent="0.25">
      <c r="A14099" t="str">
        <f>T("   851712")</f>
        <v xml:space="preserve">   851712</v>
      </c>
      <c r="B14099" t="str">
        <f>T("   TELEPHONES POUR RESEAUX CELLULAIRES ET POUR AUTRES RESEAUX SANS FIL")</f>
        <v xml:space="preserve">   TELEPHONES POUR RESEAUX CELLULAIRES ET POUR AUTRES RESEAUX SANS FIL</v>
      </c>
      <c r="C14099" s="4">
        <v>78152.490000000005</v>
      </c>
      <c r="D14099" s="4">
        <v>1349335656</v>
      </c>
    </row>
    <row r="14100" spans="1:4" x14ac:dyDescent="0.25">
      <c r="A14100" t="str">
        <f>T("   851718")</f>
        <v xml:space="preserve">   851718</v>
      </c>
      <c r="B14100" t="str">
        <f>T("   AUTRES")</f>
        <v xml:space="preserve">   AUTRES</v>
      </c>
      <c r="C14100" s="4">
        <v>1413</v>
      </c>
      <c r="D14100" s="4">
        <v>64286596</v>
      </c>
    </row>
    <row r="14101" spans="1:4" x14ac:dyDescent="0.25">
      <c r="A14101" t="str">
        <f>T("   851740")</f>
        <v xml:space="preserve">   851740</v>
      </c>
      <c r="B14101" t="str">
        <f>T("   AUTRES APPAREILS POUR LE TELECOMMUNICATION PAR COURANT PORTEUR")</f>
        <v xml:space="preserve">   AUTRES APPAREILS POUR LE TELECOMMUNICATION PAR COURANT PORTEUR</v>
      </c>
      <c r="C14101" s="4">
        <v>468</v>
      </c>
      <c r="D14101" s="4">
        <v>937734</v>
      </c>
    </row>
    <row r="14102" spans="1:4" x14ac:dyDescent="0.25">
      <c r="A14102" t="str">
        <f>T("   851761")</f>
        <v xml:space="preserve">   851761</v>
      </c>
      <c r="B14102" t="str">
        <f>T("   STATIONS DE BASE")</f>
        <v xml:space="preserve">   STATIONS DE BASE</v>
      </c>
      <c r="C14102" s="4">
        <v>41601.199999999997</v>
      </c>
      <c r="D14102" s="4">
        <v>824099904</v>
      </c>
    </row>
    <row r="14103" spans="1:4" x14ac:dyDescent="0.25">
      <c r="A14103" t="str">
        <f>T("   851762")</f>
        <v xml:space="preserve">   851762</v>
      </c>
      <c r="B14103" t="str">
        <f>T("   APPAREILS POUR LA RECEPTION, LA CONVERSION ET L'EMISSION, LA TRANSMISSION OU LA REGE")</f>
        <v xml:space="preserve">   APPAREILS POUR LA RECEPTION, LA CONVERSION ET L'EMISSION, LA TRANSMISSION OU LA REGE</v>
      </c>
      <c r="C14103" s="4">
        <v>89059.81</v>
      </c>
      <c r="D14103" s="4">
        <v>2906340416</v>
      </c>
    </row>
    <row r="14104" spans="1:4" x14ac:dyDescent="0.25">
      <c r="A14104" t="str">
        <f>T("   851769")</f>
        <v xml:space="preserve">   851769</v>
      </c>
      <c r="B14104" t="str">
        <f>T("   AUTRES")</f>
        <v xml:space="preserve">   AUTRES</v>
      </c>
      <c r="C14104" s="4">
        <v>49060.1</v>
      </c>
      <c r="D14104" s="4">
        <v>1622923888</v>
      </c>
    </row>
    <row r="14105" spans="1:4" x14ac:dyDescent="0.25">
      <c r="A14105" t="str">
        <f>T("   851770")</f>
        <v xml:space="preserve">   851770</v>
      </c>
      <c r="B14105" t="str">
        <f>T("   PARTIES")</f>
        <v xml:space="preserve">   PARTIES</v>
      </c>
      <c r="C14105" s="4">
        <v>147218.59</v>
      </c>
      <c r="D14105" s="4">
        <v>3883345666</v>
      </c>
    </row>
    <row r="14106" spans="1:4" x14ac:dyDescent="0.25">
      <c r="A14106" t="str">
        <f>T("   851781")</f>
        <v xml:space="preserve">   851781</v>
      </c>
      <c r="B14106" t="str">
        <f>T("   AUTRES APPAREILS POUR LA TELEPHONIE")</f>
        <v xml:space="preserve">   AUTRES APPAREILS POUR LA TELEPHONIE</v>
      </c>
      <c r="C14106" s="4">
        <v>9800</v>
      </c>
      <c r="D14106" s="4">
        <v>1142517</v>
      </c>
    </row>
    <row r="14107" spans="1:4" x14ac:dyDescent="0.25">
      <c r="A14107" t="str">
        <f>T("   851790")</f>
        <v xml:space="preserve">   851790</v>
      </c>
      <c r="B14107" t="str">
        <f>T("   PARTIES DES APPAREILS ELECTRIQUES POUR TELEPHONIE OU TELEGRAPHIE PAR FIL")</f>
        <v xml:space="preserve">   PARTIES DES APPAREILS ELECTRIQUES POUR TELEPHONIE OU TELEGRAPHIE PAR FIL</v>
      </c>
      <c r="C14107" s="4">
        <v>150</v>
      </c>
      <c r="D14107" s="4">
        <v>5760001</v>
      </c>
    </row>
    <row r="14108" spans="1:4" x14ac:dyDescent="0.25">
      <c r="A14108" t="str">
        <f>T("   851810")</f>
        <v xml:space="preserve">   851810</v>
      </c>
      <c r="B14108" t="str">
        <f>T("   MICROPHONES ET LEURS SUPPORTS")</f>
        <v xml:space="preserve">   MICROPHONES ET LEURS SUPPORTS</v>
      </c>
      <c r="C14108" s="4">
        <v>649.5</v>
      </c>
      <c r="D14108" s="4">
        <v>3249763</v>
      </c>
    </row>
    <row r="14109" spans="1:4" x14ac:dyDescent="0.25">
      <c r="A14109" t="str">
        <f>T("   851821")</f>
        <v xml:space="preserve">   851821</v>
      </c>
      <c r="B14109" t="str">
        <f>T("   HAUTPARLEUR UNIQUE MONTE DANS SON ENCEINTE")</f>
        <v xml:space="preserve">   HAUTPARLEUR UNIQUE MONTE DANS SON ENCEINTE</v>
      </c>
      <c r="C14109" s="4">
        <v>676</v>
      </c>
      <c r="D14109" s="4">
        <v>1116446</v>
      </c>
    </row>
    <row r="14110" spans="1:4" x14ac:dyDescent="0.25">
      <c r="A14110" t="str">
        <f>T("   851822")</f>
        <v xml:space="preserve">   851822</v>
      </c>
      <c r="B14110" t="str">
        <f>T("   HAUTPARLEURS MULTIPLES MONTES DANS LA MEME ENCEINTE")</f>
        <v xml:space="preserve">   HAUTPARLEURS MULTIPLES MONTES DANS LA MEME ENCEINTE</v>
      </c>
      <c r="C14110" s="4">
        <v>212.2</v>
      </c>
      <c r="D14110" s="4">
        <v>232310</v>
      </c>
    </row>
    <row r="14111" spans="1:4" x14ac:dyDescent="0.25">
      <c r="A14111" t="str">
        <f>T("   851829")</f>
        <v xml:space="preserve">   851829</v>
      </c>
      <c r="B14111" t="str">
        <f>T("   AUTRES")</f>
        <v xml:space="preserve">   AUTRES</v>
      </c>
      <c r="C14111" s="4">
        <v>402803.65</v>
      </c>
      <c r="D14111" s="4">
        <v>199947853</v>
      </c>
    </row>
    <row r="14112" spans="1:4" x14ac:dyDescent="0.25">
      <c r="A14112" t="str">
        <f>T("   851830")</f>
        <v xml:space="preserve">   851830</v>
      </c>
      <c r="B14112" t="str">
        <f>T("   CASQUES D'ECOUTE ET ECOUTEURS, MEME COMBINES AVEC UN MICROPHONE, ET ENSEMBLES OU ASSO")</f>
        <v xml:space="preserve">   CASQUES D'ECOUTE ET ECOUTEURS, MEME COMBINES AVEC UN MICROPHONE, ET ENSEMBLES OU ASSO</v>
      </c>
      <c r="C14112" s="4">
        <v>466.3</v>
      </c>
      <c r="D14112" s="4">
        <v>6456216</v>
      </c>
    </row>
    <row r="14113" spans="1:4" x14ac:dyDescent="0.25">
      <c r="A14113" t="str">
        <f>T("   851840")</f>
        <v xml:space="preserve">   851840</v>
      </c>
      <c r="B14113" t="str">
        <f>T("   AMPLIFICATEURS ELECTRIQUES D'AUDIOFREQUENCE")</f>
        <v xml:space="preserve">   AMPLIFICATEURS ELECTRIQUES D'AUDIOFREQUENCE</v>
      </c>
      <c r="C14113" s="4">
        <v>468</v>
      </c>
      <c r="D14113" s="4">
        <v>1086202</v>
      </c>
    </row>
    <row r="14114" spans="1:4" x14ac:dyDescent="0.25">
      <c r="A14114" t="str">
        <f>T("   851850")</f>
        <v xml:space="preserve">   851850</v>
      </c>
      <c r="B14114" t="str">
        <f>T("   APPAREILS ELECTRIQUES D'AMPLIFICATION DU SON")</f>
        <v xml:space="preserve">   APPAREILS ELECTRIQUES D'AMPLIFICATION DU SON</v>
      </c>
      <c r="C14114" s="4">
        <v>21563</v>
      </c>
      <c r="D14114" s="4">
        <v>41531146</v>
      </c>
    </row>
    <row r="14115" spans="1:4" x14ac:dyDescent="0.25">
      <c r="A14115" t="str">
        <f>T("   851890")</f>
        <v xml:space="preserve">   851890</v>
      </c>
      <c r="B14115" t="str">
        <f>T("   PARTIES")</f>
        <v xml:space="preserve">   PARTIES</v>
      </c>
      <c r="C14115" s="4">
        <v>2227.1</v>
      </c>
      <c r="D14115" s="4">
        <v>8578562</v>
      </c>
    </row>
    <row r="14116" spans="1:4" x14ac:dyDescent="0.25">
      <c r="A14116" t="str">
        <f>T("   851989")</f>
        <v xml:space="preserve">   851989</v>
      </c>
      <c r="B14116" t="str">
        <f>T("   AUTRES")</f>
        <v xml:space="preserve">   AUTRES</v>
      </c>
      <c r="C14116" s="4">
        <v>2605.8200000000002</v>
      </c>
      <c r="D14116" s="4">
        <v>1692814</v>
      </c>
    </row>
    <row r="14117" spans="1:4" x14ac:dyDescent="0.25">
      <c r="A14117" t="str">
        <f>T("   851991")</f>
        <v xml:space="preserve">   851991</v>
      </c>
      <c r="B14117" t="str">
        <f>T("   AUTRES APPAREILS DE REPRODUCTION DU SON A CASSETTES")</f>
        <v xml:space="preserve">   AUTRES APPAREILS DE REPRODUCTION DU SON A CASSETTES</v>
      </c>
      <c r="C14117" s="4">
        <v>275</v>
      </c>
      <c r="D14117" s="4">
        <v>306829</v>
      </c>
    </row>
    <row r="14118" spans="1:4" x14ac:dyDescent="0.25">
      <c r="A14118" t="str">
        <f>T("   851999")</f>
        <v xml:space="preserve">   851999</v>
      </c>
      <c r="B14118" t="str">
        <f>T("   AUTRES APPAREILS DE REPRODUCTION DU SON")</f>
        <v xml:space="preserve">   AUTRES APPAREILS DE REPRODUCTION DU SON</v>
      </c>
      <c r="C14118" s="4">
        <v>150</v>
      </c>
      <c r="D14118" s="4">
        <v>577490</v>
      </c>
    </row>
    <row r="14119" spans="1:4" x14ac:dyDescent="0.25">
      <c r="A14119" t="str">
        <f>T("   852020")</f>
        <v xml:space="preserve">   852020</v>
      </c>
      <c r="B14119" t="str">
        <f>T("   REPONDEURS TELEPHONIQUES")</f>
        <v xml:space="preserve">   REPONDEURS TELEPHONIQUES</v>
      </c>
      <c r="C14119" s="4">
        <v>1140</v>
      </c>
      <c r="D14119" s="4">
        <v>328030</v>
      </c>
    </row>
    <row r="14120" spans="1:4" x14ac:dyDescent="0.25">
      <c r="A14120" t="str">
        <f>T("   852032")</f>
        <v xml:space="preserve">   852032</v>
      </c>
      <c r="B14120" t="str">
        <f>T("   APPAREILS D'ENREGISTREMENT ET DE REPRODUCTION DU SON A BANDES NUMERIQUES")</f>
        <v xml:space="preserve">   APPAREILS D'ENREGISTREMENT ET DE REPRODUCTION DU SON A BANDES NUMERIQUES</v>
      </c>
      <c r="C14120" s="4">
        <v>62</v>
      </c>
      <c r="D14120" s="4">
        <v>165900</v>
      </c>
    </row>
    <row r="14121" spans="1:4" x14ac:dyDescent="0.25">
      <c r="A14121" t="str">
        <f>T("   852033")</f>
        <v xml:space="preserve">   852033</v>
      </c>
      <c r="B14121" t="str">
        <f>T("   AUTRES APPAREILS D'ENREGISTREMENT ET DE REPRODUCTION DU SON, A CASSETTES")</f>
        <v xml:space="preserve">   AUTRES APPAREILS D'ENREGISTREMENT ET DE REPRODUCTION DU SON, A CASSETTES</v>
      </c>
      <c r="C14121" s="4">
        <v>980</v>
      </c>
      <c r="D14121" s="4">
        <v>448339</v>
      </c>
    </row>
    <row r="14122" spans="1:4" x14ac:dyDescent="0.25">
      <c r="A14122" t="str">
        <f>T("   852090")</f>
        <v xml:space="preserve">   852090</v>
      </c>
      <c r="B14122" t="str">
        <f>T("   AUTRES APPAREILS DU N 85.20")</f>
        <v xml:space="preserve">   AUTRES APPAREILS DU N 85.20</v>
      </c>
      <c r="C14122" s="4">
        <v>8161</v>
      </c>
      <c r="D14122" s="4">
        <v>5145397</v>
      </c>
    </row>
    <row r="14123" spans="1:4" x14ac:dyDescent="0.25">
      <c r="A14123" t="str">
        <f>T("   852110")</f>
        <v xml:space="preserve">   852110</v>
      </c>
      <c r="B14123" t="str">
        <f>T("   A BANDES MAGNETIQUES")</f>
        <v xml:space="preserve">   A BANDES MAGNETIQUES</v>
      </c>
      <c r="C14123" s="4">
        <v>3</v>
      </c>
      <c r="D14123" s="4">
        <v>1614728</v>
      </c>
    </row>
    <row r="14124" spans="1:4" x14ac:dyDescent="0.25">
      <c r="A14124" t="str">
        <f>T("   852190")</f>
        <v xml:space="preserve">   852190</v>
      </c>
      <c r="B14124" t="str">
        <f>T("   AUTRES")</f>
        <v xml:space="preserve">   AUTRES</v>
      </c>
      <c r="C14124" s="4">
        <v>217917</v>
      </c>
      <c r="D14124" s="4">
        <v>151020674</v>
      </c>
    </row>
    <row r="14125" spans="1:4" x14ac:dyDescent="0.25">
      <c r="A14125" t="str">
        <f>T("   852290")</f>
        <v xml:space="preserve">   852290</v>
      </c>
      <c r="B14125" t="str">
        <f>T("   AUTRES")</f>
        <v xml:space="preserve">   AUTRES</v>
      </c>
      <c r="C14125" s="4">
        <v>6055.67</v>
      </c>
      <c r="D14125" s="4">
        <v>22085556</v>
      </c>
    </row>
    <row r="14126" spans="1:4" x14ac:dyDescent="0.25">
      <c r="A14126" t="str">
        <f>T("   852321")</f>
        <v xml:space="preserve">   852321</v>
      </c>
      <c r="B14126" t="str">
        <f>T("   CARTES MUNIES D'UNE PISTE MAGNETIQUE")</f>
        <v xml:space="preserve">   CARTES MUNIES D'UNE PISTE MAGNETIQUE</v>
      </c>
      <c r="C14126" s="4">
        <v>6953.7</v>
      </c>
      <c r="D14126" s="4">
        <v>472582598</v>
      </c>
    </row>
    <row r="14127" spans="1:4" x14ac:dyDescent="0.25">
      <c r="A14127" t="str">
        <f>T("   852329")</f>
        <v xml:space="preserve">   852329</v>
      </c>
      <c r="B14127" t="str">
        <f>T("   AUTRES")</f>
        <v xml:space="preserve">   AUTRES</v>
      </c>
      <c r="C14127" s="4">
        <v>1366.5</v>
      </c>
      <c r="D14127" s="4">
        <v>59296404</v>
      </c>
    </row>
    <row r="14128" spans="1:4" x14ac:dyDescent="0.25">
      <c r="A14128" t="str">
        <f>T("   852330")</f>
        <v xml:space="preserve">   852330</v>
      </c>
      <c r="B14128" t="str">
        <f>T("   CARTES MUNIES D'UNE PISTE MAGNETIQUE, NON ENREGISTREES")</f>
        <v xml:space="preserve">   CARTES MUNIES D'UNE PISTE MAGNETIQUE, NON ENREGISTREES</v>
      </c>
      <c r="C14128" s="4">
        <v>1234</v>
      </c>
      <c r="D14128" s="4">
        <v>4062960</v>
      </c>
    </row>
    <row r="14129" spans="1:4" x14ac:dyDescent="0.25">
      <c r="A14129" t="str">
        <f>T("   852340")</f>
        <v xml:space="preserve">   852340</v>
      </c>
      <c r="B14129" t="str">
        <f>T("   -AUTRES SUPPORTS OPTIQUES")</f>
        <v xml:space="preserve">   -AUTRES SUPPORTS OPTIQUES</v>
      </c>
      <c r="C14129" s="4">
        <v>14</v>
      </c>
      <c r="D14129" s="4">
        <v>426695</v>
      </c>
    </row>
    <row r="14130" spans="1:4" x14ac:dyDescent="0.25">
      <c r="A14130" t="str">
        <f>T("   852351")</f>
        <v xml:space="preserve">   852351</v>
      </c>
      <c r="B14130" t="str">
        <f>T("   DISPOSITIFS DE STOCKAGE REMANENT DES DONNEES A BASE DE SEMICONDUCTEURS")</f>
        <v xml:space="preserve">   DISPOSITIFS DE STOCKAGE REMANENT DES DONNEES A BASE DE SEMICONDUCTEURS</v>
      </c>
      <c r="C14130" s="4">
        <v>1415</v>
      </c>
      <c r="D14130" s="4">
        <v>7141811</v>
      </c>
    </row>
    <row r="14131" spans="1:4" x14ac:dyDescent="0.25">
      <c r="A14131" t="str">
        <f>T("   852352")</f>
        <v xml:space="preserve">   852352</v>
      </c>
      <c r="B14131" t="str">
        <f>T("   «CARTES INTELLIGENTES»")</f>
        <v xml:space="preserve">   «CARTES INTELLIGENTES»</v>
      </c>
      <c r="C14131" s="4">
        <v>9404.5</v>
      </c>
      <c r="D14131" s="4">
        <v>449747031</v>
      </c>
    </row>
    <row r="14132" spans="1:4" x14ac:dyDescent="0.25">
      <c r="A14132" t="str">
        <f>T("   852359")</f>
        <v xml:space="preserve">   852359</v>
      </c>
      <c r="B14132" t="str">
        <f>T("   AUTRES")</f>
        <v xml:space="preserve">   AUTRES</v>
      </c>
      <c r="C14132" s="4">
        <v>41.75</v>
      </c>
      <c r="D14132" s="4">
        <v>1052852</v>
      </c>
    </row>
    <row r="14133" spans="1:4" x14ac:dyDescent="0.25">
      <c r="A14133" t="str">
        <f>T("   852380")</f>
        <v xml:space="preserve">   852380</v>
      </c>
      <c r="B14133" t="str">
        <f>T("   AUTRES")</f>
        <v xml:space="preserve">   AUTRES</v>
      </c>
      <c r="C14133" s="4">
        <v>9668.2999999999993</v>
      </c>
      <c r="D14133" s="4">
        <v>25253324</v>
      </c>
    </row>
    <row r="14134" spans="1:4" x14ac:dyDescent="0.25">
      <c r="A14134" t="str">
        <f>T("   852421")</f>
        <v xml:space="preserve">   852421</v>
      </c>
      <c r="B14134" t="str">
        <f>T("   BANDES MAGNETIQUES ENREGISTREES, DE 4 MM ET - DE LARGEUR")</f>
        <v xml:space="preserve">   BANDES MAGNETIQUES ENREGISTREES, DE 4 MM ET - DE LARGEUR</v>
      </c>
      <c r="C14134" s="4">
        <v>13.3</v>
      </c>
      <c r="D14134" s="4">
        <v>19000</v>
      </c>
    </row>
    <row r="14135" spans="1:4" x14ac:dyDescent="0.25">
      <c r="A14135" t="str">
        <f>T("   852432")</f>
        <v xml:space="preserve">   852432</v>
      </c>
      <c r="B14135" t="str">
        <f>T("   DISQUES LASER POUR LA REPRODUCTION DU SON UNIQUEMENT")</f>
        <v xml:space="preserve">   DISQUES LASER POUR LA REPRODUCTION DU SON UNIQUEMENT</v>
      </c>
      <c r="C14135" s="4">
        <v>631</v>
      </c>
      <c r="D14135" s="4">
        <v>613494</v>
      </c>
    </row>
    <row r="14136" spans="1:4" x14ac:dyDescent="0.25">
      <c r="A14136" t="str">
        <f>T("   852439")</f>
        <v xml:space="preserve">   852439</v>
      </c>
      <c r="B14136" t="str">
        <f>T("   AUTRES DISQUES LASER")</f>
        <v xml:space="preserve">   AUTRES DISQUES LASER</v>
      </c>
      <c r="C14136" s="4">
        <v>634</v>
      </c>
      <c r="D14136" s="4">
        <v>634300</v>
      </c>
    </row>
    <row r="14137" spans="1:4" x14ac:dyDescent="0.25">
      <c r="A14137" t="str">
        <f>T("   852453")</f>
        <v xml:space="preserve">   852453</v>
      </c>
      <c r="B14137" t="str">
        <f>T("   AUTRES BANDES MAGNETIQUES D'UNE LARGEUR EXCEDANT 6,5 MM")</f>
        <v xml:space="preserve">   AUTRES BANDES MAGNETIQUES D'UNE LARGEUR EXCEDANT 6,5 MM</v>
      </c>
      <c r="C14137" s="4">
        <v>10</v>
      </c>
      <c r="D14137" s="4">
        <v>64216</v>
      </c>
    </row>
    <row r="14138" spans="1:4" x14ac:dyDescent="0.25">
      <c r="A14138" t="str">
        <f>T("   852490")</f>
        <v xml:space="preserve">   852490</v>
      </c>
      <c r="B14138" t="str">
        <f>T("   AUTRES SUPPORTS DU N 85.24 ENREGISTRES, PRODUITS DU CHAPITRE 37 EXCLUS")</f>
        <v xml:space="preserve">   AUTRES SUPPORTS DU N 85.24 ENREGISTRES, PRODUITS DU CHAPITRE 37 EXCLUS</v>
      </c>
      <c r="C14138" s="4">
        <v>80.599999999999994</v>
      </c>
      <c r="D14138" s="4">
        <v>212000</v>
      </c>
    </row>
    <row r="14139" spans="1:4" x14ac:dyDescent="0.25">
      <c r="A14139" t="str">
        <f>T("   852520")</f>
        <v xml:space="preserve">   852520</v>
      </c>
      <c r="B14139" t="str">
        <f>T("   APPAREILS D'EMISSION INCORPORANT UN APPAREIL DE RECEPTION")</f>
        <v xml:space="preserve">   APPAREILS D'EMISSION INCORPORANT UN APPAREIL DE RECEPTION</v>
      </c>
      <c r="C14139" s="4">
        <v>13275</v>
      </c>
      <c r="D14139" s="4">
        <v>57716795</v>
      </c>
    </row>
    <row r="14140" spans="1:4" x14ac:dyDescent="0.25">
      <c r="A14140" t="str">
        <f>T("   852550")</f>
        <v xml:space="preserve">   852550</v>
      </c>
      <c r="B14140" t="str">
        <f>T("   APPAREILS D'EMISSION")</f>
        <v xml:space="preserve">   APPAREILS D'EMISSION</v>
      </c>
      <c r="C14140" s="4">
        <v>67724.350000000006</v>
      </c>
      <c r="D14140" s="4">
        <v>178472272</v>
      </c>
    </row>
    <row r="14141" spans="1:4" x14ac:dyDescent="0.25">
      <c r="A14141" t="str">
        <f>T("   852560")</f>
        <v xml:space="preserve">   852560</v>
      </c>
      <c r="B14141" t="str">
        <f>T("   APPAREILS D'EMISSION INCORPORANT UN APPAREIL DE RECEPTION")</f>
        <v xml:space="preserve">   APPAREILS D'EMISSION INCORPORANT UN APPAREIL DE RECEPTION</v>
      </c>
      <c r="C14141" s="4">
        <v>12301.35</v>
      </c>
      <c r="D14141" s="4">
        <v>160837286</v>
      </c>
    </row>
    <row r="14142" spans="1:4" x14ac:dyDescent="0.25">
      <c r="A14142" t="str">
        <f>T("   852580")</f>
        <v xml:space="preserve">   852580</v>
      </c>
      <c r="B14142" t="str">
        <f>T("   CAMERAS DE TELEVISION, APPAREILS PHOTOGRAPHIQUES NUMERIQUES ET CAMESCOPES")</f>
        <v xml:space="preserve">   CAMERAS DE TELEVISION, APPAREILS PHOTOGRAPHIQUES NUMERIQUES ET CAMESCOPES</v>
      </c>
      <c r="C14142" s="4">
        <v>2384.0500000000002</v>
      </c>
      <c r="D14142" s="4">
        <v>93021742</v>
      </c>
    </row>
    <row r="14143" spans="1:4" x14ac:dyDescent="0.25">
      <c r="A14143" t="str">
        <f>T("   852610")</f>
        <v xml:space="preserve">   852610</v>
      </c>
      <c r="B14143" t="str">
        <f>T("   Appareils de radiodetection et de radiosondage (radar)")</f>
        <v xml:space="preserve">   Appareils de radiodetection et de radiosondage (radar)</v>
      </c>
      <c r="C14143" s="4">
        <v>6420</v>
      </c>
      <c r="D14143" s="4">
        <v>15606380</v>
      </c>
    </row>
    <row r="14144" spans="1:4" x14ac:dyDescent="0.25">
      <c r="A14144" t="str">
        <f>T("   852691")</f>
        <v xml:space="preserve">   852691</v>
      </c>
      <c r="B14144" t="str">
        <f>T("   Appareils de radionavigation")</f>
        <v xml:space="preserve">   Appareils de radionavigation</v>
      </c>
      <c r="C14144" s="4">
        <v>629.35</v>
      </c>
      <c r="D14144" s="4">
        <v>4555279</v>
      </c>
    </row>
    <row r="14145" spans="1:4" x14ac:dyDescent="0.25">
      <c r="A14145" t="str">
        <f>T("   852692")</f>
        <v xml:space="preserve">   852692</v>
      </c>
      <c r="B14145" t="str">
        <f>T("   Appareils de radiotelecommande")</f>
        <v xml:space="preserve">   Appareils de radiotelecommande</v>
      </c>
      <c r="C14145" s="4">
        <v>161</v>
      </c>
      <c r="D14145" s="4">
        <v>427030</v>
      </c>
    </row>
    <row r="14146" spans="1:4" x14ac:dyDescent="0.25">
      <c r="A14146" t="str">
        <f>T("   852711")</f>
        <v xml:space="preserve">   852711</v>
      </c>
      <c r="B14146" t="str">
        <f>T("   RECEPTEURS PORTATIFS RADIO AVEC ENREGISTREURS OU REPRODUTEURS DE SON")</f>
        <v xml:space="preserve">   RECEPTEURS PORTATIFS RADIO AVEC ENREGISTREURS OU REPRODUTEURS DE SON</v>
      </c>
      <c r="C14146" s="4">
        <v>200</v>
      </c>
      <c r="D14146" s="4">
        <v>428180</v>
      </c>
    </row>
    <row r="14147" spans="1:4" x14ac:dyDescent="0.25">
      <c r="A14147" t="str">
        <f>T("   852712")</f>
        <v xml:space="preserve">   852712</v>
      </c>
      <c r="B14147" t="str">
        <f>T("   RADIOCASSETTES DE POCHE")</f>
        <v xml:space="preserve">   RADIOCASSETTES DE POCHE</v>
      </c>
      <c r="C14147" s="4">
        <v>10230</v>
      </c>
      <c r="D14147" s="4">
        <v>2619446</v>
      </c>
    </row>
    <row r="14148" spans="1:4" x14ac:dyDescent="0.25">
      <c r="A14148" t="str">
        <f>T("   852713")</f>
        <v xml:space="preserve">   852713</v>
      </c>
      <c r="B14148" t="str">
        <f>T("   AUTRES APPAREILS COMBINES A UN APPAREIL D'ENREGISTREMENT OU DE REPRODUCTION DU SON")</f>
        <v xml:space="preserve">   AUTRES APPAREILS COMBINES A UN APPAREIL D'ENREGISTREMENT OU DE REPRODUCTION DU SON</v>
      </c>
      <c r="C14148" s="4">
        <v>53661</v>
      </c>
      <c r="D14148" s="4">
        <v>25461784</v>
      </c>
    </row>
    <row r="14149" spans="1:4" x14ac:dyDescent="0.25">
      <c r="A14149" t="str">
        <f>T("   852719")</f>
        <v xml:space="preserve">   852719</v>
      </c>
      <c r="B14149" t="str">
        <f>T("   AUTRES")</f>
        <v xml:space="preserve">   AUTRES</v>
      </c>
      <c r="C14149" s="4">
        <v>244514</v>
      </c>
      <c r="D14149" s="4">
        <v>145570922</v>
      </c>
    </row>
    <row r="14150" spans="1:4" x14ac:dyDescent="0.25">
      <c r="A14150" t="str">
        <f>T("   852721")</f>
        <v xml:space="preserve">   852721</v>
      </c>
      <c r="B14150" t="str">
        <f>T("   COMBINES A UN APPAREIL D'ENREGISTREMENT OU DE REPRODUCTION DU SON")</f>
        <v xml:space="preserve">   COMBINES A UN APPAREIL D'ENREGISTREMENT OU DE REPRODUCTION DU SON</v>
      </c>
      <c r="C14150" s="4">
        <v>33</v>
      </c>
      <c r="D14150" s="4">
        <v>1212075</v>
      </c>
    </row>
    <row r="14151" spans="1:4" x14ac:dyDescent="0.25">
      <c r="A14151" t="str">
        <f>T("   852729")</f>
        <v xml:space="preserve">   852729</v>
      </c>
      <c r="B14151" t="str">
        <f>T("   AUTRES")</f>
        <v xml:space="preserve">   AUTRES</v>
      </c>
      <c r="C14151" s="4">
        <v>274891</v>
      </c>
      <c r="D14151" s="4">
        <v>125452051</v>
      </c>
    </row>
    <row r="14152" spans="1:4" x14ac:dyDescent="0.25">
      <c r="A14152" t="str">
        <f>T("   852790")</f>
        <v xml:space="preserve">   852790</v>
      </c>
      <c r="B14152" t="str">
        <f>T("   AUTRES APPAREILS DU N 85.27")</f>
        <v xml:space="preserve">   AUTRES APPAREILS DU N 85.27</v>
      </c>
      <c r="C14152" s="4">
        <v>20</v>
      </c>
      <c r="D14152" s="4">
        <v>160000</v>
      </c>
    </row>
    <row r="14153" spans="1:4" x14ac:dyDescent="0.25">
      <c r="A14153" t="str">
        <f>T("   852791")</f>
        <v xml:space="preserve">   852791</v>
      </c>
      <c r="B14153" t="str">
        <f>T("   COMBINES A UN APPAREIL D'ENREGISTREMENT OU DE REPRODUCTION DU SON")</f>
        <v xml:space="preserve">   COMBINES A UN APPAREIL D'ENREGISTREMENT OU DE REPRODUCTION DU SON</v>
      </c>
      <c r="C14153" s="4">
        <v>804</v>
      </c>
      <c r="D14153" s="4">
        <v>1280710</v>
      </c>
    </row>
    <row r="14154" spans="1:4" x14ac:dyDescent="0.25">
      <c r="A14154" t="str">
        <f>T("   852799")</f>
        <v xml:space="preserve">   852799</v>
      </c>
      <c r="B14154" t="str">
        <f>T("   AUTRES")</f>
        <v xml:space="preserve">   AUTRES</v>
      </c>
      <c r="C14154" s="4">
        <v>47764</v>
      </c>
      <c r="D14154" s="4">
        <v>38272941</v>
      </c>
    </row>
    <row r="14155" spans="1:4" x14ac:dyDescent="0.25">
      <c r="A14155" t="str">
        <f>T("   852810")</f>
        <v xml:space="preserve">   852810</v>
      </c>
      <c r="B14155" t="str">
        <f>T("   RECEPTEURS TV COULEUR MEME AVEC ENREGISTREMENT,REPRODUCTION DES SON,IMAGES")</f>
        <v xml:space="preserve">   RECEPTEURS TV COULEUR MEME AVEC ENREGISTREMENT,REPRODUCTION DES SON,IMAGES</v>
      </c>
      <c r="C14155" s="4">
        <v>407</v>
      </c>
      <c r="D14155" s="4">
        <v>874000</v>
      </c>
    </row>
    <row r="14156" spans="1:4" x14ac:dyDescent="0.25">
      <c r="A14156" t="str">
        <f>T("   852812")</f>
        <v xml:space="preserve">   852812</v>
      </c>
      <c r="B14156" t="str">
        <f>T("   APPAREILS RECEPTEURS DE TELEVISION EN COULEUR")</f>
        <v xml:space="preserve">   APPAREILS RECEPTEURS DE TELEVISION EN COULEUR</v>
      </c>
      <c r="C14156" s="4">
        <v>765686</v>
      </c>
      <c r="D14156" s="4">
        <v>198857436</v>
      </c>
    </row>
    <row r="14157" spans="1:4" x14ac:dyDescent="0.25">
      <c r="A14157" t="str">
        <f>T("   852820")</f>
        <v xml:space="preserve">   852820</v>
      </c>
      <c r="B14157" t="str">
        <f>T("   RECEPTEURS TV NOIR/BLANC MEME AVEC ENREGISTR.,REPRODUCTION DES SON,IMAGES")</f>
        <v xml:space="preserve">   RECEPTEURS TV NOIR/BLANC MEME AVEC ENREGISTR.,REPRODUCTION DES SON,IMAGES</v>
      </c>
      <c r="C14157" s="4">
        <v>130</v>
      </c>
      <c r="D14157" s="4">
        <v>507376</v>
      </c>
    </row>
    <row r="14158" spans="1:4" x14ac:dyDescent="0.25">
      <c r="A14158" t="str">
        <f>T("   852821")</f>
        <v xml:space="preserve">   852821</v>
      </c>
      <c r="B14158" t="str">
        <f>T("   MONITEURS VIDEO EN COULEUR")</f>
        <v xml:space="preserve">   MONITEURS VIDEO EN COULEUR</v>
      </c>
      <c r="C14158" s="4">
        <v>20</v>
      </c>
      <c r="D14158" s="4">
        <v>10787</v>
      </c>
    </row>
    <row r="14159" spans="1:4" x14ac:dyDescent="0.25">
      <c r="A14159" t="str">
        <f>T("   852830")</f>
        <v xml:space="preserve">   852830</v>
      </c>
      <c r="B14159" t="str">
        <f>T("   PROJECTEURS VIDEO")</f>
        <v xml:space="preserve">   PROJECTEURS VIDEO</v>
      </c>
      <c r="C14159" s="4">
        <v>135</v>
      </c>
      <c r="D14159" s="4">
        <v>558400</v>
      </c>
    </row>
    <row r="14160" spans="1:4" x14ac:dyDescent="0.25">
      <c r="A14160" t="str">
        <f>T("   852849")</f>
        <v xml:space="preserve">   852849</v>
      </c>
      <c r="B14160" t="str">
        <f>T("   AUTRES")</f>
        <v xml:space="preserve">   AUTRES</v>
      </c>
      <c r="C14160" s="4">
        <v>155601.82999999999</v>
      </c>
      <c r="D14160" s="4">
        <v>124943391</v>
      </c>
    </row>
    <row r="14161" spans="1:4" x14ac:dyDescent="0.25">
      <c r="A14161" t="str">
        <f>T("   852851")</f>
        <v xml:space="preserve">   852851</v>
      </c>
      <c r="B14161" t="str">
        <f>T("   DES TYPES UTILISES EXCLUSIVEMENT OU PRINCIPALEMENT DANS UN SYSTEME AUTOMATIQUE DE TR")</f>
        <v xml:space="preserve">   DES TYPES UTILISES EXCLUSIVEMENT OU PRINCIPALEMENT DANS UN SYSTEME AUTOMATIQUE DE TR</v>
      </c>
      <c r="C14161" s="4">
        <v>3733</v>
      </c>
      <c r="D14161" s="4">
        <v>30038662</v>
      </c>
    </row>
    <row r="14162" spans="1:4" x14ac:dyDescent="0.25">
      <c r="A14162" t="str">
        <f>T("   852859")</f>
        <v xml:space="preserve">   852859</v>
      </c>
      <c r="B14162" t="str">
        <f>T("   AUTRES")</f>
        <v xml:space="preserve">   AUTRES</v>
      </c>
      <c r="C14162" s="4">
        <v>32681</v>
      </c>
      <c r="D14162" s="4">
        <v>118139355</v>
      </c>
    </row>
    <row r="14163" spans="1:4" x14ac:dyDescent="0.25">
      <c r="A14163" t="str">
        <f>T("   852861")</f>
        <v xml:space="preserve">   852861</v>
      </c>
      <c r="B14163" t="str">
        <f>T("   DES TYPES UTILISES EXCLUSIVEMENT OU PRINCIPALEMENT DANS UN SYSTEME AUTOMATIQUE DE TR")</f>
        <v xml:space="preserve">   DES TYPES UTILISES EXCLUSIVEMENT OU PRINCIPALEMENT DANS UN SYSTEME AUTOMATIQUE DE TR</v>
      </c>
      <c r="C14163" s="4">
        <v>241</v>
      </c>
      <c r="D14163" s="4">
        <v>429654</v>
      </c>
    </row>
    <row r="14164" spans="1:4" x14ac:dyDescent="0.25">
      <c r="A14164" t="str">
        <f>T("   852869")</f>
        <v xml:space="preserve">   852869</v>
      </c>
      <c r="B14164" t="str">
        <f>T("   AUTRES")</f>
        <v xml:space="preserve">   AUTRES</v>
      </c>
      <c r="C14164" s="4">
        <v>674</v>
      </c>
      <c r="D14164" s="4">
        <v>89290102</v>
      </c>
    </row>
    <row r="14165" spans="1:4" x14ac:dyDescent="0.25">
      <c r="A14165" t="str">
        <f>T("   852871")</f>
        <v xml:space="preserve">   852871</v>
      </c>
      <c r="B14165" t="str">
        <f>T("   NON CONCUS POUR INCORPORER UN DISPOSITIF D'AFFICHAGE OU UN ECRAN VIDEO")</f>
        <v xml:space="preserve">   NON CONCUS POUR INCORPORER UN DISPOSITIF D'AFFICHAGE OU UN ECRAN VIDEO</v>
      </c>
      <c r="C14165" s="4">
        <v>60711.65</v>
      </c>
      <c r="D14165" s="4">
        <v>406733686</v>
      </c>
    </row>
    <row r="14166" spans="1:4" x14ac:dyDescent="0.25">
      <c r="A14166" t="str">
        <f>T("   852872")</f>
        <v xml:space="preserve">   852872</v>
      </c>
      <c r="B14166" t="str">
        <f>T("   AUTRES, EN COULEURS")</f>
        <v xml:space="preserve">   AUTRES, EN COULEURS</v>
      </c>
      <c r="C14166" s="4">
        <v>106117</v>
      </c>
      <c r="D14166" s="4">
        <v>54453651</v>
      </c>
    </row>
    <row r="14167" spans="1:4" x14ac:dyDescent="0.25">
      <c r="A14167" t="str">
        <f>T("   852873")</f>
        <v xml:space="preserve">   852873</v>
      </c>
      <c r="B14167" t="str">
        <f>T("   AUTRES, EN MONOCHROMES")</f>
        <v xml:space="preserve">   AUTRES, EN MONOCHROMES</v>
      </c>
      <c r="C14167" s="4">
        <v>210243</v>
      </c>
      <c r="D14167" s="4">
        <v>100049035</v>
      </c>
    </row>
    <row r="14168" spans="1:4" x14ac:dyDescent="0.25">
      <c r="A14168" t="str">
        <f>T("   852910")</f>
        <v xml:space="preserve">   852910</v>
      </c>
      <c r="B14168" t="str">
        <f>T("   ANTENNES ET REFLECTEURS D’ANTENNES DE TOUS TYPES; PARTIES RECONNAISSABLES COMME ETANT")</f>
        <v xml:space="preserve">   ANTENNES ET REFLECTEURS D’ANTENNES DE TOUS TYPES; PARTIES RECONNAISSABLES COMME ETANT</v>
      </c>
      <c r="C14168" s="4">
        <v>177272</v>
      </c>
      <c r="D14168" s="4">
        <v>526054812</v>
      </c>
    </row>
    <row r="14169" spans="1:4" x14ac:dyDescent="0.25">
      <c r="A14169" t="str">
        <f>T("   852990")</f>
        <v xml:space="preserve">   852990</v>
      </c>
      <c r="B14169" t="str">
        <f>T("   AUTRES")</f>
        <v xml:space="preserve">   AUTRES</v>
      </c>
      <c r="C14169" s="4">
        <v>25058.14</v>
      </c>
      <c r="D14169" s="4">
        <v>303285308</v>
      </c>
    </row>
    <row r="14170" spans="1:4" x14ac:dyDescent="0.25">
      <c r="A14170" t="str">
        <f>T("   853080")</f>
        <v xml:space="preserve">   853080</v>
      </c>
      <c r="B14170" t="str">
        <f>T("   AUTRES APPAREILS")</f>
        <v xml:space="preserve">   AUTRES APPAREILS</v>
      </c>
      <c r="C14170" s="4">
        <v>20823</v>
      </c>
      <c r="D14170" s="4">
        <v>17890501</v>
      </c>
    </row>
    <row r="14171" spans="1:4" x14ac:dyDescent="0.25">
      <c r="A14171" t="str">
        <f>T("   853090")</f>
        <v xml:space="preserve">   853090</v>
      </c>
      <c r="B14171" t="str">
        <f>T("   PARTIES")</f>
        <v xml:space="preserve">   PARTIES</v>
      </c>
      <c r="C14171" s="4">
        <v>1150</v>
      </c>
      <c r="D14171" s="4">
        <v>6488753</v>
      </c>
    </row>
    <row r="14172" spans="1:4" x14ac:dyDescent="0.25">
      <c r="A14172" t="str">
        <f>T("   853110")</f>
        <v xml:space="preserve">   853110</v>
      </c>
      <c r="B14172" t="str">
        <f>T("   AVERTISSEURS ELECTRIQUES POUR LA PROTECTION CONTRE LE VOL OU L'INCENDIE ET APPAREILS")</f>
        <v xml:space="preserve">   AVERTISSEURS ELECTRIQUES POUR LA PROTECTION CONTRE LE VOL OU L'INCENDIE ET APPAREILS</v>
      </c>
      <c r="C14172" s="4">
        <v>5619</v>
      </c>
      <c r="D14172" s="4">
        <v>34868301</v>
      </c>
    </row>
    <row r="14173" spans="1:4" x14ac:dyDescent="0.25">
      <c r="A14173" t="str">
        <f>T("   853120")</f>
        <v xml:space="preserve">   853120</v>
      </c>
      <c r="B14173" t="str">
        <f>T("   PANNEAUX INDICATEURS INCORPORANT DES DISPOSITIFS A CRISTAUX LIQUIDES (LCD) OU A DIODE")</f>
        <v xml:space="preserve">   PANNEAUX INDICATEURS INCORPORANT DES DISPOSITIFS A CRISTAUX LIQUIDES (LCD) OU A DIODE</v>
      </c>
      <c r="C14173" s="4">
        <v>444.5</v>
      </c>
      <c r="D14173" s="4">
        <v>7310687</v>
      </c>
    </row>
    <row r="14174" spans="1:4" x14ac:dyDescent="0.25">
      <c r="A14174" t="str">
        <f>T("   853180")</f>
        <v xml:space="preserve">   853180</v>
      </c>
      <c r="B14174" t="str">
        <f>T("   AUTRES APPAREILS")</f>
        <v xml:space="preserve">   AUTRES APPAREILS</v>
      </c>
      <c r="C14174" s="4">
        <v>2909.44</v>
      </c>
      <c r="D14174" s="4">
        <v>21326610</v>
      </c>
    </row>
    <row r="14175" spans="1:4" x14ac:dyDescent="0.25">
      <c r="A14175" t="str">
        <f>T("   853190")</f>
        <v xml:space="preserve">   853190</v>
      </c>
      <c r="B14175" t="str">
        <f>T("   PARTIES")</f>
        <v xml:space="preserve">   PARTIES</v>
      </c>
      <c r="C14175" s="4">
        <v>228</v>
      </c>
      <c r="D14175" s="4">
        <v>5178131</v>
      </c>
    </row>
    <row r="14176" spans="1:4" x14ac:dyDescent="0.25">
      <c r="A14176" t="str">
        <f>T("   853210")</f>
        <v xml:space="preserve">   853210</v>
      </c>
      <c r="B14176" t="str">
        <f>T("   CONDENSATEURS FIXES CONCUS POUR LES RESEAUX ELECTRIQUES DE 50/60 HZ ET CAPABLES D’ABS")</f>
        <v xml:space="preserve">   CONDENSATEURS FIXES CONCUS POUR LES RESEAUX ELECTRIQUES DE 50/60 HZ ET CAPABLES D’ABS</v>
      </c>
      <c r="C14176" s="4">
        <v>424</v>
      </c>
      <c r="D14176" s="4">
        <v>6827047</v>
      </c>
    </row>
    <row r="14177" spans="1:4" x14ac:dyDescent="0.25">
      <c r="A14177" t="str">
        <f>T("   853222")</f>
        <v xml:space="preserve">   853222</v>
      </c>
      <c r="B14177" t="str">
        <f>T("   ELECTROLYTIQUES A L'ALUMINIUM")</f>
        <v xml:space="preserve">   ELECTROLYTIQUES A L'ALUMINIUM</v>
      </c>
      <c r="C14177" s="4">
        <v>180</v>
      </c>
      <c r="D14177" s="4">
        <v>2640896</v>
      </c>
    </row>
    <row r="14178" spans="1:4" x14ac:dyDescent="0.25">
      <c r="A14178" t="str">
        <f>T("   853229")</f>
        <v xml:space="preserve">   853229</v>
      </c>
      <c r="B14178" t="str">
        <f>T("   AUTRES")</f>
        <v xml:space="preserve">   AUTRES</v>
      </c>
      <c r="C14178" s="4">
        <v>244</v>
      </c>
      <c r="D14178" s="4">
        <v>902260</v>
      </c>
    </row>
    <row r="14179" spans="1:4" x14ac:dyDescent="0.25">
      <c r="A14179" t="str">
        <f>T("   853230")</f>
        <v xml:space="preserve">   853230</v>
      </c>
      <c r="B14179" t="str">
        <f>T("   Condensateurs variables ou ajustables")</f>
        <v xml:space="preserve">   Condensateurs variables ou ajustables</v>
      </c>
      <c r="C14179" s="4">
        <v>3354</v>
      </c>
      <c r="D14179" s="4">
        <v>22946136</v>
      </c>
    </row>
    <row r="14180" spans="1:4" x14ac:dyDescent="0.25">
      <c r="A14180" t="str">
        <f>T("   853290")</f>
        <v xml:space="preserve">   853290</v>
      </c>
      <c r="B14180" t="str">
        <f>T("   PARTIES")</f>
        <v xml:space="preserve">   PARTIES</v>
      </c>
      <c r="C14180" s="4">
        <v>133</v>
      </c>
      <c r="D14180" s="4">
        <v>1760236</v>
      </c>
    </row>
    <row r="14181" spans="1:4" x14ac:dyDescent="0.25">
      <c r="A14181" t="str">
        <f>T("   853321")</f>
        <v xml:space="preserve">   853321</v>
      </c>
      <c r="B14181" t="str">
        <f>T("   POUR UNE PUISSANCE N'EXCEDANT PAS 20 W")</f>
        <v xml:space="preserve">   POUR UNE PUISSANCE N'EXCEDANT PAS 20 W</v>
      </c>
      <c r="C14181" s="4">
        <v>0.9</v>
      </c>
      <c r="D14181" s="4">
        <v>93940</v>
      </c>
    </row>
    <row r="14182" spans="1:4" x14ac:dyDescent="0.25">
      <c r="A14182" t="str">
        <f>T("   853329")</f>
        <v xml:space="preserve">   853329</v>
      </c>
      <c r="B14182" t="str">
        <f>T("   AUTRES")</f>
        <v xml:space="preserve">   AUTRES</v>
      </c>
      <c r="C14182" s="4">
        <v>17</v>
      </c>
      <c r="D14182" s="4">
        <v>100051</v>
      </c>
    </row>
    <row r="14183" spans="1:4" x14ac:dyDescent="0.25">
      <c r="A14183" t="str">
        <f>T("   853331")</f>
        <v xml:space="preserve">   853331</v>
      </c>
      <c r="B14183" t="str">
        <f>T("   POUR UNE PUISSANCE N'EXCEDANT PAS 20 W")</f>
        <v xml:space="preserve">   POUR UNE PUISSANCE N'EXCEDANT PAS 20 W</v>
      </c>
      <c r="C14183" s="4">
        <v>12</v>
      </c>
      <c r="D14183" s="4">
        <v>923703</v>
      </c>
    </row>
    <row r="14184" spans="1:4" x14ac:dyDescent="0.25">
      <c r="A14184" t="str">
        <f>T("   853339")</f>
        <v xml:space="preserve">   853339</v>
      </c>
      <c r="B14184" t="str">
        <f>T("   AUTRES")</f>
        <v xml:space="preserve">   AUTRES</v>
      </c>
      <c r="C14184" s="4">
        <v>50575</v>
      </c>
      <c r="D14184" s="4">
        <v>22315234</v>
      </c>
    </row>
    <row r="14185" spans="1:4" x14ac:dyDescent="0.25">
      <c r="A14185" t="str">
        <f>T("   853340")</f>
        <v xml:space="preserve">   853340</v>
      </c>
      <c r="B14185" t="str">
        <f>T("   AUTRES RESISTANCES VARIABLES (Y COMPRIS LES RHEOSTATS ET LES POTENTIOMETRES)")</f>
        <v xml:space="preserve">   AUTRES RESISTANCES VARIABLES (Y COMPRIS LES RHEOSTATS ET LES POTENTIOMETRES)</v>
      </c>
      <c r="C14185" s="4">
        <v>815.7</v>
      </c>
      <c r="D14185" s="4">
        <v>13483839</v>
      </c>
    </row>
    <row r="14186" spans="1:4" x14ac:dyDescent="0.25">
      <c r="A14186" t="str">
        <f>T("   853390")</f>
        <v xml:space="preserve">   853390</v>
      </c>
      <c r="B14186" t="str">
        <f>T("   PARTIES")</f>
        <v xml:space="preserve">   PARTIES</v>
      </c>
      <c r="C14186" s="4">
        <v>1.9</v>
      </c>
      <c r="D14186" s="4">
        <v>155262</v>
      </c>
    </row>
    <row r="14187" spans="1:4" x14ac:dyDescent="0.25">
      <c r="A14187" t="str">
        <f>T("   853510")</f>
        <v xml:space="preserve">   853510</v>
      </c>
      <c r="B14187" t="str">
        <f>T("   FUSIBLES ET COUPECIRCUIT A FUSIBLES")</f>
        <v xml:space="preserve">   FUSIBLES ET COUPECIRCUIT A FUSIBLES</v>
      </c>
      <c r="C14187" s="4">
        <v>1732.9</v>
      </c>
      <c r="D14187" s="4">
        <v>18449922</v>
      </c>
    </row>
    <row r="14188" spans="1:4" x14ac:dyDescent="0.25">
      <c r="A14188" t="str">
        <f>T("   853529")</f>
        <v xml:space="preserve">   853529</v>
      </c>
      <c r="B14188" t="str">
        <f>T("   AUTRES")</f>
        <v xml:space="preserve">   AUTRES</v>
      </c>
      <c r="C14188" s="4">
        <v>89324.09</v>
      </c>
      <c r="D14188" s="4">
        <v>65223138</v>
      </c>
    </row>
    <row r="14189" spans="1:4" x14ac:dyDescent="0.25">
      <c r="A14189" t="str">
        <f>T("   853530")</f>
        <v xml:space="preserve">   853530</v>
      </c>
      <c r="B14189" t="str">
        <f>T("   SECTIONNEURS ET INTERRUPTEURS")</f>
        <v xml:space="preserve">   SECTIONNEURS ET INTERRUPTEURS</v>
      </c>
      <c r="C14189" s="4">
        <v>3276.45</v>
      </c>
      <c r="D14189" s="4">
        <v>14714170</v>
      </c>
    </row>
    <row r="14190" spans="1:4" x14ac:dyDescent="0.25">
      <c r="A14190" t="str">
        <f>T("   853540")</f>
        <v xml:space="preserve">   853540</v>
      </c>
      <c r="B14190" t="str">
        <f>T("   PARAFOUDRES, LIMITEURS DE TENSION ET PARASURTENSEURS")</f>
        <v xml:space="preserve">   PARAFOUDRES, LIMITEURS DE TENSION ET PARASURTENSEURS</v>
      </c>
      <c r="C14190" s="4">
        <v>6128</v>
      </c>
      <c r="D14190" s="4">
        <v>48652237</v>
      </c>
    </row>
    <row r="14191" spans="1:4" x14ac:dyDescent="0.25">
      <c r="A14191" t="str">
        <f>T("   853590")</f>
        <v xml:space="preserve">   853590</v>
      </c>
      <c r="B14191" t="str">
        <f>T("   AUTRES")</f>
        <v xml:space="preserve">   AUTRES</v>
      </c>
      <c r="C14191" s="4">
        <v>80704.12</v>
      </c>
      <c r="D14191" s="4">
        <v>179557779</v>
      </c>
    </row>
    <row r="14192" spans="1:4" x14ac:dyDescent="0.25">
      <c r="A14192" t="str">
        <f>T("   853610")</f>
        <v xml:space="preserve">   853610</v>
      </c>
      <c r="B14192" t="str">
        <f>T("   FUSIBLES ET COUPECIRCUIT A FUSIBLES")</f>
        <v xml:space="preserve">   FUSIBLES ET COUPECIRCUIT A FUSIBLES</v>
      </c>
      <c r="C14192" s="4">
        <v>2126.1999999999998</v>
      </c>
      <c r="D14192" s="4">
        <v>3490075</v>
      </c>
    </row>
    <row r="14193" spans="1:4" x14ac:dyDescent="0.25">
      <c r="A14193" t="str">
        <f>T("   853620")</f>
        <v xml:space="preserve">   853620</v>
      </c>
      <c r="B14193" t="str">
        <f>T("   DISJONCTEURS")</f>
        <v xml:space="preserve">   DISJONCTEURS</v>
      </c>
      <c r="C14193" s="4">
        <v>33529.699999999997</v>
      </c>
      <c r="D14193" s="4">
        <v>121425165</v>
      </c>
    </row>
    <row r="14194" spans="1:4" x14ac:dyDescent="0.25">
      <c r="A14194" t="str">
        <f>T("   853630")</f>
        <v xml:space="preserve">   853630</v>
      </c>
      <c r="B14194" t="str">
        <f>T("   AUTRES APPAREILS POUR LA PROTECTION DES CIRCUITS ELECTRIQUES")</f>
        <v xml:space="preserve">   AUTRES APPAREILS POUR LA PROTECTION DES CIRCUITS ELECTRIQUES</v>
      </c>
      <c r="C14194" s="4">
        <v>21889.4</v>
      </c>
      <c r="D14194" s="4">
        <v>34359637</v>
      </c>
    </row>
    <row r="14195" spans="1:4" x14ac:dyDescent="0.25">
      <c r="A14195" t="str">
        <f>T("   853641")</f>
        <v xml:space="preserve">   853641</v>
      </c>
      <c r="B14195" t="str">
        <f>T("   POUR UNE TENSION N'EXCEDANT PAS 60 V")</f>
        <v xml:space="preserve">   POUR UNE TENSION N'EXCEDANT PAS 60 V</v>
      </c>
      <c r="C14195" s="4">
        <v>4</v>
      </c>
      <c r="D14195" s="4">
        <v>647912</v>
      </c>
    </row>
    <row r="14196" spans="1:4" x14ac:dyDescent="0.25">
      <c r="A14196" t="str">
        <f>T("   853649")</f>
        <v xml:space="preserve">   853649</v>
      </c>
      <c r="B14196" t="str">
        <f>T("   AUTRES")</f>
        <v xml:space="preserve">   AUTRES</v>
      </c>
      <c r="C14196" s="4">
        <v>32700.19</v>
      </c>
      <c r="D14196" s="4">
        <v>73285421</v>
      </c>
    </row>
    <row r="14197" spans="1:4" x14ac:dyDescent="0.25">
      <c r="A14197" t="str">
        <f>T("   853650")</f>
        <v xml:space="preserve">   853650</v>
      </c>
      <c r="B14197" t="str">
        <f>T("   AUTRES INTERRUPTEURS, SECTIONNEURS ET COMMUTATEURS")</f>
        <v xml:space="preserve">   AUTRES INTERRUPTEURS, SECTIONNEURS ET COMMUTATEURS</v>
      </c>
      <c r="C14197" s="4">
        <v>170545.12</v>
      </c>
      <c r="D14197" s="4">
        <v>293900917</v>
      </c>
    </row>
    <row r="14198" spans="1:4" x14ac:dyDescent="0.25">
      <c r="A14198" t="str">
        <f>T("   853661")</f>
        <v xml:space="preserve">   853661</v>
      </c>
      <c r="B14198" t="str">
        <f>T("   DOUILLES POUR LAMPES")</f>
        <v xml:space="preserve">   DOUILLES POUR LAMPES</v>
      </c>
      <c r="C14198" s="4">
        <v>4378</v>
      </c>
      <c r="D14198" s="4">
        <v>4117122</v>
      </c>
    </row>
    <row r="14199" spans="1:4" x14ac:dyDescent="0.25">
      <c r="A14199" t="str">
        <f>T("   853669")</f>
        <v xml:space="preserve">   853669</v>
      </c>
      <c r="B14199" t="str">
        <f>T("   AUTRES")</f>
        <v xml:space="preserve">   AUTRES</v>
      </c>
      <c r="C14199" s="4">
        <v>305322.26</v>
      </c>
      <c r="D14199" s="4">
        <v>375097014</v>
      </c>
    </row>
    <row r="14200" spans="1:4" x14ac:dyDescent="0.25">
      <c r="A14200" t="str">
        <f>T("   853670")</f>
        <v xml:space="preserve">   853670</v>
      </c>
      <c r="B14200" t="str">
        <f>T("   CONNECTEURS POUR FIBRES OPTIQUES, FAISCEAUX OU CABLES DE FIBRES OPTIQUES")</f>
        <v xml:space="preserve">   CONNECTEURS POUR FIBRES OPTIQUES, FAISCEAUX OU CABLES DE FIBRES OPTIQUES</v>
      </c>
      <c r="C14200" s="4">
        <v>708.18</v>
      </c>
      <c r="D14200" s="4">
        <v>3550227</v>
      </c>
    </row>
    <row r="14201" spans="1:4" x14ac:dyDescent="0.25">
      <c r="A14201" t="str">
        <f>T("   853690")</f>
        <v xml:space="preserve">   853690</v>
      </c>
      <c r="B14201" t="str">
        <f>T("   AUTRES APPAREILS")</f>
        <v xml:space="preserve">   AUTRES APPAREILS</v>
      </c>
      <c r="C14201" s="4">
        <v>276917.09000000003</v>
      </c>
      <c r="D14201" s="4">
        <v>626042363</v>
      </c>
    </row>
    <row r="14202" spans="1:4" x14ac:dyDescent="0.25">
      <c r="A14202" t="str">
        <f>T("   853710")</f>
        <v xml:space="preserve">   853710</v>
      </c>
      <c r="B14202" t="str">
        <f>T("   POUR UNE TENSION N'EXCEDANT PAS 1.000 V")</f>
        <v xml:space="preserve">   POUR UNE TENSION N'EXCEDANT PAS 1.000 V</v>
      </c>
      <c r="C14202" s="4">
        <v>84637.9</v>
      </c>
      <c r="D14202" s="4">
        <v>982168300</v>
      </c>
    </row>
    <row r="14203" spans="1:4" x14ac:dyDescent="0.25">
      <c r="A14203" t="str">
        <f>T("   853720")</f>
        <v xml:space="preserve">   853720</v>
      </c>
      <c r="B14203" t="str">
        <f>T("   POUR UNE TENSION EXCEDANT 1.000 V")</f>
        <v xml:space="preserve">   POUR UNE TENSION EXCEDANT 1.000 V</v>
      </c>
      <c r="C14203" s="4">
        <v>25056</v>
      </c>
      <c r="D14203" s="4">
        <v>204137156</v>
      </c>
    </row>
    <row r="14204" spans="1:4" x14ac:dyDescent="0.25">
      <c r="A14204" t="str">
        <f>T("   853810")</f>
        <v xml:space="preserve">   853810</v>
      </c>
      <c r="B14204" t="str">
        <f>T("   TABLEAUX, PANNEAUX, CONSOLES, PUPITRES, ARMOIRES ET AUTRES SUPPORTS DU N° 85.37, DEPO")</f>
        <v xml:space="preserve">   TABLEAUX, PANNEAUX, CONSOLES, PUPITRES, ARMOIRES ET AUTRES SUPPORTS DU N° 85.37, DEPO</v>
      </c>
      <c r="C14204" s="4">
        <v>51954.93</v>
      </c>
      <c r="D14204" s="4">
        <v>718099250</v>
      </c>
    </row>
    <row r="14205" spans="1:4" x14ac:dyDescent="0.25">
      <c r="A14205" t="str">
        <f>T("   853890")</f>
        <v xml:space="preserve">   853890</v>
      </c>
      <c r="B14205" t="str">
        <f>T("   AUTRES")</f>
        <v xml:space="preserve">   AUTRES</v>
      </c>
      <c r="C14205" s="4">
        <v>49897.3</v>
      </c>
      <c r="D14205" s="4">
        <v>310172448</v>
      </c>
    </row>
    <row r="14206" spans="1:4" x14ac:dyDescent="0.25">
      <c r="A14206" t="str">
        <f>T("   853910")</f>
        <v xml:space="preserve">   853910</v>
      </c>
      <c r="B14206" t="str">
        <f>T("   ARTICLES DITS «PHARES ET PROJECTEURS SCELLES»")</f>
        <v xml:space="preserve">   ARTICLES DITS «PHARES ET PROJECTEURS SCELLES»</v>
      </c>
      <c r="C14206" s="4">
        <v>1489.8</v>
      </c>
      <c r="D14206" s="4">
        <v>4761328</v>
      </c>
    </row>
    <row r="14207" spans="1:4" x14ac:dyDescent="0.25">
      <c r="A14207" t="str">
        <f>T("   853921")</f>
        <v xml:space="preserve">   853921</v>
      </c>
      <c r="B14207" t="str">
        <f>T("   HALOGENES, AU TUNGSTENE")</f>
        <v xml:space="preserve">   HALOGENES, AU TUNGSTENE</v>
      </c>
      <c r="C14207" s="4">
        <v>544</v>
      </c>
      <c r="D14207" s="4">
        <v>890378</v>
      </c>
    </row>
    <row r="14208" spans="1:4" x14ac:dyDescent="0.25">
      <c r="A14208" t="str">
        <f>T("   853922")</f>
        <v xml:space="preserve">   853922</v>
      </c>
      <c r="B14208" t="str">
        <f>T("   AUTRES, D’UNE PUISSANCE N’EXCEDANT PAS 200 W ET D’UNE TENSION EXCEDANT 100 V")</f>
        <v xml:space="preserve">   AUTRES, D’UNE PUISSANCE N’EXCEDANT PAS 200 W ET D’UNE TENSION EXCEDANT 100 V</v>
      </c>
      <c r="C14208" s="4">
        <v>1737</v>
      </c>
      <c r="D14208" s="4">
        <v>8638584</v>
      </c>
    </row>
    <row r="14209" spans="1:4" x14ac:dyDescent="0.25">
      <c r="A14209" t="str">
        <f>T("   853929")</f>
        <v xml:space="preserve">   853929</v>
      </c>
      <c r="B14209" t="str">
        <f>T("   AUTRES")</f>
        <v xml:space="preserve">   AUTRES</v>
      </c>
      <c r="C14209" s="4">
        <v>315975.34999999998</v>
      </c>
      <c r="D14209" s="4">
        <v>178864474</v>
      </c>
    </row>
    <row r="14210" spans="1:4" x14ac:dyDescent="0.25">
      <c r="A14210" t="str">
        <f>T("   853931")</f>
        <v xml:space="preserve">   853931</v>
      </c>
      <c r="B14210" t="str">
        <f>T("   FLUORESCENTS, A CATHODE CHAUDE")</f>
        <v xml:space="preserve">   FLUORESCENTS, A CATHODE CHAUDE</v>
      </c>
      <c r="C14210" s="4">
        <v>326089.5</v>
      </c>
      <c r="D14210" s="4">
        <v>273595048</v>
      </c>
    </row>
    <row r="14211" spans="1:4" x14ac:dyDescent="0.25">
      <c r="A14211" t="str">
        <f>T("   853939")</f>
        <v xml:space="preserve">   853939</v>
      </c>
      <c r="B14211" t="str">
        <f>T("   AUTRES")</f>
        <v xml:space="preserve">   AUTRES</v>
      </c>
      <c r="C14211" s="4">
        <v>17433.099999999999</v>
      </c>
      <c r="D14211" s="4">
        <v>30838981</v>
      </c>
    </row>
    <row r="14212" spans="1:4" x14ac:dyDescent="0.25">
      <c r="A14212" t="str">
        <f>T("   853949")</f>
        <v xml:space="preserve">   853949</v>
      </c>
      <c r="B14212" t="str">
        <f>T("   AUTRES")</f>
        <v xml:space="preserve">   AUTRES</v>
      </c>
      <c r="C14212" s="4">
        <v>29818.7</v>
      </c>
      <c r="D14212" s="4">
        <v>15495184</v>
      </c>
    </row>
    <row r="14213" spans="1:4" x14ac:dyDescent="0.25">
      <c r="A14213" t="str">
        <f>T("   853990")</f>
        <v xml:space="preserve">   853990</v>
      </c>
      <c r="B14213" t="str">
        <f>T("   PARTIES")</f>
        <v xml:space="preserve">   PARTIES</v>
      </c>
      <c r="C14213" s="4">
        <v>68</v>
      </c>
      <c r="D14213" s="4">
        <v>17970366</v>
      </c>
    </row>
    <row r="14214" spans="1:4" x14ac:dyDescent="0.25">
      <c r="A14214" t="str">
        <f>T("   854089")</f>
        <v xml:space="preserve">   854089</v>
      </c>
      <c r="B14214" t="str">
        <f>T("   AUTRES")</f>
        <v xml:space="preserve">   AUTRES</v>
      </c>
      <c r="C14214" s="4">
        <v>970</v>
      </c>
      <c r="D14214" s="4">
        <v>668853</v>
      </c>
    </row>
    <row r="14215" spans="1:4" x14ac:dyDescent="0.25">
      <c r="A14215" t="str">
        <f>T("   854099")</f>
        <v xml:space="preserve">   854099</v>
      </c>
      <c r="B14215" t="str">
        <f>T("   AUTRES")</f>
        <v xml:space="preserve">   AUTRES</v>
      </c>
      <c r="C14215" s="4">
        <v>19000</v>
      </c>
      <c r="D14215" s="4">
        <v>4431274</v>
      </c>
    </row>
    <row r="14216" spans="1:4" x14ac:dyDescent="0.25">
      <c r="A14216" t="str">
        <f>T("   854110")</f>
        <v xml:space="preserve">   854110</v>
      </c>
      <c r="B14216" t="str">
        <f>T("   DIODES, AUTRES QUE LES PHOTODIODES ET LES DIODES EMETTRICES DE LUMIERE")</f>
        <v xml:space="preserve">   DIODES, AUTRES QUE LES PHOTODIODES ET LES DIODES EMETTRICES DE LUMIERE</v>
      </c>
      <c r="C14216" s="4">
        <v>4</v>
      </c>
      <c r="D14216" s="4">
        <v>294356</v>
      </c>
    </row>
    <row r="14217" spans="1:4" x14ac:dyDescent="0.25">
      <c r="A14217" t="str">
        <f>T("   854129")</f>
        <v xml:space="preserve">   854129</v>
      </c>
      <c r="B14217" t="str">
        <f>T("   AUTRES")</f>
        <v xml:space="preserve">   AUTRES</v>
      </c>
      <c r="C14217" s="4">
        <v>271.5</v>
      </c>
      <c r="D14217" s="4">
        <v>21568541</v>
      </c>
    </row>
    <row r="14218" spans="1:4" x14ac:dyDescent="0.25">
      <c r="A14218" t="str">
        <f>T("   854140")</f>
        <v xml:space="preserve">   854140</v>
      </c>
      <c r="B14218" t="str">
        <f>T("   DISPOSITIFS PHOTOSENSIBLES A SEMICONDUCTEUR, Y COMPRIS LES CELLULES PHOTOVOLTAIQUES")</f>
        <v xml:space="preserve">   DISPOSITIFS PHOTOSENSIBLES A SEMICONDUCTEUR, Y COMPRIS LES CELLULES PHOTOVOLTAIQUES</v>
      </c>
      <c r="C14218" s="4">
        <v>41926</v>
      </c>
      <c r="D14218" s="4">
        <v>275269144</v>
      </c>
    </row>
    <row r="14219" spans="1:4" x14ac:dyDescent="0.25">
      <c r="A14219" t="str">
        <f>T("   854150")</f>
        <v xml:space="preserve">   854150</v>
      </c>
      <c r="B14219" t="str">
        <f>T("   AUTRES DISPOSITIFS A SEMICONDUCTEUR")</f>
        <v xml:space="preserve">   AUTRES DISPOSITIFS A SEMICONDUCTEUR</v>
      </c>
      <c r="C14219" s="4">
        <v>1669</v>
      </c>
      <c r="D14219" s="4">
        <v>4873160</v>
      </c>
    </row>
    <row r="14220" spans="1:4" x14ac:dyDescent="0.25">
      <c r="A14220" t="str">
        <f>T("   854190")</f>
        <v xml:space="preserve">   854190</v>
      </c>
      <c r="B14220" t="str">
        <f>T("   PARTIES")</f>
        <v xml:space="preserve">   PARTIES</v>
      </c>
      <c r="C14220" s="4">
        <v>9</v>
      </c>
      <c r="D14220" s="4">
        <v>14682</v>
      </c>
    </row>
    <row r="14221" spans="1:4" x14ac:dyDescent="0.25">
      <c r="A14221" t="str">
        <f>T("   854231")</f>
        <v xml:space="preserve">   854231</v>
      </c>
      <c r="B14221" t="str">
        <f>T("   PROCESSEURS ET CONTROLEURS, MEME COMBINES AVEC DES MEMOIRES, DES CONVERTISSEURS, DES")</f>
        <v xml:space="preserve">   PROCESSEURS ET CONTROLEURS, MEME COMBINES AVEC DES MEMOIRES, DES CONVERTISSEURS, DES</v>
      </c>
      <c r="C14221" s="4">
        <v>26</v>
      </c>
      <c r="D14221" s="4">
        <v>6293431</v>
      </c>
    </row>
    <row r="14222" spans="1:4" x14ac:dyDescent="0.25">
      <c r="A14222" t="str">
        <f>T("   854232")</f>
        <v xml:space="preserve">   854232</v>
      </c>
      <c r="B14222" t="str">
        <f>T("   MEMOIRES")</f>
        <v xml:space="preserve">   MEMOIRES</v>
      </c>
      <c r="C14222" s="4">
        <v>204</v>
      </c>
      <c r="D14222" s="4">
        <v>2276544</v>
      </c>
    </row>
    <row r="14223" spans="1:4" x14ac:dyDescent="0.25">
      <c r="A14223" t="str">
        <f>T("   854233")</f>
        <v xml:space="preserve">   854233</v>
      </c>
      <c r="B14223" t="str">
        <f>T("   AMPLIFICATEURS")</f>
        <v xml:space="preserve">   AMPLIFICATEURS</v>
      </c>
      <c r="C14223" s="4">
        <v>24</v>
      </c>
      <c r="D14223" s="4">
        <v>1742636</v>
      </c>
    </row>
    <row r="14224" spans="1:4" x14ac:dyDescent="0.25">
      <c r="A14224" t="str">
        <f>T("   854239")</f>
        <v xml:space="preserve">   854239</v>
      </c>
      <c r="B14224" t="str">
        <f>T("   AUTRES")</f>
        <v xml:space="preserve">   AUTRES</v>
      </c>
      <c r="C14224" s="4">
        <v>172.3</v>
      </c>
      <c r="D14224" s="4">
        <v>32050107</v>
      </c>
    </row>
    <row r="14225" spans="1:4" x14ac:dyDescent="0.25">
      <c r="A14225" t="str">
        <f>T("   854320")</f>
        <v xml:space="preserve">   854320</v>
      </c>
      <c r="B14225" t="str">
        <f>T("   GENERATEURS DE SIGNAUX")</f>
        <v xml:space="preserve">   GENERATEURS DE SIGNAUX</v>
      </c>
      <c r="C14225" s="4">
        <v>1528.6</v>
      </c>
      <c r="D14225" s="4">
        <v>1636579</v>
      </c>
    </row>
    <row r="14226" spans="1:4" x14ac:dyDescent="0.25">
      <c r="A14226" t="str">
        <f>T("   854370")</f>
        <v xml:space="preserve">   854370</v>
      </c>
      <c r="B14226" t="str">
        <f>T("   AUTRES MACHINES ET APPAREILS")</f>
        <v xml:space="preserve">   AUTRES MACHINES ET APPAREILS</v>
      </c>
      <c r="C14226" s="4">
        <v>5767</v>
      </c>
      <c r="D14226" s="4">
        <v>123971623</v>
      </c>
    </row>
    <row r="14227" spans="1:4" x14ac:dyDescent="0.25">
      <c r="A14227" t="str">
        <f>T("   854389")</f>
        <v xml:space="preserve">   854389</v>
      </c>
      <c r="B14227" t="str">
        <f>T("   AUTRES MACHINES ET APPAREILS DU Nø85.43")</f>
        <v xml:space="preserve">   AUTRES MACHINES ET APPAREILS DU Nø85.43</v>
      </c>
      <c r="C14227" s="4">
        <v>700</v>
      </c>
      <c r="D14227" s="4">
        <v>2609580</v>
      </c>
    </row>
    <row r="14228" spans="1:4" x14ac:dyDescent="0.25">
      <c r="A14228" t="str">
        <f>T("   854390")</f>
        <v xml:space="preserve">   854390</v>
      </c>
      <c r="B14228" t="str">
        <f>T("   PARTIES")</f>
        <v xml:space="preserve">   PARTIES</v>
      </c>
      <c r="C14228" s="4">
        <v>244.2</v>
      </c>
      <c r="D14228" s="4">
        <v>662583</v>
      </c>
    </row>
    <row r="14229" spans="1:4" x14ac:dyDescent="0.25">
      <c r="A14229" t="str">
        <f>T("   854411")</f>
        <v xml:space="preserve">   854411</v>
      </c>
      <c r="B14229" t="str">
        <f>T("   EN CUIVRE")</f>
        <v xml:space="preserve">   EN CUIVRE</v>
      </c>
      <c r="C14229" s="4">
        <v>88637.86</v>
      </c>
      <c r="D14229" s="4">
        <v>272487429</v>
      </c>
    </row>
    <row r="14230" spans="1:4" x14ac:dyDescent="0.25">
      <c r="A14230" t="str">
        <f>T("   854419")</f>
        <v xml:space="preserve">   854419</v>
      </c>
      <c r="B14230" t="str">
        <f>T("   AUTRES")</f>
        <v xml:space="preserve">   AUTRES</v>
      </c>
      <c r="C14230" s="4">
        <v>6871</v>
      </c>
      <c r="D14230" s="4">
        <v>10263542</v>
      </c>
    </row>
    <row r="14231" spans="1:4" x14ac:dyDescent="0.25">
      <c r="A14231" t="str">
        <f>T("   854420")</f>
        <v xml:space="preserve">   854420</v>
      </c>
      <c r="B14231" t="str">
        <f>T("   Cables coaxiaux et autres conducteurs electriques coaxiaux")</f>
        <v xml:space="preserve">   Cables coaxiaux et autres conducteurs electriques coaxiaux</v>
      </c>
      <c r="C14231" s="4">
        <v>1127527</v>
      </c>
      <c r="D14231" s="4">
        <v>1437962196</v>
      </c>
    </row>
    <row r="14232" spans="1:4" x14ac:dyDescent="0.25">
      <c r="A14232" t="str">
        <f>T("   854430")</f>
        <v xml:space="preserve">   854430</v>
      </c>
      <c r="B14232" t="str">
        <f>T("   JEUX DE FILS POUR BOUGIES D'ALLUMAGE ET AUTRES JEUX DE FILS DES TYPES UTILISES DANS L")</f>
        <v xml:space="preserve">   JEUX DE FILS POUR BOUGIES D'ALLUMAGE ET AUTRES JEUX DE FILS DES TYPES UTILISES DANS L</v>
      </c>
      <c r="C14232" s="4">
        <v>307</v>
      </c>
      <c r="D14232" s="4">
        <v>20303933</v>
      </c>
    </row>
    <row r="14233" spans="1:4" x14ac:dyDescent="0.25">
      <c r="A14233" t="str">
        <f>T("   854442")</f>
        <v xml:space="preserve">   854442</v>
      </c>
      <c r="B14233" t="str">
        <f>T("   MUNIS DE PIECES DE CONNEXION")</f>
        <v xml:space="preserve">   MUNIS DE PIECES DE CONNEXION</v>
      </c>
      <c r="C14233" s="4">
        <v>14746.3</v>
      </c>
      <c r="D14233" s="4">
        <v>221697253</v>
      </c>
    </row>
    <row r="14234" spans="1:4" x14ac:dyDescent="0.25">
      <c r="A14234" t="str">
        <f>T("   854449")</f>
        <v xml:space="preserve">   854449</v>
      </c>
      <c r="B14234" t="str">
        <f>T("   AUTRES")</f>
        <v xml:space="preserve">   AUTRES</v>
      </c>
      <c r="C14234" s="4">
        <v>798026.08</v>
      </c>
      <c r="D14234" s="4">
        <v>1784393807</v>
      </c>
    </row>
    <row r="14235" spans="1:4" x14ac:dyDescent="0.25">
      <c r="A14235" t="str">
        <f>T("   854451")</f>
        <v xml:space="preserve">   854451</v>
      </c>
      <c r="B14235" t="str">
        <f>T("   CONDUCTEURS ELECTRIQUES (PLUS DE 80 V A 1000 V) AVEC PIECES CONNEXION")</f>
        <v xml:space="preserve">   CONDUCTEURS ELECTRIQUES (PLUS DE 80 V A 1000 V) AVEC PIECES CONNEXION</v>
      </c>
      <c r="C14235" s="4">
        <v>4202</v>
      </c>
      <c r="D14235" s="4">
        <v>3488515</v>
      </c>
    </row>
    <row r="14236" spans="1:4" x14ac:dyDescent="0.25">
      <c r="A14236" t="str">
        <f>T("   854459")</f>
        <v xml:space="preserve">   854459</v>
      </c>
      <c r="B14236" t="str">
        <f>T("   CONDUCTEURS ELECTRIQUES (PLUS DE 80 V A 1000 V) SANS PIECE DE CONNEXION")</f>
        <v xml:space="preserve">   CONDUCTEURS ELECTRIQUES (PLUS DE 80 V A 1000 V) SANS PIECE DE CONNEXION</v>
      </c>
      <c r="C14236" s="4">
        <v>16160</v>
      </c>
      <c r="D14236" s="4">
        <v>2703500</v>
      </c>
    </row>
    <row r="14237" spans="1:4" x14ac:dyDescent="0.25">
      <c r="A14237" t="str">
        <f>T("   854460")</f>
        <v xml:space="preserve">   854460</v>
      </c>
      <c r="B14237" t="str">
        <f>T("   AUTRES CONDUCTEURS ELECTRIQUES, POUR TENSIONS EXCEDANT 1.000 V")</f>
        <v xml:space="preserve">   AUTRES CONDUCTEURS ELECTRIQUES, POUR TENSIONS EXCEDANT 1.000 V</v>
      </c>
      <c r="C14237" s="4">
        <v>60844.78</v>
      </c>
      <c r="D14237" s="4">
        <v>145721646</v>
      </c>
    </row>
    <row r="14238" spans="1:4" x14ac:dyDescent="0.25">
      <c r="A14238" t="str">
        <f>T("   854470")</f>
        <v xml:space="preserve">   854470</v>
      </c>
      <c r="B14238" t="str">
        <f>T("   Cables de fibres optiques")</f>
        <v xml:space="preserve">   Cables de fibres optiques</v>
      </c>
      <c r="C14238" s="4">
        <v>83798.600000000006</v>
      </c>
      <c r="D14238" s="4">
        <v>273913833</v>
      </c>
    </row>
    <row r="14239" spans="1:4" x14ac:dyDescent="0.25">
      <c r="A14239" t="str">
        <f>T("   854519")</f>
        <v xml:space="preserve">   854519</v>
      </c>
      <c r="B14239" t="str">
        <f>T("   AUTRES")</f>
        <v xml:space="preserve">   AUTRES</v>
      </c>
      <c r="C14239" s="4">
        <v>1055</v>
      </c>
      <c r="D14239" s="4">
        <v>2855297</v>
      </c>
    </row>
    <row r="14240" spans="1:4" x14ac:dyDescent="0.25">
      <c r="A14240" t="str">
        <f>T("   854520")</f>
        <v xml:space="preserve">   854520</v>
      </c>
      <c r="B14240" t="str">
        <f>T("   BALAIS")</f>
        <v xml:space="preserve">   BALAIS</v>
      </c>
      <c r="C14240" s="4">
        <v>2263.16</v>
      </c>
      <c r="D14240" s="4">
        <v>21791387</v>
      </c>
    </row>
    <row r="14241" spans="1:4" x14ac:dyDescent="0.25">
      <c r="A14241" t="str">
        <f>T("   854590")</f>
        <v xml:space="preserve">   854590</v>
      </c>
      <c r="B14241" t="str">
        <f>T("   AUTRES")</f>
        <v xml:space="preserve">   AUTRES</v>
      </c>
      <c r="C14241" s="4">
        <v>1531</v>
      </c>
      <c r="D14241" s="4">
        <v>13636041</v>
      </c>
    </row>
    <row r="14242" spans="1:4" x14ac:dyDescent="0.25">
      <c r="A14242" t="str">
        <f>T("   854690")</f>
        <v xml:space="preserve">   854690</v>
      </c>
      <c r="B14242" t="str">
        <f>T("   AUTRES")</f>
        <v xml:space="preserve">   AUTRES</v>
      </c>
      <c r="C14242" s="4">
        <v>491</v>
      </c>
      <c r="D14242" s="4">
        <v>10710534</v>
      </c>
    </row>
    <row r="14243" spans="1:4" x14ac:dyDescent="0.25">
      <c r="A14243" t="str">
        <f>T("   854720")</f>
        <v xml:space="preserve">   854720</v>
      </c>
      <c r="B14243" t="str">
        <f>T("   Pieces isolantes en matieres plastiques")</f>
        <v xml:space="preserve">   Pieces isolantes en matieres plastiques</v>
      </c>
      <c r="C14243" s="4">
        <v>16</v>
      </c>
      <c r="D14243" s="4">
        <v>218251</v>
      </c>
    </row>
    <row r="14244" spans="1:4" x14ac:dyDescent="0.25">
      <c r="A14244" t="str">
        <f>T("   854790")</f>
        <v xml:space="preserve">   854790</v>
      </c>
      <c r="B14244" t="str">
        <f>T("   AUTRES")</f>
        <v xml:space="preserve">   AUTRES</v>
      </c>
      <c r="C14244" s="4">
        <v>67809.289999999994</v>
      </c>
      <c r="D14244" s="4">
        <v>22257302</v>
      </c>
    </row>
    <row r="14245" spans="1:4" x14ac:dyDescent="0.25">
      <c r="A14245" t="str">
        <f>T("   854810")</f>
        <v xml:space="preserve">   854810</v>
      </c>
      <c r="B14245" t="str">
        <f>T("   DECHETS ET DEBRIS DE PILES, DE BATTERIES DE PILES ET D'ACCUMULATEURS ELECTRIQUES; PIL")</f>
        <v xml:space="preserve">   DECHETS ET DEBRIS DE PILES, DE BATTERIES DE PILES ET D'ACCUMULATEURS ELECTRIQUES; PIL</v>
      </c>
      <c r="C14245" s="4">
        <v>104</v>
      </c>
      <c r="D14245" s="4">
        <v>469011</v>
      </c>
    </row>
    <row r="14246" spans="1:4" x14ac:dyDescent="0.25">
      <c r="A14246" t="str">
        <f>T("   854890")</f>
        <v xml:space="preserve">   854890</v>
      </c>
      <c r="B14246" t="str">
        <f>T("   AUTRES")</f>
        <v xml:space="preserve">   AUTRES</v>
      </c>
      <c r="C14246" s="4">
        <v>63</v>
      </c>
      <c r="D14246" s="4">
        <v>722890</v>
      </c>
    </row>
    <row r="14247" spans="1:4" x14ac:dyDescent="0.25">
      <c r="A14247" t="str">
        <f>T("   860110")</f>
        <v xml:space="preserve">   860110</v>
      </c>
      <c r="B14247" t="str">
        <f>T("   A SOURCE EXTERIEURE D'ELECTRICITE")</f>
        <v xml:space="preserve">   A SOURCE EXTERIEURE D'ELECTRICITE</v>
      </c>
      <c r="C14247" s="4">
        <v>358</v>
      </c>
      <c r="D14247" s="4">
        <v>2569771</v>
      </c>
    </row>
    <row r="14248" spans="1:4" x14ac:dyDescent="0.25">
      <c r="A14248" t="str">
        <f>T("   860400")</f>
        <v xml:space="preserve">   860400</v>
      </c>
      <c r="B14248" t="str">
        <f>T("   VEHICULES POUR L'ENTRETIEN OU LE SERVICE DES VOIES FERREES OU SIMILAIRES, MEME AUTOPROP")</f>
        <v xml:space="preserve">   VEHICULES POUR L'ENTRETIEN OU LE SERVICE DES VOIES FERREES OU SIMILAIRES, MEME AUTOPROP</v>
      </c>
      <c r="C14248" s="4">
        <v>28000</v>
      </c>
      <c r="D14248" s="4">
        <v>77605316</v>
      </c>
    </row>
    <row r="14249" spans="1:4" x14ac:dyDescent="0.25">
      <c r="A14249" t="str">
        <f>T("   860719")</f>
        <v xml:space="preserve">   860719</v>
      </c>
      <c r="B14249" t="str">
        <f>T("   AUTRES, Y COMPRIS LES PARTIES")</f>
        <v xml:space="preserve">   AUTRES, Y COMPRIS LES PARTIES</v>
      </c>
      <c r="C14249" s="4">
        <v>27</v>
      </c>
      <c r="D14249" s="4">
        <v>833804</v>
      </c>
    </row>
    <row r="14250" spans="1:4" x14ac:dyDescent="0.25">
      <c r="A14250" t="str">
        <f>T("   860721")</f>
        <v xml:space="preserve">   860721</v>
      </c>
      <c r="B14250" t="str">
        <f>T("   FREINS A AIR COMPRIME ET LEURS PARTIES")</f>
        <v xml:space="preserve">   FREINS A AIR COMPRIME ET LEURS PARTIES</v>
      </c>
      <c r="C14250" s="4">
        <v>382</v>
      </c>
      <c r="D14250" s="4">
        <v>5172730</v>
      </c>
    </row>
    <row r="14251" spans="1:4" x14ac:dyDescent="0.25">
      <c r="A14251" t="str">
        <f>T("   860800")</f>
        <v xml:space="preserve">   860800</v>
      </c>
      <c r="B14251" t="str">
        <f>T("   MATERIEL FIXE DE VOIES FERREES OU SIMILAIRES; APPAREILS MECANIQUES (Y COMPRIS ELECTROME")</f>
        <v xml:space="preserve">   MATERIEL FIXE DE VOIES FERREES OU SIMILAIRES; APPAREILS MECANIQUES (Y COMPRIS ELECTROME</v>
      </c>
      <c r="C14251" s="4">
        <v>20498</v>
      </c>
      <c r="D14251" s="4">
        <v>10786674</v>
      </c>
    </row>
    <row r="14252" spans="1:4" x14ac:dyDescent="0.25">
      <c r="A14252" t="str">
        <f>T("   860900")</f>
        <v xml:space="preserve">   860900</v>
      </c>
      <c r="B14252" t="str">
        <f>T("   CADRES ET CONTENEURS (Y COMPRIS LES CONTENEURSCITERNES ET LES CONTENEURSRESERVOIRS) S")</f>
        <v xml:space="preserve">   CADRES ET CONTENEURS (Y COMPRIS LES CONTENEURSCITERNES ET LES CONTENEURSRESERVOIRS) S</v>
      </c>
      <c r="C14252" s="4">
        <v>280802</v>
      </c>
      <c r="D14252" s="4">
        <v>1521584748</v>
      </c>
    </row>
    <row r="14253" spans="1:4" x14ac:dyDescent="0.25">
      <c r="A14253" t="str">
        <f>T("   870110")</f>
        <v xml:space="preserve">   870110</v>
      </c>
      <c r="B14253" t="str">
        <f>T("   Motoculteurs")</f>
        <v xml:space="preserve">   Motoculteurs</v>
      </c>
      <c r="C14253" s="4">
        <v>209847.44</v>
      </c>
      <c r="D14253" s="4">
        <v>423685138</v>
      </c>
    </row>
    <row r="14254" spans="1:4" x14ac:dyDescent="0.25">
      <c r="A14254" t="str">
        <f>T("   870120")</f>
        <v xml:space="preserve">   870120</v>
      </c>
      <c r="B14254" t="str">
        <f>T("   TRACTEURS ROUTIERS POUR SEMIREMORQUES")</f>
        <v xml:space="preserve">   TRACTEURS ROUTIERS POUR SEMIREMORQUES</v>
      </c>
      <c r="C14254" s="4">
        <v>13401959.5</v>
      </c>
      <c r="D14254" s="4">
        <v>5736881835</v>
      </c>
    </row>
    <row r="14255" spans="1:4" x14ac:dyDescent="0.25">
      <c r="A14255" t="str">
        <f>T("   870130")</f>
        <v xml:space="preserve">   870130</v>
      </c>
      <c r="B14255" t="str">
        <f>T("   TRACTEURS A CHENILLES")</f>
        <v xml:space="preserve">   TRACTEURS A CHENILLES</v>
      </c>
      <c r="C14255" s="4">
        <v>305672</v>
      </c>
      <c r="D14255" s="4">
        <v>205380075</v>
      </c>
    </row>
    <row r="14256" spans="1:4" x14ac:dyDescent="0.25">
      <c r="A14256" t="str">
        <f>T("   870190")</f>
        <v xml:space="preserve">   870190</v>
      </c>
      <c r="B14256" t="str">
        <f>T("   AUTRES")</f>
        <v xml:space="preserve">   AUTRES</v>
      </c>
      <c r="C14256" s="4">
        <v>375878</v>
      </c>
      <c r="D14256" s="4">
        <v>525444128</v>
      </c>
    </row>
    <row r="14257" spans="1:4" x14ac:dyDescent="0.25">
      <c r="A14257" t="str">
        <f>T("   870210")</f>
        <v xml:space="preserve">   870210</v>
      </c>
      <c r="B14257" t="str">
        <f>T("   A MOTEUR A PISTON A ALLUMAGE PAR COMPRESSION (DIESEL OU SEMIDIESEL)")</f>
        <v xml:space="preserve">   A MOTEUR A PISTON A ALLUMAGE PAR COMPRESSION (DIESEL OU SEMIDIESEL)</v>
      </c>
      <c r="C14257" s="4">
        <v>1116986</v>
      </c>
      <c r="D14257" s="4">
        <v>1288999333</v>
      </c>
    </row>
    <row r="14258" spans="1:4" x14ac:dyDescent="0.25">
      <c r="A14258" t="str">
        <f>T("   870290")</f>
        <v xml:space="preserve">   870290</v>
      </c>
      <c r="B14258" t="str">
        <f>T("   AUTRES")</f>
        <v xml:space="preserve">   AUTRES</v>
      </c>
      <c r="C14258" s="4">
        <v>324680</v>
      </c>
      <c r="D14258" s="4">
        <v>518696485</v>
      </c>
    </row>
    <row r="14259" spans="1:4" x14ac:dyDescent="0.25">
      <c r="A14259" t="str">
        <f>T("   870321")</f>
        <v xml:space="preserve">   870321</v>
      </c>
      <c r="B14259" t="str">
        <f>T("   D’UNE CYLINDREE N’EXCEDANT PAS 1.000 CM³")</f>
        <v xml:space="preserve">   D’UNE CYLINDREE N’EXCEDANT PAS 1.000 CM³</v>
      </c>
      <c r="C14259" s="4">
        <v>12116</v>
      </c>
      <c r="D14259" s="4">
        <v>26750199</v>
      </c>
    </row>
    <row r="14260" spans="1:4" x14ac:dyDescent="0.25">
      <c r="A14260" t="str">
        <f>T("   870322")</f>
        <v xml:space="preserve">   870322</v>
      </c>
      <c r="B14260" t="str">
        <f>T("   D’UNE CYLINDREE EXCEDANT 1.000 CM³ MAIS N’EXCEDANT PAS 1.500 CM³")</f>
        <v xml:space="preserve">   D’UNE CYLINDREE EXCEDANT 1.000 CM³ MAIS N’EXCEDANT PAS 1.500 CM³</v>
      </c>
      <c r="C14260" s="4">
        <v>13657363</v>
      </c>
      <c r="D14260" s="4">
        <v>7220836666</v>
      </c>
    </row>
    <row r="14261" spans="1:4" x14ac:dyDescent="0.25">
      <c r="A14261" t="str">
        <f>T("   870323")</f>
        <v xml:space="preserve">   870323</v>
      </c>
      <c r="B14261" t="str">
        <f>T("   D’UNE CYLINDREE EXCEDANT 1.500 CM³ MAIS N’EXCEDANT PAS 3.000 CM³")</f>
        <v xml:space="preserve">   D’UNE CYLINDREE EXCEDANT 1.500 CM³ MAIS N’EXCEDANT PAS 3.000 CM³</v>
      </c>
      <c r="C14261" s="4">
        <v>12251445.390000001</v>
      </c>
      <c r="D14261" s="4">
        <v>18112037274</v>
      </c>
    </row>
    <row r="14262" spans="1:4" x14ac:dyDescent="0.25">
      <c r="A14262" t="str">
        <f>T("   870324")</f>
        <v xml:space="preserve">   870324</v>
      </c>
      <c r="B14262" t="str">
        <f>T("   D’UNE CYLINDREE EXCEDANT 3.000 CM³")</f>
        <v xml:space="preserve">   D’UNE CYLINDREE EXCEDANT 3.000 CM³</v>
      </c>
      <c r="C14262" s="4">
        <v>2157641</v>
      </c>
      <c r="D14262" s="4">
        <v>4396389920</v>
      </c>
    </row>
    <row r="14263" spans="1:4" x14ac:dyDescent="0.25">
      <c r="A14263" t="str">
        <f>T("   870331")</f>
        <v xml:space="preserve">   870331</v>
      </c>
      <c r="B14263" t="str">
        <f>T("   D'UNE CYLINDREE N'EXCEDANT PAS 1.500 CM³")</f>
        <v xml:space="preserve">   D'UNE CYLINDREE N'EXCEDANT PAS 1.500 CM³</v>
      </c>
      <c r="C14263" s="4">
        <v>20015</v>
      </c>
      <c r="D14263" s="4">
        <v>52817273</v>
      </c>
    </row>
    <row r="14264" spans="1:4" x14ac:dyDescent="0.25">
      <c r="A14264" t="str">
        <f>T("   870332")</f>
        <v xml:space="preserve">   870332</v>
      </c>
      <c r="B14264" t="str">
        <f>T("   D'UNE CYLINDREE EXCEDANT 1.500 CM³ MAIS N'EXCEDANT PAS 2.500 CM³")</f>
        <v xml:space="preserve">   D'UNE CYLINDREE EXCEDANT 1.500 CM³ MAIS N'EXCEDANT PAS 2.500 CM³</v>
      </c>
      <c r="C14264" s="4">
        <v>356179</v>
      </c>
      <c r="D14264" s="4">
        <v>773436407</v>
      </c>
    </row>
    <row r="14265" spans="1:4" x14ac:dyDescent="0.25">
      <c r="A14265" t="str">
        <f>T("   870333")</f>
        <v xml:space="preserve">   870333</v>
      </c>
      <c r="B14265" t="str">
        <f>T("   D'UNE CYLINDREE EXCEDANT 2.500 CM³")</f>
        <v xml:space="preserve">   D'UNE CYLINDREE EXCEDANT 2.500 CM³</v>
      </c>
      <c r="C14265" s="4">
        <v>611575</v>
      </c>
      <c r="D14265" s="4">
        <v>3387021045</v>
      </c>
    </row>
    <row r="14266" spans="1:4" x14ac:dyDescent="0.25">
      <c r="A14266" t="str">
        <f>T("   870410")</f>
        <v xml:space="preserve">   870410</v>
      </c>
      <c r="B14266" t="str">
        <f>T("   TOMBEREAUX AUTOMOTEURS CONCUS POUR ETRE UTILISES EN DEHORS DU RESEAU ROUTIER")</f>
        <v xml:space="preserve">   TOMBEREAUX AUTOMOTEURS CONCUS POUR ETRE UTILISES EN DEHORS DU RESEAU ROUTIER</v>
      </c>
      <c r="C14266" s="4">
        <v>2100</v>
      </c>
      <c r="D14266" s="4">
        <v>2952500</v>
      </c>
    </row>
    <row r="14267" spans="1:4" x14ac:dyDescent="0.25">
      <c r="A14267" t="str">
        <f>T("   870421")</f>
        <v xml:space="preserve">   870421</v>
      </c>
      <c r="B14267" t="str">
        <f>T("   D'UN POIDS EN CHARGE MAXIMAL N'EXCEDANT PAS 5 TONNES")</f>
        <v xml:space="preserve">   D'UN POIDS EN CHARGE MAXIMAL N'EXCEDANT PAS 5 TONNES</v>
      </c>
      <c r="C14267" s="4">
        <v>2864215</v>
      </c>
      <c r="D14267" s="4">
        <v>6490156227</v>
      </c>
    </row>
    <row r="14268" spans="1:4" x14ac:dyDescent="0.25">
      <c r="A14268" t="str">
        <f>T("   870422")</f>
        <v xml:space="preserve">   870422</v>
      </c>
      <c r="B14268" t="str">
        <f>T("   D'UN POIDS EN CHARGE MAXIMAL EXCEDANT 5 TONNES MAIS N'EXCEDANT PAS 20 TONNES")</f>
        <v xml:space="preserve">   D'UN POIDS EN CHARGE MAXIMAL EXCEDANT 5 TONNES MAIS N'EXCEDANT PAS 20 TONNES</v>
      </c>
      <c r="C14268" s="4">
        <v>4881165</v>
      </c>
      <c r="D14268" s="4">
        <v>3685563667</v>
      </c>
    </row>
    <row r="14269" spans="1:4" x14ac:dyDescent="0.25">
      <c r="A14269" t="str">
        <f>T("   870423")</f>
        <v xml:space="preserve">   870423</v>
      </c>
      <c r="B14269" t="str">
        <f>T("   D'UN POIDS EN CHARGE MAXIMAL EXCEDANT 20 TONNES")</f>
        <v xml:space="preserve">   D'UN POIDS EN CHARGE MAXIMAL EXCEDANT 20 TONNES</v>
      </c>
      <c r="C14269" s="4">
        <v>2410441</v>
      </c>
      <c r="D14269" s="4">
        <v>1992835060</v>
      </c>
    </row>
    <row r="14270" spans="1:4" x14ac:dyDescent="0.25">
      <c r="A14270" t="str">
        <f>T("   870431")</f>
        <v xml:space="preserve">   870431</v>
      </c>
      <c r="B14270" t="str">
        <f>T("   D'UN POIDS EN CHARGE MAXIMAL N'EXCEDANT PAS 5 TONNES")</f>
        <v xml:space="preserve">   D'UN POIDS EN CHARGE MAXIMAL N'EXCEDANT PAS 5 TONNES</v>
      </c>
      <c r="C14270" s="4">
        <v>1790671</v>
      </c>
      <c r="D14270" s="4">
        <v>1606735299</v>
      </c>
    </row>
    <row r="14271" spans="1:4" x14ac:dyDescent="0.25">
      <c r="A14271" t="str">
        <f>T("   870432")</f>
        <v xml:space="preserve">   870432</v>
      </c>
      <c r="B14271" t="str">
        <f>T("   D'UN POIDS EN CHARGE MAXIMAL EXCEDANT 5 TONNES")</f>
        <v xml:space="preserve">   D'UN POIDS EN CHARGE MAXIMAL EXCEDANT 5 TONNES</v>
      </c>
      <c r="C14271" s="4">
        <v>95412</v>
      </c>
      <c r="D14271" s="4">
        <v>46158220</v>
      </c>
    </row>
    <row r="14272" spans="1:4" x14ac:dyDescent="0.25">
      <c r="A14272" t="str">
        <f>T("   870490")</f>
        <v xml:space="preserve">   870490</v>
      </c>
      <c r="B14272" t="str">
        <f>T("   AUTRES")</f>
        <v xml:space="preserve">   AUTRES</v>
      </c>
      <c r="C14272" s="4">
        <v>94881</v>
      </c>
      <c r="D14272" s="4">
        <v>31075774</v>
      </c>
    </row>
    <row r="14273" spans="1:4" x14ac:dyDescent="0.25">
      <c r="A14273" t="str">
        <f>T("   870510")</f>
        <v xml:space="preserve">   870510</v>
      </c>
      <c r="B14273" t="str">
        <f>T("   CAMIONSGRUES")</f>
        <v xml:space="preserve">   CAMIONSGRUES</v>
      </c>
      <c r="C14273" s="4">
        <v>466330</v>
      </c>
      <c r="D14273" s="4">
        <v>316815437</v>
      </c>
    </row>
    <row r="14274" spans="1:4" x14ac:dyDescent="0.25">
      <c r="A14274" t="str">
        <f>T("   870520")</f>
        <v xml:space="preserve">   870520</v>
      </c>
      <c r="B14274" t="str">
        <f>T("   Derricks automobiles pour le sondage ou le forage")</f>
        <v xml:space="preserve">   Derricks automobiles pour le sondage ou le forage</v>
      </c>
      <c r="C14274" s="4">
        <v>24000</v>
      </c>
      <c r="D14274" s="4">
        <v>3034494</v>
      </c>
    </row>
    <row r="14275" spans="1:4" x14ac:dyDescent="0.25">
      <c r="A14275" t="str">
        <f>T("   870530")</f>
        <v xml:space="preserve">   870530</v>
      </c>
      <c r="B14275" t="str">
        <f>T("   VOITURES DE LUTTE CONTRE L'INCENDIE")</f>
        <v xml:space="preserve">   VOITURES DE LUTTE CONTRE L'INCENDIE</v>
      </c>
      <c r="C14275" s="4">
        <v>11000</v>
      </c>
      <c r="D14275" s="4">
        <v>123832129</v>
      </c>
    </row>
    <row r="14276" spans="1:4" x14ac:dyDescent="0.25">
      <c r="A14276" t="str">
        <f>T("   870540")</f>
        <v xml:space="preserve">   870540</v>
      </c>
      <c r="B14276" t="str">
        <f>T("   CAMIONSBETONNIERES")</f>
        <v xml:space="preserve">   CAMIONSBETONNIERES</v>
      </c>
      <c r="C14276" s="4">
        <v>25547</v>
      </c>
      <c r="D14276" s="4">
        <v>83640500</v>
      </c>
    </row>
    <row r="14277" spans="1:4" x14ac:dyDescent="0.25">
      <c r="A14277" t="str">
        <f>T("   870590")</f>
        <v xml:space="preserve">   870590</v>
      </c>
      <c r="B14277" t="str">
        <f>T("   AUTRES")</f>
        <v xml:space="preserve">   AUTRES</v>
      </c>
      <c r="C14277" s="4">
        <v>374521</v>
      </c>
      <c r="D14277" s="4">
        <v>627700760</v>
      </c>
    </row>
    <row r="14278" spans="1:4" x14ac:dyDescent="0.25">
      <c r="A14278" t="str">
        <f>T("   870600")</f>
        <v xml:space="preserve">   870600</v>
      </c>
      <c r="B14278" t="str">
        <f>T("   CHASSIS DES VEHICULES AUTOMOBILES DES N°S 87.01 A 87.05, EQUIPES DE LEUR MOTEUR.")</f>
        <v xml:space="preserve">   CHASSIS DES VEHICULES AUTOMOBILES DES N°S 87.01 A 87.05, EQUIPES DE LEUR MOTEUR.</v>
      </c>
      <c r="C14278" s="4">
        <v>16700</v>
      </c>
      <c r="D14278" s="4">
        <v>2712397</v>
      </c>
    </row>
    <row r="14279" spans="1:4" x14ac:dyDescent="0.25">
      <c r="A14279" t="str">
        <f>T("   870710")</f>
        <v xml:space="preserve">   870710</v>
      </c>
      <c r="B14279" t="str">
        <f>T("   DES VEHICULES DU N° 87.03")</f>
        <v xml:space="preserve">   DES VEHICULES DU N° 87.03</v>
      </c>
      <c r="C14279" s="4">
        <v>2960</v>
      </c>
      <c r="D14279" s="4">
        <v>11304114</v>
      </c>
    </row>
    <row r="14280" spans="1:4" x14ac:dyDescent="0.25">
      <c r="A14280" t="str">
        <f>T("   870790")</f>
        <v xml:space="preserve">   870790</v>
      </c>
      <c r="B14280" t="str">
        <f>T("   AUTRES")</f>
        <v xml:space="preserve">   AUTRES</v>
      </c>
      <c r="C14280" s="4">
        <v>23155</v>
      </c>
      <c r="D14280" s="4">
        <v>96038779</v>
      </c>
    </row>
    <row r="14281" spans="1:4" x14ac:dyDescent="0.25">
      <c r="A14281" t="str">
        <f>T("   870810")</f>
        <v xml:space="preserve">   870810</v>
      </c>
      <c r="B14281" t="str">
        <f>T("   PARECHOCS ET LEURS PARTIES")</f>
        <v xml:space="preserve">   PARECHOCS ET LEURS PARTIES</v>
      </c>
      <c r="C14281" s="4">
        <v>58407</v>
      </c>
      <c r="D14281" s="4">
        <v>50771759</v>
      </c>
    </row>
    <row r="14282" spans="1:4" x14ac:dyDescent="0.25">
      <c r="A14282" t="str">
        <f>T("   870821")</f>
        <v xml:space="preserve">   870821</v>
      </c>
      <c r="B14282" t="str">
        <f>T("   Ceintures de securite")</f>
        <v xml:space="preserve">   Ceintures de securite</v>
      </c>
      <c r="C14282" s="4">
        <v>190.6</v>
      </c>
      <c r="D14282" s="4">
        <v>4336404</v>
      </c>
    </row>
    <row r="14283" spans="1:4" x14ac:dyDescent="0.25">
      <c r="A14283" t="str">
        <f>T("   870829")</f>
        <v xml:space="preserve">   870829</v>
      </c>
      <c r="B14283" t="str">
        <f>T("   AUTRES")</f>
        <v xml:space="preserve">   AUTRES</v>
      </c>
      <c r="C14283" s="4">
        <v>45067</v>
      </c>
      <c r="D14283" s="4">
        <v>125438574</v>
      </c>
    </row>
    <row r="14284" spans="1:4" x14ac:dyDescent="0.25">
      <c r="A14284" t="str">
        <f>T("   870830")</f>
        <v xml:space="preserve">   870830</v>
      </c>
      <c r="B14284" t="str">
        <f>T("   FREINS ET SERVOFREINS, ET LEURS PARTIES")</f>
        <v xml:space="preserve">   FREINS ET SERVOFREINS, ET LEURS PARTIES</v>
      </c>
      <c r="C14284" s="4">
        <v>146</v>
      </c>
      <c r="D14284" s="4">
        <v>2600435</v>
      </c>
    </row>
    <row r="14285" spans="1:4" x14ac:dyDescent="0.25">
      <c r="A14285" t="str">
        <f>T("   870840")</f>
        <v xml:space="preserve">   870840</v>
      </c>
      <c r="B14285" t="str">
        <f>T("   BOITES DE VITESSES ET LEURS PARTIES")</f>
        <v xml:space="preserve">   BOITES DE VITESSES ET LEURS PARTIES</v>
      </c>
      <c r="C14285" s="4">
        <v>4569</v>
      </c>
      <c r="D14285" s="4">
        <v>14510802</v>
      </c>
    </row>
    <row r="14286" spans="1:4" x14ac:dyDescent="0.25">
      <c r="A14286" t="str">
        <f>T("   870870")</f>
        <v xml:space="preserve">   870870</v>
      </c>
      <c r="B14286" t="str">
        <f>T("   Roues, leurs parties et accessoires")</f>
        <v xml:space="preserve">   Roues, leurs parties et accessoires</v>
      </c>
      <c r="C14286" s="4">
        <v>61511</v>
      </c>
      <c r="D14286" s="4">
        <v>42820527</v>
      </c>
    </row>
    <row r="14287" spans="1:4" x14ac:dyDescent="0.25">
      <c r="A14287" t="str">
        <f>T("   870880")</f>
        <v xml:space="preserve">   870880</v>
      </c>
      <c r="B14287" t="str">
        <f>T("   SYSTEMES DE SUSPENSION ET LEURS PARTIES (Y COMPRIS LES AMORTISSEURS DE SUSPENSION)")</f>
        <v xml:space="preserve">   SYSTEMES DE SUSPENSION ET LEURS PARTIES (Y COMPRIS LES AMORTISSEURS DE SUSPENSION)</v>
      </c>
      <c r="C14287" s="4">
        <v>718</v>
      </c>
      <c r="D14287" s="4">
        <v>2840291</v>
      </c>
    </row>
    <row r="14288" spans="1:4" x14ac:dyDescent="0.25">
      <c r="A14288" t="str">
        <f>T("   870891")</f>
        <v xml:space="preserve">   870891</v>
      </c>
      <c r="B14288" t="str">
        <f>T("   RADIATEURS ET LEURS PARTIES")</f>
        <v xml:space="preserve">   RADIATEURS ET LEURS PARTIES</v>
      </c>
      <c r="C14288" s="4">
        <v>6612</v>
      </c>
      <c r="D14288" s="4">
        <v>37133675</v>
      </c>
    </row>
    <row r="14289" spans="1:4" x14ac:dyDescent="0.25">
      <c r="A14289" t="str">
        <f>T("   870892")</f>
        <v xml:space="preserve">   870892</v>
      </c>
      <c r="B14289" t="str">
        <f>T("   SILENCIEUX ET TUYAUX D'ECHAPPEMENT; LEURS PARTIES")</f>
        <v xml:space="preserve">   SILENCIEUX ET TUYAUX D'ECHAPPEMENT; LEURS PARTIES</v>
      </c>
      <c r="C14289" s="4">
        <v>1007</v>
      </c>
      <c r="D14289" s="4">
        <v>54823062</v>
      </c>
    </row>
    <row r="14290" spans="1:4" x14ac:dyDescent="0.25">
      <c r="A14290" t="str">
        <f>T("   870893")</f>
        <v xml:space="preserve">   870893</v>
      </c>
      <c r="B14290" t="str">
        <f>T("   Embrayages et leurs parties")</f>
        <v xml:space="preserve">   Embrayages et leurs parties</v>
      </c>
      <c r="C14290" s="4">
        <v>272</v>
      </c>
      <c r="D14290" s="4">
        <v>4323272</v>
      </c>
    </row>
    <row r="14291" spans="1:4" x14ac:dyDescent="0.25">
      <c r="A14291" t="str">
        <f>T("   870894")</f>
        <v xml:space="preserve">   870894</v>
      </c>
      <c r="B14291" t="str">
        <f>T("   VOLANTS, COLONNES ET BOITIERS DE DIRECTION; LEURS PARTIES")</f>
        <v xml:space="preserve">   VOLANTS, COLONNES ET BOITIERS DE DIRECTION; LEURS PARTIES</v>
      </c>
      <c r="C14291" s="4">
        <v>128</v>
      </c>
      <c r="D14291" s="4">
        <v>196600</v>
      </c>
    </row>
    <row r="14292" spans="1:4" x14ac:dyDescent="0.25">
      <c r="A14292" t="str">
        <f>T("   870899")</f>
        <v xml:space="preserve">   870899</v>
      </c>
      <c r="B14292" t="str">
        <f>T("   AUTRES")</f>
        <v xml:space="preserve">   AUTRES</v>
      </c>
      <c r="C14292" s="4">
        <v>1040155.69</v>
      </c>
      <c r="D14292" s="4">
        <v>1919863502</v>
      </c>
    </row>
    <row r="14293" spans="1:4" x14ac:dyDescent="0.25">
      <c r="A14293" t="str">
        <f>T("   870911")</f>
        <v xml:space="preserve">   870911</v>
      </c>
      <c r="B14293" t="str">
        <f>T("   ELECTRIQUES")</f>
        <v xml:space="preserve">   ELECTRIQUES</v>
      </c>
      <c r="C14293" s="4">
        <v>3500</v>
      </c>
      <c r="D14293" s="4">
        <v>2924641</v>
      </c>
    </row>
    <row r="14294" spans="1:4" x14ac:dyDescent="0.25">
      <c r="A14294" t="str">
        <f>T("   870919")</f>
        <v xml:space="preserve">   870919</v>
      </c>
      <c r="B14294" t="str">
        <f>T("   AUTRES")</f>
        <v xml:space="preserve">   AUTRES</v>
      </c>
      <c r="C14294" s="4">
        <v>118879</v>
      </c>
      <c r="D14294" s="4">
        <v>123093103</v>
      </c>
    </row>
    <row r="14295" spans="1:4" x14ac:dyDescent="0.25">
      <c r="A14295" t="str">
        <f>T("   870990")</f>
        <v xml:space="preserve">   870990</v>
      </c>
      <c r="B14295" t="str">
        <f>T("   PARTIES")</f>
        <v xml:space="preserve">   PARTIES</v>
      </c>
      <c r="C14295" s="4">
        <v>19327</v>
      </c>
      <c r="D14295" s="4">
        <v>42638608</v>
      </c>
    </row>
    <row r="14296" spans="1:4" x14ac:dyDescent="0.25">
      <c r="A14296" t="str">
        <f>T("   871000")</f>
        <v xml:space="preserve">   871000</v>
      </c>
      <c r="B14296" t="str">
        <f>T("   CHARS ET AUTOMOBILES BLINDEES DE COMBAT, ARMES OU NON; LEURS PARTIES.")</f>
        <v xml:space="preserve">   CHARS ET AUTOMOBILES BLINDEES DE COMBAT, ARMES OU NON; LEURS PARTIES.</v>
      </c>
      <c r="C14296" s="4">
        <v>656</v>
      </c>
      <c r="D14296" s="4">
        <v>436919</v>
      </c>
    </row>
    <row r="14297" spans="1:4" x14ac:dyDescent="0.25">
      <c r="A14297" t="str">
        <f>T("   871110")</f>
        <v xml:space="preserve">   871110</v>
      </c>
      <c r="B14297" t="str">
        <f>T("   A MOTEUR A PISTON ALTERNATIF, D'UNE CYLINDREE N'EXCEDANT PAS 50 CM³")</f>
        <v xml:space="preserve">   A MOTEUR A PISTON ALTERNATIF, D'UNE CYLINDREE N'EXCEDANT PAS 50 CM³</v>
      </c>
      <c r="C14297" s="4">
        <v>130958</v>
      </c>
      <c r="D14297" s="4">
        <v>200893489</v>
      </c>
    </row>
    <row r="14298" spans="1:4" x14ac:dyDescent="0.25">
      <c r="A14298" t="str">
        <f>T("   871120")</f>
        <v xml:space="preserve">   871120</v>
      </c>
      <c r="B14298" t="str">
        <f>T("   A MOTEUR A PISTON ALTERNATIF, D'UNE CYLINDREE EXCEDANT 50 CM³ MAIS N'EXCEDANT PAS 250")</f>
        <v xml:space="preserve">   A MOTEUR A PISTON ALTERNATIF, D'UNE CYLINDREE EXCEDANT 50 CM³ MAIS N'EXCEDANT PAS 250</v>
      </c>
      <c r="C14298" s="4">
        <v>17048123</v>
      </c>
      <c r="D14298" s="4">
        <v>29422637902</v>
      </c>
    </row>
    <row r="14299" spans="1:4" x14ac:dyDescent="0.25">
      <c r="A14299" t="str">
        <f>T("   871130")</f>
        <v xml:space="preserve">   871130</v>
      </c>
      <c r="B14299" t="str">
        <f>T("   A MOTEUR A PISTON ALTERNATIF, D'UNE CYLINDREE EXCEDANT 250 CM³ MAIS N'EXCEDANT PAS 50")</f>
        <v xml:space="preserve">   A MOTEUR A PISTON ALTERNATIF, D'UNE CYLINDREE EXCEDANT 250 CM³ MAIS N'EXCEDANT PAS 50</v>
      </c>
      <c r="C14299" s="4">
        <v>100749</v>
      </c>
      <c r="D14299" s="4">
        <v>182850358</v>
      </c>
    </row>
    <row r="14300" spans="1:4" x14ac:dyDescent="0.25">
      <c r="A14300" t="str">
        <f>T("   871140")</f>
        <v xml:space="preserve">   871140</v>
      </c>
      <c r="B14300" t="str">
        <f>T("   A MOTEUR A PISTON ALTERNATIF, D'UNE CYLINDREE EXCEDANT 500 CM³ MAIS N'EXCEDANT PAS 80")</f>
        <v xml:space="preserve">   A MOTEUR A PISTON ALTERNATIF, D'UNE CYLINDREE EXCEDANT 500 CM³ MAIS N'EXCEDANT PAS 80</v>
      </c>
      <c r="C14300" s="4">
        <v>12980</v>
      </c>
      <c r="D14300" s="4">
        <v>13891170</v>
      </c>
    </row>
    <row r="14301" spans="1:4" x14ac:dyDescent="0.25">
      <c r="A14301" t="str">
        <f>T("   871150")</f>
        <v xml:space="preserve">   871150</v>
      </c>
      <c r="B14301" t="str">
        <f>T("   A MOTEUR A PISTON ALTERNATIF, D'UNE CYLINDREE EXCEDANT 800 CM³")</f>
        <v xml:space="preserve">   A MOTEUR A PISTON ALTERNATIF, D'UNE CYLINDREE EXCEDANT 800 CM³</v>
      </c>
      <c r="C14301" s="4">
        <v>2000</v>
      </c>
      <c r="D14301" s="4">
        <v>1400000</v>
      </c>
    </row>
    <row r="14302" spans="1:4" x14ac:dyDescent="0.25">
      <c r="A14302" t="str">
        <f>T("   871190")</f>
        <v xml:space="preserve">   871190</v>
      </c>
      <c r="B14302" t="str">
        <f>T("   AUTRES")</f>
        <v xml:space="preserve">   AUTRES</v>
      </c>
      <c r="C14302" s="4">
        <v>141920</v>
      </c>
      <c r="D14302" s="4">
        <v>105599968</v>
      </c>
    </row>
    <row r="14303" spans="1:4" x14ac:dyDescent="0.25">
      <c r="A14303" t="str">
        <f>T("   871200")</f>
        <v xml:space="preserve">   871200</v>
      </c>
      <c r="B14303" t="str">
        <f>T("   BICYCLETTES ET AUTRES CYCLES (Y COMPRIS LES TRIPORTEURS), SANS MOTEUR.")</f>
        <v xml:space="preserve">   BICYCLETTES ET AUTRES CYCLES (Y COMPRIS LES TRIPORTEURS), SANS MOTEUR.</v>
      </c>
      <c r="C14303" s="4">
        <v>487782.43</v>
      </c>
      <c r="D14303" s="4">
        <v>287175523</v>
      </c>
    </row>
    <row r="14304" spans="1:4" x14ac:dyDescent="0.25">
      <c r="A14304" t="str">
        <f>T("   871310")</f>
        <v xml:space="preserve">   871310</v>
      </c>
      <c r="B14304" t="str">
        <f>T("   SANS MECANISME DE PROPULSION")</f>
        <v xml:space="preserve">   SANS MECANISME DE PROPULSION</v>
      </c>
      <c r="C14304" s="4">
        <v>3502</v>
      </c>
      <c r="D14304" s="4">
        <v>4758608</v>
      </c>
    </row>
    <row r="14305" spans="1:4" x14ac:dyDescent="0.25">
      <c r="A14305" t="str">
        <f>T("   871390")</f>
        <v xml:space="preserve">   871390</v>
      </c>
      <c r="B14305" t="str">
        <f>T("   AUTRES")</f>
        <v xml:space="preserve">   AUTRES</v>
      </c>
      <c r="C14305" s="4">
        <v>26997</v>
      </c>
      <c r="D14305" s="4">
        <v>35598936</v>
      </c>
    </row>
    <row r="14306" spans="1:4" x14ac:dyDescent="0.25">
      <c r="A14306" t="str">
        <f>T("   871411")</f>
        <v xml:space="preserve">   871411</v>
      </c>
      <c r="B14306" t="str">
        <f>T("   SELLES")</f>
        <v xml:space="preserve">   SELLES</v>
      </c>
      <c r="C14306" s="4">
        <v>730293</v>
      </c>
      <c r="D14306" s="4">
        <v>209470510</v>
      </c>
    </row>
    <row r="14307" spans="1:4" x14ac:dyDescent="0.25">
      <c r="A14307" t="str">
        <f>T("   871419")</f>
        <v xml:space="preserve">   871419</v>
      </c>
      <c r="B14307" t="str">
        <f>T("   AUTRES PARTIES ET ACCESSOIRES DE MOTOCYCLES")</f>
        <v xml:space="preserve">   AUTRES PARTIES ET ACCESSOIRES DE MOTOCYCLES</v>
      </c>
      <c r="C14307" s="4">
        <v>2476995</v>
      </c>
      <c r="D14307" s="4">
        <v>1789718618</v>
      </c>
    </row>
    <row r="14308" spans="1:4" x14ac:dyDescent="0.25">
      <c r="A14308" t="str">
        <f>T("   871420")</f>
        <v xml:space="preserve">   871420</v>
      </c>
      <c r="B14308" t="str">
        <f>T("   DE FAUTEUILS ROULANTS OU D'AUTRES VEHICULES POUR INVALIDES")</f>
        <v xml:space="preserve">   DE FAUTEUILS ROULANTS OU D'AUTRES VEHICULES POUR INVALIDES</v>
      </c>
      <c r="C14308" s="4">
        <v>1700</v>
      </c>
      <c r="D14308" s="4">
        <v>5674054</v>
      </c>
    </row>
    <row r="14309" spans="1:4" x14ac:dyDescent="0.25">
      <c r="A14309" t="str">
        <f>T("   871491")</f>
        <v xml:space="preserve">   871491</v>
      </c>
      <c r="B14309" t="str">
        <f>T("   CADRES ET FOURCHES, ET LEURS PARTIES")</f>
        <v xml:space="preserve">   CADRES ET FOURCHES, ET LEURS PARTIES</v>
      </c>
      <c r="C14309" s="4">
        <v>11427</v>
      </c>
      <c r="D14309" s="4">
        <v>3500502</v>
      </c>
    </row>
    <row r="14310" spans="1:4" x14ac:dyDescent="0.25">
      <c r="A14310" t="str">
        <f>T("   871492")</f>
        <v xml:space="preserve">   871492</v>
      </c>
      <c r="B14310" t="str">
        <f>T("   Jantes et rayons")</f>
        <v xml:space="preserve">   Jantes et rayons</v>
      </c>
      <c r="C14310" s="4">
        <v>1683</v>
      </c>
      <c r="D14310" s="4">
        <v>180323</v>
      </c>
    </row>
    <row r="14311" spans="1:4" x14ac:dyDescent="0.25">
      <c r="A14311" t="str">
        <f>T("   871493")</f>
        <v xml:space="preserve">   871493</v>
      </c>
      <c r="B14311" t="str">
        <f>T("   MOYEUX (AUTRES QUE LES MOYEUX A FREINS) ET PIGNONS DE ROUES LIBRES")</f>
        <v xml:space="preserve">   MOYEUX (AUTRES QUE LES MOYEUX A FREINS) ET PIGNONS DE ROUES LIBRES</v>
      </c>
      <c r="C14311" s="4">
        <v>49703</v>
      </c>
      <c r="D14311" s="4">
        <v>15741940</v>
      </c>
    </row>
    <row r="14312" spans="1:4" x14ac:dyDescent="0.25">
      <c r="A14312" t="str">
        <f>T("   871495")</f>
        <v xml:space="preserve">   871495</v>
      </c>
      <c r="B14312" t="str">
        <f>T("   Selles")</f>
        <v xml:space="preserve">   Selles</v>
      </c>
      <c r="C14312" s="4">
        <v>40</v>
      </c>
      <c r="D14312" s="4">
        <v>660700</v>
      </c>
    </row>
    <row r="14313" spans="1:4" x14ac:dyDescent="0.25">
      <c r="A14313" t="str">
        <f>T("   871496")</f>
        <v xml:space="preserve">   871496</v>
      </c>
      <c r="B14313" t="str">
        <f>T("   PEDALES ET PEDALIERS, ET LEURS PARTIES")</f>
        <v xml:space="preserve">   PEDALES ET PEDALIERS, ET LEURS PARTIES</v>
      </c>
      <c r="C14313" s="4">
        <v>81</v>
      </c>
      <c r="D14313" s="4">
        <v>667854</v>
      </c>
    </row>
    <row r="14314" spans="1:4" x14ac:dyDescent="0.25">
      <c r="A14314" t="str">
        <f>T("   871499")</f>
        <v xml:space="preserve">   871499</v>
      </c>
      <c r="B14314" t="str">
        <f>T("   AUTRES")</f>
        <v xml:space="preserve">   AUTRES</v>
      </c>
      <c r="C14314" s="4">
        <v>463477.1</v>
      </c>
      <c r="D14314" s="4">
        <v>362757164</v>
      </c>
    </row>
    <row r="14315" spans="1:4" x14ac:dyDescent="0.25">
      <c r="A14315" t="str">
        <f>T("   871500")</f>
        <v xml:space="preserve">   871500</v>
      </c>
      <c r="B14315" t="str">
        <f>T("   LANDAUS, POUSSETTES ET VOITURES SIMILAIRES POUR LE TRANSPORT DES ENFANTS, ET LEURS PART")</f>
        <v xml:space="preserve">   LANDAUS, POUSSETTES ET VOITURES SIMILAIRES POUR LE TRANSPORT DES ENFANTS, ET LEURS PART</v>
      </c>
      <c r="C14315" s="4">
        <v>25169</v>
      </c>
      <c r="D14315" s="4">
        <v>13543242</v>
      </c>
    </row>
    <row r="14316" spans="1:4" x14ac:dyDescent="0.25">
      <c r="A14316" t="str">
        <f>T("   871610")</f>
        <v xml:space="preserve">   871610</v>
      </c>
      <c r="B14316" t="str">
        <f>T("   REMORQUES ET SEMIREMORQUES POUR L'HABITATION OU LE CAMPING, DU TYPE CARAVANE")</f>
        <v xml:space="preserve">   REMORQUES ET SEMIREMORQUES POUR L'HABITATION OU LE CAMPING, DU TYPE CARAVANE</v>
      </c>
      <c r="C14316" s="4">
        <v>2000</v>
      </c>
      <c r="D14316" s="4">
        <v>2000000</v>
      </c>
    </row>
    <row r="14317" spans="1:4" x14ac:dyDescent="0.25">
      <c r="A14317" t="str">
        <f>T("   871620")</f>
        <v xml:space="preserve">   871620</v>
      </c>
      <c r="B14317" t="str">
        <f>T("   REMORQUES ET SEMIREMORQUES AUTOCHARGEUSES OU AUTODECHARGEUSES, POUR USAGES AGRICOLES")</f>
        <v xml:space="preserve">   REMORQUES ET SEMIREMORQUES AUTOCHARGEUSES OU AUTODECHARGEUSES, POUR USAGES AGRICOLES</v>
      </c>
      <c r="C14317" s="4">
        <v>1274210</v>
      </c>
      <c r="D14317" s="4">
        <v>260360338</v>
      </c>
    </row>
    <row r="14318" spans="1:4" x14ac:dyDescent="0.25">
      <c r="A14318" t="str">
        <f>T("   871631")</f>
        <v xml:space="preserve">   871631</v>
      </c>
      <c r="B14318" t="str">
        <f>T("   CITERNES")</f>
        <v xml:space="preserve">   CITERNES</v>
      </c>
      <c r="C14318" s="4">
        <v>407855</v>
      </c>
      <c r="D14318" s="4">
        <v>490830339</v>
      </c>
    </row>
    <row r="14319" spans="1:4" x14ac:dyDescent="0.25">
      <c r="A14319" t="str">
        <f>T("   871639")</f>
        <v xml:space="preserve">   871639</v>
      </c>
      <c r="B14319" t="str">
        <f>T("   AUTRES")</f>
        <v xml:space="preserve">   AUTRES</v>
      </c>
      <c r="C14319" s="4">
        <v>2651860</v>
      </c>
      <c r="D14319" s="4">
        <v>1011536898</v>
      </c>
    </row>
    <row r="14320" spans="1:4" x14ac:dyDescent="0.25">
      <c r="A14320" t="str">
        <f>T("   871640")</f>
        <v xml:space="preserve">   871640</v>
      </c>
      <c r="B14320" t="str">
        <f>T("   AUTRES REMORQUES ET SEMIREMORQUES")</f>
        <v xml:space="preserve">   AUTRES REMORQUES ET SEMIREMORQUES</v>
      </c>
      <c r="C14320" s="4">
        <v>3494656.5</v>
      </c>
      <c r="D14320" s="4">
        <v>1501971324</v>
      </c>
    </row>
    <row r="14321" spans="1:4" x14ac:dyDescent="0.25">
      <c r="A14321" t="str">
        <f>T("   871680")</f>
        <v xml:space="preserve">   871680</v>
      </c>
      <c r="B14321" t="str">
        <f>T("   AUTRES VEHICULES")</f>
        <v xml:space="preserve">   AUTRES VEHICULES</v>
      </c>
      <c r="C14321" s="4">
        <v>152366</v>
      </c>
      <c r="D14321" s="4">
        <v>119254992</v>
      </c>
    </row>
    <row r="14322" spans="1:4" x14ac:dyDescent="0.25">
      <c r="A14322" t="str">
        <f>T("   871690")</f>
        <v xml:space="preserve">   871690</v>
      </c>
      <c r="B14322" t="str">
        <f>T("   PARTIES")</f>
        <v xml:space="preserve">   PARTIES</v>
      </c>
      <c r="C14322" s="4">
        <v>4531.5</v>
      </c>
      <c r="D14322" s="4">
        <v>14282641</v>
      </c>
    </row>
    <row r="14323" spans="1:4" x14ac:dyDescent="0.25">
      <c r="A14323" t="str">
        <f>T("   880100")</f>
        <v xml:space="preserve">   880100</v>
      </c>
      <c r="B14323" t="str">
        <f>T("   BALLONS ET DIRIGEABLES; PLANEURS, AILES VOLANTES ET AUTRES VEHICULES AERIENS, NON CONCU")</f>
        <v xml:space="preserve">   BALLONS ET DIRIGEABLES; PLANEURS, AILES VOLANTES ET AUTRES VEHICULES AERIENS, NON CONCU</v>
      </c>
      <c r="C14323" s="4">
        <v>19</v>
      </c>
      <c r="D14323" s="4">
        <v>4142495</v>
      </c>
    </row>
    <row r="14324" spans="1:4" x14ac:dyDescent="0.25">
      <c r="A14324" t="str">
        <f>T("   880190")</f>
        <v xml:space="preserve">   880190</v>
      </c>
      <c r="B14324" t="str">
        <f>T("   BALLONS,DIRIGEABLES ET AUTRES NON CONCUS POUR LA PROPULSION A MOTEUR")</f>
        <v xml:space="preserve">   BALLONS,DIRIGEABLES ET AUTRES NON CONCUS POUR LA PROPULSION A MOTEUR</v>
      </c>
      <c r="C14324" s="4">
        <v>6</v>
      </c>
      <c r="D14324" s="4">
        <v>590364</v>
      </c>
    </row>
    <row r="14325" spans="1:4" x14ac:dyDescent="0.25">
      <c r="A14325" t="str">
        <f>T("   880211")</f>
        <v xml:space="preserve">   880211</v>
      </c>
      <c r="B14325" t="str">
        <f>T("   D'UN POIDS A VIDE N'EXCEDANT PAS 2.000 KG")</f>
        <v xml:space="preserve">   D'UN POIDS A VIDE N'EXCEDANT PAS 2.000 KG</v>
      </c>
      <c r="C14325" s="4">
        <v>350</v>
      </c>
      <c r="D14325" s="4">
        <v>11243595860</v>
      </c>
    </row>
    <row r="14326" spans="1:4" x14ac:dyDescent="0.25">
      <c r="A14326" t="str">
        <f>T("   880212")</f>
        <v xml:space="preserve">   880212</v>
      </c>
      <c r="B14326" t="str">
        <f>T("   D'UN POIDS A VIDE EXCEDANT 2.000 KG")</f>
        <v xml:space="preserve">   D'UN POIDS A VIDE EXCEDANT 2.000 KG</v>
      </c>
      <c r="C14326" s="4">
        <v>11800</v>
      </c>
      <c r="D14326" s="4">
        <v>11372874904</v>
      </c>
    </row>
    <row r="14327" spans="1:4" x14ac:dyDescent="0.25">
      <c r="A14327" t="str">
        <f>T("   880230")</f>
        <v xml:space="preserve">   880230</v>
      </c>
      <c r="B14327" t="str">
        <f>T("   AVIONS ET AUTRES VEHICULES AERIENS, D'UN POIDS A VIDE EXCEDANT 2.000 KG MAIS N'EXCEDA")</f>
        <v xml:space="preserve">   AVIONS ET AUTRES VEHICULES AERIENS, D'UN POIDS A VIDE EXCEDANT 2.000 KG MAIS N'EXCEDA</v>
      </c>
      <c r="C14327" s="4">
        <v>30000</v>
      </c>
      <c r="D14327" s="4">
        <v>40727177</v>
      </c>
    </row>
    <row r="14328" spans="1:4" x14ac:dyDescent="0.25">
      <c r="A14328" t="str">
        <f>T("   880310")</f>
        <v xml:space="preserve">   880310</v>
      </c>
      <c r="B14328" t="str">
        <f>T("   HELICES ET ROTORS, ET LEURS PARTIES")</f>
        <v xml:space="preserve">   HELICES ET ROTORS, ET LEURS PARTIES</v>
      </c>
      <c r="C14328" s="4">
        <v>37</v>
      </c>
      <c r="D14328" s="4">
        <v>57878479</v>
      </c>
    </row>
    <row r="14329" spans="1:4" x14ac:dyDescent="0.25">
      <c r="A14329" t="str">
        <f>T("   880330")</f>
        <v xml:space="preserve">   880330</v>
      </c>
      <c r="B14329" t="str">
        <f>T("   AUTRES PARTIES D'AVIONS OU D'HELICOPTERES")</f>
        <v xml:space="preserve">   AUTRES PARTIES D'AVIONS OU D'HELICOPTERES</v>
      </c>
      <c r="C14329" s="4">
        <v>587.29</v>
      </c>
      <c r="D14329" s="4">
        <v>436314840</v>
      </c>
    </row>
    <row r="14330" spans="1:4" x14ac:dyDescent="0.25">
      <c r="A14330" t="str">
        <f>T("   880390")</f>
        <v xml:space="preserve">   880390</v>
      </c>
      <c r="B14330" t="str">
        <f>T("   AUTRES")</f>
        <v xml:space="preserve">   AUTRES</v>
      </c>
      <c r="C14330" s="4">
        <v>3967</v>
      </c>
      <c r="D14330" s="4">
        <v>6570859</v>
      </c>
    </row>
    <row r="14331" spans="1:4" x14ac:dyDescent="0.25">
      <c r="A14331" t="str">
        <f>T("   880510")</f>
        <v xml:space="preserve">   880510</v>
      </c>
      <c r="B14331" t="str">
        <f>T("   APPAREILS ET DISPOSITIFS POUR LE LANCEMENT DE VEHICULES AERIENS ET LEURS PARTIES; APP")</f>
        <v xml:space="preserve">   APPAREILS ET DISPOSITIFS POUR LE LANCEMENT DE VEHICULES AERIENS ET LEURS PARTIES; APP</v>
      </c>
      <c r="C14331" s="4">
        <v>16</v>
      </c>
      <c r="D14331" s="4">
        <v>289560</v>
      </c>
    </row>
    <row r="14332" spans="1:4" x14ac:dyDescent="0.25">
      <c r="A14332" t="str">
        <f>T("   890110")</f>
        <v xml:space="preserve">   890110</v>
      </c>
      <c r="B14332" t="str">
        <f>T("   PAQUEBOTS, BATEAUX DE CROISIERES ET BATEAUX SIMILAIRES PRINCIPALEMENT CONCUS POUR LE")</f>
        <v xml:space="preserve">   PAQUEBOTS, BATEAUX DE CROISIERES ET BATEAUX SIMILAIRES PRINCIPALEMENT CONCUS POUR LE</v>
      </c>
      <c r="C14332" s="4">
        <v>12894</v>
      </c>
      <c r="D14332" s="4">
        <v>171311768</v>
      </c>
    </row>
    <row r="14333" spans="1:4" x14ac:dyDescent="0.25">
      <c r="A14333" t="str">
        <f>T("   890190")</f>
        <v xml:space="preserve">   890190</v>
      </c>
      <c r="B14333" t="str">
        <f>T("   AUTRES BATEAUX POUR LE TRANSPORT DE MARCHANDISES ET AUTRES BATEAUX CONCUS A LA FOIS P")</f>
        <v xml:space="preserve">   AUTRES BATEAUX POUR LE TRANSPORT DE MARCHANDISES ET AUTRES BATEAUX CONCUS A LA FOIS P</v>
      </c>
      <c r="C14333" s="4">
        <v>8.6</v>
      </c>
      <c r="D14333" s="4">
        <v>14937</v>
      </c>
    </row>
    <row r="14334" spans="1:4" x14ac:dyDescent="0.25">
      <c r="A14334" t="str">
        <f>T("   890200")</f>
        <v xml:space="preserve">   890200</v>
      </c>
      <c r="B14334" t="str">
        <f>T("   BATEAUX DE PECHE; NAVIRESUSINES ET AUTRES BATEAUX POUR LE TRAITEMENT OU LA MISE EN CON")</f>
        <v xml:space="preserve">   BATEAUX DE PECHE; NAVIRESUSINES ET AUTRES BATEAUX POUR LE TRAITEMENT OU LA MISE EN CON</v>
      </c>
      <c r="C14334" s="4">
        <v>7269</v>
      </c>
      <c r="D14334" s="4">
        <v>11929751</v>
      </c>
    </row>
    <row r="14335" spans="1:4" x14ac:dyDescent="0.25">
      <c r="A14335" t="str">
        <f>T("   890310")</f>
        <v xml:space="preserve">   890310</v>
      </c>
      <c r="B14335" t="str">
        <f>T("   BATEAUX GONFLABLES")</f>
        <v xml:space="preserve">   BATEAUX GONFLABLES</v>
      </c>
      <c r="C14335" s="4">
        <v>144</v>
      </c>
      <c r="D14335" s="4">
        <v>1475910</v>
      </c>
    </row>
    <row r="14336" spans="1:4" x14ac:dyDescent="0.25">
      <c r="A14336" t="str">
        <f>T("   890399")</f>
        <v xml:space="preserve">   890399</v>
      </c>
      <c r="B14336" t="str">
        <f>T("   AUTRES")</f>
        <v xml:space="preserve">   AUTRES</v>
      </c>
      <c r="C14336" s="4">
        <v>9680</v>
      </c>
      <c r="D14336" s="4">
        <v>125256977</v>
      </c>
    </row>
    <row r="14337" spans="1:4" x14ac:dyDescent="0.25">
      <c r="A14337" t="str">
        <f>T("   890510")</f>
        <v xml:space="preserve">   890510</v>
      </c>
      <c r="B14337" t="str">
        <f>T("   BATEAUXDRAGUEURS")</f>
        <v xml:space="preserve">   BATEAUXDRAGUEURS</v>
      </c>
      <c r="C14337" s="4">
        <v>10108</v>
      </c>
      <c r="D14337" s="4">
        <v>7671084</v>
      </c>
    </row>
    <row r="14338" spans="1:4" x14ac:dyDescent="0.25">
      <c r="A14338" t="str">
        <f>T("   890590")</f>
        <v xml:space="preserve">   890590</v>
      </c>
      <c r="B14338" t="str">
        <f>T("   AUTRES")</f>
        <v xml:space="preserve">   AUTRES</v>
      </c>
      <c r="C14338" s="4">
        <v>8460522</v>
      </c>
      <c r="D14338" s="4">
        <v>73523612575</v>
      </c>
    </row>
    <row r="14339" spans="1:4" x14ac:dyDescent="0.25">
      <c r="A14339" t="str">
        <f>T("   890690")</f>
        <v xml:space="preserve">   890690</v>
      </c>
      <c r="B14339" t="str">
        <f>T("   AUTRES")</f>
        <v xml:space="preserve">   AUTRES</v>
      </c>
      <c r="C14339" s="4">
        <v>839</v>
      </c>
      <c r="D14339" s="4">
        <v>164305680</v>
      </c>
    </row>
    <row r="14340" spans="1:4" x14ac:dyDescent="0.25">
      <c r="A14340" t="str">
        <f>T("   890710")</f>
        <v xml:space="preserve">   890710</v>
      </c>
      <c r="B14340" t="str">
        <f>T("   RADEAUX GONFLABLES")</f>
        <v xml:space="preserve">   RADEAUX GONFLABLES</v>
      </c>
      <c r="C14340" s="4">
        <v>5808</v>
      </c>
      <c r="D14340" s="4">
        <v>50154045</v>
      </c>
    </row>
    <row r="14341" spans="1:4" x14ac:dyDescent="0.25">
      <c r="A14341" t="str">
        <f>T("   890790")</f>
        <v xml:space="preserve">   890790</v>
      </c>
      <c r="B14341" t="str">
        <f>T("   AUTRES")</f>
        <v xml:space="preserve">   AUTRES</v>
      </c>
      <c r="C14341" s="4">
        <v>109151.5</v>
      </c>
      <c r="D14341" s="4">
        <v>687212015</v>
      </c>
    </row>
    <row r="14342" spans="1:4" x14ac:dyDescent="0.25">
      <c r="A14342" t="str">
        <f>T("   890800")</f>
        <v xml:space="preserve">   890800</v>
      </c>
      <c r="B14342" t="str">
        <f>T("   BATEAUX ET AUTRES ENGINS FLOTTANTS A DEPECER.")</f>
        <v xml:space="preserve">   BATEAUX ET AUTRES ENGINS FLOTTANTS A DEPECER.</v>
      </c>
      <c r="C14342" s="4">
        <v>250</v>
      </c>
      <c r="D14342" s="4">
        <v>400000</v>
      </c>
    </row>
    <row r="14343" spans="1:4" x14ac:dyDescent="0.25">
      <c r="A14343" t="str">
        <f>T("   900110")</f>
        <v xml:space="preserve">   900110</v>
      </c>
      <c r="B14343" t="str">
        <f>T("   FIBRES OPTIQUES, FAISCEAUX ET CABLES DE FIBRES OPTIQUES")</f>
        <v xml:space="preserve">   FIBRES OPTIQUES, FAISCEAUX ET CABLES DE FIBRES OPTIQUES</v>
      </c>
      <c r="C14343" s="4">
        <v>55</v>
      </c>
      <c r="D14343" s="4">
        <v>1318092</v>
      </c>
    </row>
    <row r="14344" spans="1:4" x14ac:dyDescent="0.25">
      <c r="A14344" t="str">
        <f>T("   900140")</f>
        <v xml:space="preserve">   900140</v>
      </c>
      <c r="B14344" t="str">
        <f>T("   Verres de lunetterie en verre")</f>
        <v xml:space="preserve">   Verres de lunetterie en verre</v>
      </c>
      <c r="C14344" s="4">
        <v>331.5</v>
      </c>
      <c r="D14344" s="4">
        <v>718080</v>
      </c>
    </row>
    <row r="14345" spans="1:4" x14ac:dyDescent="0.25">
      <c r="A14345" t="str">
        <f>T("   900190")</f>
        <v xml:space="preserve">   900190</v>
      </c>
      <c r="B14345" t="str">
        <f>T("   AUTRES")</f>
        <v xml:space="preserve">   AUTRES</v>
      </c>
      <c r="C14345" s="4">
        <v>8619.6</v>
      </c>
      <c r="D14345" s="4">
        <v>2417240</v>
      </c>
    </row>
    <row r="14346" spans="1:4" x14ac:dyDescent="0.25">
      <c r="A14346" t="str">
        <f>T("   900211")</f>
        <v xml:space="preserve">   900211</v>
      </c>
      <c r="B14346" t="str">
        <f>T("   POUR APPAREILS DE PRISE DE VUES, POUR PROJECTEURS OU POUR APPAREILS PHOTOGRAPHIQUES")</f>
        <v xml:space="preserve">   POUR APPAREILS DE PRISE DE VUES, POUR PROJECTEURS OU POUR APPAREILS PHOTOGRAPHIQUES</v>
      </c>
      <c r="C14346" s="4">
        <v>1</v>
      </c>
      <c r="D14346" s="4">
        <v>40420</v>
      </c>
    </row>
    <row r="14347" spans="1:4" x14ac:dyDescent="0.25">
      <c r="A14347" t="str">
        <f>T("   900219")</f>
        <v xml:space="preserve">   900219</v>
      </c>
      <c r="B14347" t="str">
        <f>T("   AUTRES")</f>
        <v xml:space="preserve">   AUTRES</v>
      </c>
      <c r="C14347" s="4">
        <v>2</v>
      </c>
      <c r="D14347" s="4">
        <v>41948</v>
      </c>
    </row>
    <row r="14348" spans="1:4" x14ac:dyDescent="0.25">
      <c r="A14348" t="str">
        <f>T("   900290")</f>
        <v xml:space="preserve">   900290</v>
      </c>
      <c r="B14348" t="str">
        <f>T("   AUTRES")</f>
        <v xml:space="preserve">   AUTRES</v>
      </c>
      <c r="C14348" s="4">
        <v>26.5</v>
      </c>
      <c r="D14348" s="4">
        <v>3453203</v>
      </c>
    </row>
    <row r="14349" spans="1:4" x14ac:dyDescent="0.25">
      <c r="A14349" t="str">
        <f>T("   900311")</f>
        <v xml:space="preserve">   900311</v>
      </c>
      <c r="B14349" t="str">
        <f>T("   EN MATIERES PLASTIQUES")</f>
        <v xml:space="preserve">   EN MATIERES PLASTIQUES</v>
      </c>
      <c r="C14349" s="4">
        <v>1200</v>
      </c>
      <c r="D14349" s="4">
        <v>2952523</v>
      </c>
    </row>
    <row r="14350" spans="1:4" x14ac:dyDescent="0.25">
      <c r="A14350" t="str">
        <f>T("   900319")</f>
        <v xml:space="preserve">   900319</v>
      </c>
      <c r="B14350" t="str">
        <f>T("   EN AUTRES MATIERES")</f>
        <v xml:space="preserve">   EN AUTRES MATIERES</v>
      </c>
      <c r="C14350" s="4">
        <v>10</v>
      </c>
      <c r="D14350" s="4">
        <v>20000</v>
      </c>
    </row>
    <row r="14351" spans="1:4" x14ac:dyDescent="0.25">
      <c r="A14351" t="str">
        <f>T("   900410")</f>
        <v xml:space="preserve">   900410</v>
      </c>
      <c r="B14351" t="str">
        <f>T("   Lunettes solaires")</f>
        <v xml:space="preserve">   Lunettes solaires</v>
      </c>
      <c r="C14351" s="4">
        <v>390</v>
      </c>
      <c r="D14351" s="4">
        <v>438022</v>
      </c>
    </row>
    <row r="14352" spans="1:4" x14ac:dyDescent="0.25">
      <c r="A14352" t="str">
        <f>T("   900490")</f>
        <v xml:space="preserve">   900490</v>
      </c>
      <c r="B14352" t="str">
        <f>T("   AUTRES")</f>
        <v xml:space="preserve">   AUTRES</v>
      </c>
      <c r="C14352" s="4">
        <v>1093</v>
      </c>
      <c r="D14352" s="4">
        <v>5040495</v>
      </c>
    </row>
    <row r="14353" spans="1:4" x14ac:dyDescent="0.25">
      <c r="A14353" t="str">
        <f>T("   900580")</f>
        <v xml:space="preserve">   900580</v>
      </c>
      <c r="B14353" t="str">
        <f>T("   AUTRES INSTRUMENTS")</f>
        <v xml:space="preserve">   AUTRES INSTRUMENTS</v>
      </c>
      <c r="C14353" s="4">
        <v>1000</v>
      </c>
      <c r="D14353" s="4">
        <v>500000</v>
      </c>
    </row>
    <row r="14354" spans="1:4" x14ac:dyDescent="0.25">
      <c r="A14354" t="str">
        <f>T("   900610")</f>
        <v xml:space="preserve">   900610</v>
      </c>
      <c r="B14354" t="str">
        <f>T("   APPAREILS PHOTOGRAPHIQUES DES TYPES UTILISES POUR LA PREPARATION DES CLICHES OU CYLIN")</f>
        <v xml:space="preserve">   APPAREILS PHOTOGRAPHIQUES DES TYPES UTILISES POUR LA PREPARATION DES CLICHES OU CYLIN</v>
      </c>
      <c r="C14354" s="4">
        <v>100</v>
      </c>
      <c r="D14354" s="4">
        <v>269569</v>
      </c>
    </row>
    <row r="14355" spans="1:4" x14ac:dyDescent="0.25">
      <c r="A14355" t="str">
        <f>T("   900640")</f>
        <v xml:space="preserve">   900640</v>
      </c>
      <c r="B14355" t="str">
        <f>T("   APPAREILS PHOTOGRAPHIQUES A DEVELOPPEMENT ET TIRAGE INSTANTANES")</f>
        <v xml:space="preserve">   APPAREILS PHOTOGRAPHIQUES A DEVELOPPEMENT ET TIRAGE INSTANTANES</v>
      </c>
      <c r="C14355" s="4">
        <v>10</v>
      </c>
      <c r="D14355" s="4">
        <v>100000</v>
      </c>
    </row>
    <row r="14356" spans="1:4" x14ac:dyDescent="0.25">
      <c r="A14356" t="str">
        <f>T("   900651")</f>
        <v xml:space="preserve">   900651</v>
      </c>
      <c r="B14356" t="str">
        <f>T("   A VISEE A TRAVERS L'OBJECTIF, POUR PELLICULES EN ROULEAUX D'UNE LARGEUR N'EXCEDANT P")</f>
        <v xml:space="preserve">   A VISEE A TRAVERS L'OBJECTIF, POUR PELLICULES EN ROULEAUX D'UNE LARGEUR N'EXCEDANT P</v>
      </c>
      <c r="C14356" s="4">
        <v>165.5</v>
      </c>
      <c r="D14356" s="4">
        <v>366815</v>
      </c>
    </row>
    <row r="14357" spans="1:4" x14ac:dyDescent="0.25">
      <c r="A14357" t="str">
        <f>T("   900653")</f>
        <v xml:space="preserve">   900653</v>
      </c>
      <c r="B14357" t="str">
        <f>T("   AUTRES, POUR PELLICULES EN ROULEAUX D'UNE LARGEUR DE 35 MM")</f>
        <v xml:space="preserve">   AUTRES, POUR PELLICULES EN ROULEAUX D'UNE LARGEUR DE 35 MM</v>
      </c>
      <c r="C14357" s="4">
        <v>3</v>
      </c>
      <c r="D14357" s="4">
        <v>185000</v>
      </c>
    </row>
    <row r="14358" spans="1:4" x14ac:dyDescent="0.25">
      <c r="A14358" t="str">
        <f>T("   900659")</f>
        <v xml:space="preserve">   900659</v>
      </c>
      <c r="B14358" t="str">
        <f>T("   AUTRES")</f>
        <v xml:space="preserve">   AUTRES</v>
      </c>
      <c r="C14358" s="4">
        <v>12005</v>
      </c>
      <c r="D14358" s="4">
        <v>3985030</v>
      </c>
    </row>
    <row r="14359" spans="1:4" x14ac:dyDescent="0.25">
      <c r="A14359" t="str">
        <f>T("   900661")</f>
        <v xml:space="preserve">   900661</v>
      </c>
      <c r="B14359" t="str">
        <f>T("   APPAREILS A TUBE A DECHARGE POUR LA PRODUCTION DE LA LUMIEREECLAIR (DITS «FLASHES E")</f>
        <v xml:space="preserve">   APPAREILS A TUBE A DECHARGE POUR LA PRODUCTION DE LA LUMIEREECLAIR (DITS «FLASHES E</v>
      </c>
      <c r="C14359" s="4">
        <v>150</v>
      </c>
      <c r="D14359" s="4">
        <v>377177</v>
      </c>
    </row>
    <row r="14360" spans="1:4" x14ac:dyDescent="0.25">
      <c r="A14360" t="str">
        <f>T("   900711")</f>
        <v xml:space="preserve">   900711</v>
      </c>
      <c r="B14360" t="str">
        <f>T("   CAMERAS 16 MM ET - OU DOUBLE 8 MM, AVEC PRISE ET REPRODUCTION DU SON")</f>
        <v xml:space="preserve">   CAMERAS 16 MM ET - OU DOUBLE 8 MM, AVEC PRISE ET REPRODUCTION DU SON</v>
      </c>
      <c r="C14360" s="4">
        <v>369</v>
      </c>
      <c r="D14360" s="4">
        <v>200303</v>
      </c>
    </row>
    <row r="14361" spans="1:4" x14ac:dyDescent="0.25">
      <c r="A14361" t="str">
        <f>T("   900719")</f>
        <v xml:space="preserve">   900719</v>
      </c>
      <c r="B14361" t="str">
        <f>T("   AUTRES CAMERAS MEME AVEC PRISE ET REPRODUCTION DU SON")</f>
        <v xml:space="preserve">   AUTRES CAMERAS MEME AVEC PRISE ET REPRODUCTION DU SON</v>
      </c>
      <c r="C14361" s="4">
        <v>927</v>
      </c>
      <c r="D14361" s="4">
        <v>15647870</v>
      </c>
    </row>
    <row r="14362" spans="1:4" x14ac:dyDescent="0.25">
      <c r="A14362" t="str">
        <f>T("   900720")</f>
        <v xml:space="preserve">   900720</v>
      </c>
      <c r="B14362" t="str">
        <f>T("   PROJECTEURS")</f>
        <v xml:space="preserve">   PROJECTEURS</v>
      </c>
      <c r="C14362" s="4">
        <v>180</v>
      </c>
      <c r="D14362" s="4">
        <v>2033768</v>
      </c>
    </row>
    <row r="14363" spans="1:4" x14ac:dyDescent="0.25">
      <c r="A14363" t="str">
        <f>T("   900791")</f>
        <v xml:space="preserve">   900791</v>
      </c>
      <c r="B14363" t="str">
        <f>T("   DE CAMERAS")</f>
        <v xml:space="preserve">   DE CAMERAS</v>
      </c>
      <c r="C14363" s="4">
        <v>21.6</v>
      </c>
      <c r="D14363" s="4">
        <v>13255843</v>
      </c>
    </row>
    <row r="14364" spans="1:4" x14ac:dyDescent="0.25">
      <c r="A14364" t="str">
        <f>T("   900820")</f>
        <v xml:space="preserve">   900820</v>
      </c>
      <c r="B14364" t="str">
        <f>T("   LECTEURS DE MICROFILMS,MICROFICHES OU AUTRES MICROFORMATS,MEME AVEC TIRAGE")</f>
        <v xml:space="preserve">   LECTEURS DE MICROFILMS,MICROFICHES OU AUTRES MICROFORMATS,MEME AVEC TIRAGE</v>
      </c>
      <c r="C14364" s="4">
        <v>532</v>
      </c>
      <c r="D14364" s="4">
        <v>4159443</v>
      </c>
    </row>
    <row r="14365" spans="1:4" x14ac:dyDescent="0.25">
      <c r="A14365" t="str">
        <f>T("   900830")</f>
        <v xml:space="preserve">   900830</v>
      </c>
      <c r="B14365" t="str">
        <f>T("   Autres projecteurs d'images fixes")</f>
        <v xml:space="preserve">   Autres projecteurs d'images fixes</v>
      </c>
      <c r="C14365" s="4">
        <v>567</v>
      </c>
      <c r="D14365" s="4">
        <v>667263</v>
      </c>
    </row>
    <row r="14366" spans="1:4" x14ac:dyDescent="0.25">
      <c r="A14366" t="str">
        <f>T("   900921")</f>
        <v xml:space="preserve">   900921</v>
      </c>
      <c r="B14366" t="str">
        <f>T("   APPAREILS DE PHOTOCOPIE A SYSTEME OPTIQUE")</f>
        <v xml:space="preserve">   APPAREILS DE PHOTOCOPIE A SYSTEME OPTIQUE</v>
      </c>
      <c r="C14366" s="4">
        <v>3910</v>
      </c>
      <c r="D14366" s="4">
        <v>4791797</v>
      </c>
    </row>
    <row r="14367" spans="1:4" x14ac:dyDescent="0.25">
      <c r="A14367" t="str">
        <f>T("   901010")</f>
        <v xml:space="preserve">   901010</v>
      </c>
      <c r="B14367" t="str">
        <f>T("   APPAREILS ET MATERIEL POUR LE DEVELOPPEMENT AUTOMATIQUE DES PELLICULES PHOTOGRAPHIQUE")</f>
        <v xml:space="preserve">   APPAREILS ET MATERIEL POUR LE DEVELOPPEMENT AUTOMATIQUE DES PELLICULES PHOTOGRAPHIQUE</v>
      </c>
      <c r="C14367" s="4">
        <v>1652.18</v>
      </c>
      <c r="D14367" s="4">
        <v>9164584</v>
      </c>
    </row>
    <row r="14368" spans="1:4" x14ac:dyDescent="0.25">
      <c r="A14368" t="str">
        <f>T("   901042")</f>
        <v xml:space="preserve">   901042</v>
      </c>
      <c r="B14368" t="str">
        <f>T("   PHOTOREPETEURS")</f>
        <v xml:space="preserve">   PHOTOREPETEURS</v>
      </c>
      <c r="C14368" s="4">
        <v>5525</v>
      </c>
      <c r="D14368" s="4">
        <v>4627063</v>
      </c>
    </row>
    <row r="14369" spans="1:4" x14ac:dyDescent="0.25">
      <c r="A14369" t="str">
        <f>T("   901050")</f>
        <v xml:space="preserve">   901050</v>
      </c>
      <c r="B14369" t="str">
        <f>T("   AUTRES APPAREILS ET MATERIEL POUR LABORATOIRES PHOTOGRAPHIQUES OU CINEMATOGRAPHIQUES;")</f>
        <v xml:space="preserve">   AUTRES APPAREILS ET MATERIEL POUR LABORATOIRES PHOTOGRAPHIQUES OU CINEMATOGRAPHIQUES;</v>
      </c>
      <c r="C14369" s="4">
        <v>184</v>
      </c>
      <c r="D14369" s="4">
        <v>9945665</v>
      </c>
    </row>
    <row r="14370" spans="1:4" x14ac:dyDescent="0.25">
      <c r="A14370" t="str">
        <f>T("   901060")</f>
        <v xml:space="preserve">   901060</v>
      </c>
      <c r="B14370" t="str">
        <f>T("   ECRANS POUR PROJECTIONS")</f>
        <v xml:space="preserve">   ECRANS POUR PROJECTIONS</v>
      </c>
      <c r="C14370" s="4">
        <v>22</v>
      </c>
      <c r="D14370" s="4">
        <v>194243</v>
      </c>
    </row>
    <row r="14371" spans="1:4" x14ac:dyDescent="0.25">
      <c r="A14371" t="str">
        <f>T("   901090")</f>
        <v xml:space="preserve">   901090</v>
      </c>
      <c r="B14371" t="str">
        <f>T("   PARTIES ET ACCESSOIRES")</f>
        <v xml:space="preserve">   PARTIES ET ACCESSOIRES</v>
      </c>
      <c r="C14371" s="4">
        <v>1703.7</v>
      </c>
      <c r="D14371" s="4">
        <v>2223882</v>
      </c>
    </row>
    <row r="14372" spans="1:4" x14ac:dyDescent="0.25">
      <c r="A14372" t="str">
        <f>T("   901180")</f>
        <v xml:space="preserve">   901180</v>
      </c>
      <c r="B14372" t="str">
        <f>T("   Autres microscopes")</f>
        <v xml:space="preserve">   Autres microscopes</v>
      </c>
      <c r="C14372" s="4">
        <v>3008</v>
      </c>
      <c r="D14372" s="4">
        <v>9121049</v>
      </c>
    </row>
    <row r="14373" spans="1:4" x14ac:dyDescent="0.25">
      <c r="A14373" t="str">
        <f>T("   901190")</f>
        <v xml:space="preserve">   901190</v>
      </c>
      <c r="B14373" t="str">
        <f>T("   PARTIES ET ACCESSOIRES")</f>
        <v xml:space="preserve">   PARTIES ET ACCESSOIRES</v>
      </c>
      <c r="C14373" s="4">
        <v>125</v>
      </c>
      <c r="D14373" s="4">
        <v>1318814</v>
      </c>
    </row>
    <row r="14374" spans="1:4" x14ac:dyDescent="0.25">
      <c r="A14374" t="str">
        <f>T("   901290")</f>
        <v xml:space="preserve">   901290</v>
      </c>
      <c r="B14374" t="str">
        <f>T("   PARTIES ET ACCESSOIRES")</f>
        <v xml:space="preserve">   PARTIES ET ACCESSOIRES</v>
      </c>
      <c r="C14374" s="4">
        <v>377</v>
      </c>
      <c r="D14374" s="4">
        <v>2040088</v>
      </c>
    </row>
    <row r="14375" spans="1:4" x14ac:dyDescent="0.25">
      <c r="A14375" t="str">
        <f>T("   901320")</f>
        <v xml:space="preserve">   901320</v>
      </c>
      <c r="B14375" t="str">
        <f>T("   Lasers, autres que les diodes laser")</f>
        <v xml:space="preserve">   Lasers, autres que les diodes laser</v>
      </c>
      <c r="C14375" s="4">
        <v>100</v>
      </c>
      <c r="D14375" s="4">
        <v>90000</v>
      </c>
    </row>
    <row r="14376" spans="1:4" x14ac:dyDescent="0.25">
      <c r="A14376" t="str">
        <f>T("   901380")</f>
        <v xml:space="preserve">   901380</v>
      </c>
      <c r="B14376" t="str">
        <f>T("   AUTRES DISPOSITIFS, APPAREILS ET INSTRUMENTS")</f>
        <v xml:space="preserve">   AUTRES DISPOSITIFS, APPAREILS ET INSTRUMENTS</v>
      </c>
      <c r="C14376" s="4">
        <v>16</v>
      </c>
      <c r="D14376" s="4">
        <v>126640</v>
      </c>
    </row>
    <row r="14377" spans="1:4" x14ac:dyDescent="0.25">
      <c r="A14377" t="str">
        <f>T("   901410")</f>
        <v xml:space="preserve">   901410</v>
      </c>
      <c r="B14377" t="str">
        <f>T("   BOUSSOLES, Y COMPRIS LES COMPAS DE NAVIGATION")</f>
        <v xml:space="preserve">   BOUSSOLES, Y COMPRIS LES COMPAS DE NAVIGATION</v>
      </c>
      <c r="C14377" s="4">
        <v>49</v>
      </c>
      <c r="D14377" s="4">
        <v>11065013</v>
      </c>
    </row>
    <row r="14378" spans="1:4" x14ac:dyDescent="0.25">
      <c r="A14378" t="str">
        <f>T("   901480")</f>
        <v xml:space="preserve">   901480</v>
      </c>
      <c r="B14378" t="str">
        <f>T("   AUTRES INSTRUMENTS ET APPAREILS")</f>
        <v xml:space="preserve">   AUTRES INSTRUMENTS ET APPAREILS</v>
      </c>
      <c r="C14378" s="4">
        <v>766</v>
      </c>
      <c r="D14378" s="4">
        <v>1772713</v>
      </c>
    </row>
    <row r="14379" spans="1:4" x14ac:dyDescent="0.25">
      <c r="A14379" t="str">
        <f>T("   901490")</f>
        <v xml:space="preserve">   901490</v>
      </c>
      <c r="B14379" t="str">
        <f>T("   PARTIES ET ACCESSOIRES")</f>
        <v xml:space="preserve">   PARTIES ET ACCESSOIRES</v>
      </c>
      <c r="C14379" s="4">
        <v>15</v>
      </c>
      <c r="D14379" s="4">
        <v>280000</v>
      </c>
    </row>
    <row r="14380" spans="1:4" x14ac:dyDescent="0.25">
      <c r="A14380" t="str">
        <f>T("   901510")</f>
        <v xml:space="preserve">   901510</v>
      </c>
      <c r="B14380" t="str">
        <f>T("   TELEMETRES")</f>
        <v xml:space="preserve">   TELEMETRES</v>
      </c>
      <c r="C14380" s="4">
        <v>99</v>
      </c>
      <c r="D14380" s="4">
        <v>3924354</v>
      </c>
    </row>
    <row r="14381" spans="1:4" x14ac:dyDescent="0.25">
      <c r="A14381" t="str">
        <f>T("   901520")</f>
        <v xml:space="preserve">   901520</v>
      </c>
      <c r="B14381" t="str">
        <f>T("   THEODOLITES ET TACHEOMETRES")</f>
        <v xml:space="preserve">   THEODOLITES ET TACHEOMETRES</v>
      </c>
      <c r="C14381" s="4">
        <v>81</v>
      </c>
      <c r="D14381" s="4">
        <v>1083147</v>
      </c>
    </row>
    <row r="14382" spans="1:4" x14ac:dyDescent="0.25">
      <c r="A14382" t="str">
        <f>T("   901530")</f>
        <v xml:space="preserve">   901530</v>
      </c>
      <c r="B14382" t="str">
        <f>T("   Niveaux")</f>
        <v xml:space="preserve">   Niveaux</v>
      </c>
      <c r="C14382" s="4">
        <v>3250</v>
      </c>
      <c r="D14382" s="4">
        <v>1000000</v>
      </c>
    </row>
    <row r="14383" spans="1:4" x14ac:dyDescent="0.25">
      <c r="A14383" t="str">
        <f>T("   901540")</f>
        <v xml:space="preserve">   901540</v>
      </c>
      <c r="B14383" t="str">
        <f>T("   INSTRUMENTS ET APPAREILS DE PHOTOGRAMMETRIE")</f>
        <v xml:space="preserve">   INSTRUMENTS ET APPAREILS DE PHOTOGRAMMETRIE</v>
      </c>
      <c r="C14383" s="4">
        <v>5500</v>
      </c>
      <c r="D14383" s="4">
        <v>20857207</v>
      </c>
    </row>
    <row r="14384" spans="1:4" x14ac:dyDescent="0.25">
      <c r="A14384" t="str">
        <f>T("   901580")</f>
        <v xml:space="preserve">   901580</v>
      </c>
      <c r="B14384" t="str">
        <f>T("   AUTRES INSTRUMENTS ET APPAREILS")</f>
        <v xml:space="preserve">   AUTRES INSTRUMENTS ET APPAREILS</v>
      </c>
      <c r="C14384" s="4">
        <v>11678.54</v>
      </c>
      <c r="D14384" s="4">
        <v>386852500</v>
      </c>
    </row>
    <row r="14385" spans="1:4" x14ac:dyDescent="0.25">
      <c r="A14385" t="str">
        <f>T("   901590")</f>
        <v xml:space="preserve">   901590</v>
      </c>
      <c r="B14385" t="str">
        <f>T("   PARTIES ET ACCESSOIRES")</f>
        <v xml:space="preserve">   PARTIES ET ACCESSOIRES</v>
      </c>
      <c r="C14385" s="4">
        <v>95228</v>
      </c>
      <c r="D14385" s="4">
        <v>1492101788</v>
      </c>
    </row>
    <row r="14386" spans="1:4" x14ac:dyDescent="0.25">
      <c r="A14386" t="str">
        <f>T("   901600")</f>
        <v xml:space="preserve">   901600</v>
      </c>
      <c r="B14386" t="str">
        <f>T("   BALANCES SENSIBLES A UN POIDS DE 5 CG OU MOINS, AVEC OU SANS POIDS.")</f>
        <v xml:space="preserve">   BALANCES SENSIBLES A UN POIDS DE 5 CG OU MOINS, AVEC OU SANS POIDS.</v>
      </c>
      <c r="C14386" s="4">
        <v>16000</v>
      </c>
      <c r="D14386" s="4">
        <v>19103142</v>
      </c>
    </row>
    <row r="14387" spans="1:4" x14ac:dyDescent="0.25">
      <c r="A14387" t="str">
        <f>T("   901710")</f>
        <v xml:space="preserve">   901710</v>
      </c>
      <c r="B14387" t="str">
        <f>T("   TABLES ET MACHINES A DESSINER, MEME AUTOMATIQUES")</f>
        <v xml:space="preserve">   TABLES ET MACHINES A DESSINER, MEME AUTOMATIQUES</v>
      </c>
      <c r="C14387" s="4">
        <v>4000</v>
      </c>
      <c r="D14387" s="4">
        <v>5000000</v>
      </c>
    </row>
    <row r="14388" spans="1:4" x14ac:dyDescent="0.25">
      <c r="A14388" t="str">
        <f>T("   901720")</f>
        <v xml:space="preserve">   901720</v>
      </c>
      <c r="B14388" t="str">
        <f>T("   AUTRES INSTRUMENTS DE DESSIN, DE TRACAGE OU DE CALCUL")</f>
        <v xml:space="preserve">   AUTRES INSTRUMENTS DE DESSIN, DE TRACAGE OU DE CALCUL</v>
      </c>
      <c r="C14388" s="4">
        <v>217588</v>
      </c>
      <c r="D14388" s="4">
        <v>130721031</v>
      </c>
    </row>
    <row r="14389" spans="1:4" x14ac:dyDescent="0.25">
      <c r="A14389" t="str">
        <f>T("   901730")</f>
        <v xml:space="preserve">   901730</v>
      </c>
      <c r="B14389" t="str">
        <f>T("   MICROMETRES, PIEDS A COULISSE, CALIBRES ET JAUGES")</f>
        <v xml:space="preserve">   MICROMETRES, PIEDS A COULISSE, CALIBRES ET JAUGES</v>
      </c>
      <c r="C14389" s="4">
        <v>82</v>
      </c>
      <c r="D14389" s="4">
        <v>3473124</v>
      </c>
    </row>
    <row r="14390" spans="1:4" x14ac:dyDescent="0.25">
      <c r="A14390" t="str">
        <f>T("   901780")</f>
        <v xml:space="preserve">   901780</v>
      </c>
      <c r="B14390" t="str">
        <f>T("   AUTRES INSTRUMENTS")</f>
        <v xml:space="preserve">   AUTRES INSTRUMENTS</v>
      </c>
      <c r="C14390" s="4">
        <v>18444</v>
      </c>
      <c r="D14390" s="4">
        <v>15426454</v>
      </c>
    </row>
    <row r="14391" spans="1:4" x14ac:dyDescent="0.25">
      <c r="A14391" t="str">
        <f>T("   901811")</f>
        <v xml:space="preserve">   901811</v>
      </c>
      <c r="B14391" t="str">
        <f>T("   ELECTROCARDIOGRAPHES")</f>
        <v xml:space="preserve">   ELECTROCARDIOGRAPHES</v>
      </c>
      <c r="C14391" s="4">
        <v>21.8</v>
      </c>
      <c r="D14391" s="4">
        <v>1970287</v>
      </c>
    </row>
    <row r="14392" spans="1:4" x14ac:dyDescent="0.25">
      <c r="A14392" t="str">
        <f>T("   901812")</f>
        <v xml:space="preserve">   901812</v>
      </c>
      <c r="B14392" t="str">
        <f>T("   APPAREILS DE DIAGNOSTIC PAR BALAYAGE ULTRASONIQUE (SCANNERS)")</f>
        <v xml:space="preserve">   APPAREILS DE DIAGNOSTIC PAR BALAYAGE ULTRASONIQUE (SCANNERS)</v>
      </c>
      <c r="C14392" s="4">
        <v>3076.2</v>
      </c>
      <c r="D14392" s="4">
        <v>42709929</v>
      </c>
    </row>
    <row r="14393" spans="1:4" x14ac:dyDescent="0.25">
      <c r="A14393" t="str">
        <f>T("   901813")</f>
        <v xml:space="preserve">   901813</v>
      </c>
      <c r="B14393" t="str">
        <f>T("   APPAREILS DE DIAGNOSTIC PAR VISUALISATION A RESONANCE MAGNETIQUE")</f>
        <v xml:space="preserve">   APPAREILS DE DIAGNOSTIC PAR VISUALISATION A RESONANCE MAGNETIQUE</v>
      </c>
      <c r="C14393" s="4">
        <v>44</v>
      </c>
      <c r="D14393" s="4">
        <v>331916</v>
      </c>
    </row>
    <row r="14394" spans="1:4" x14ac:dyDescent="0.25">
      <c r="A14394" t="str">
        <f>T("   901814")</f>
        <v xml:space="preserve">   901814</v>
      </c>
      <c r="B14394" t="str">
        <f>T("   APPAREILS DE SCINTIGRAPHIE")</f>
        <v xml:space="preserve">   APPAREILS DE SCINTIGRAPHIE</v>
      </c>
      <c r="C14394" s="4">
        <v>86</v>
      </c>
      <c r="D14394" s="4">
        <v>922902</v>
      </c>
    </row>
    <row r="14395" spans="1:4" x14ac:dyDescent="0.25">
      <c r="A14395" t="str">
        <f>T("   901819")</f>
        <v xml:space="preserve">   901819</v>
      </c>
      <c r="B14395" t="str">
        <f>T("   AUTRES")</f>
        <v xml:space="preserve">   AUTRES</v>
      </c>
      <c r="C14395" s="4">
        <v>22509.200000000001</v>
      </c>
      <c r="D14395" s="4">
        <v>108197643</v>
      </c>
    </row>
    <row r="14396" spans="1:4" x14ac:dyDescent="0.25">
      <c r="A14396" t="str">
        <f>T("   901820")</f>
        <v xml:space="preserve">   901820</v>
      </c>
      <c r="B14396" t="str">
        <f>T("   APPAREILS A RAYONS ULTRAVIOLETS OU INFRAROUGES")</f>
        <v xml:space="preserve">   APPAREILS A RAYONS ULTRAVIOLETS OU INFRAROUGES</v>
      </c>
      <c r="C14396" s="4">
        <v>11191.3</v>
      </c>
      <c r="D14396" s="4">
        <v>1839042</v>
      </c>
    </row>
    <row r="14397" spans="1:4" x14ac:dyDescent="0.25">
      <c r="A14397" t="str">
        <f>T("   901831")</f>
        <v xml:space="preserve">   901831</v>
      </c>
      <c r="B14397" t="str">
        <f>T("   SERINGUES, AVEC OU SANS AIGUILLES")</f>
        <v xml:space="preserve">   SERINGUES, AVEC OU SANS AIGUILLES</v>
      </c>
      <c r="C14397" s="4">
        <v>73375.63</v>
      </c>
      <c r="D14397" s="4">
        <v>96519261</v>
      </c>
    </row>
    <row r="14398" spans="1:4" x14ac:dyDescent="0.25">
      <c r="A14398" t="str">
        <f>T("   901832")</f>
        <v xml:space="preserve">   901832</v>
      </c>
      <c r="B14398" t="str">
        <f>T("   AIGUILLES TUBULAIRES EN METAL ET AIGUILLES A SUTURES")</f>
        <v xml:space="preserve">   AIGUILLES TUBULAIRES EN METAL ET AIGUILLES A SUTURES</v>
      </c>
      <c r="C14398" s="4">
        <v>903</v>
      </c>
      <c r="D14398" s="4">
        <v>6259126</v>
      </c>
    </row>
    <row r="14399" spans="1:4" x14ac:dyDescent="0.25">
      <c r="A14399" t="str">
        <f>T("   901839")</f>
        <v xml:space="preserve">   901839</v>
      </c>
      <c r="B14399" t="str">
        <f>T("   AUTRES")</f>
        <v xml:space="preserve">   AUTRES</v>
      </c>
      <c r="C14399" s="4">
        <v>92194.5</v>
      </c>
      <c r="D14399" s="4">
        <v>384988306</v>
      </c>
    </row>
    <row r="14400" spans="1:4" x14ac:dyDescent="0.25">
      <c r="A14400" t="str">
        <f>T("   901849")</f>
        <v xml:space="preserve">   901849</v>
      </c>
      <c r="B14400" t="str">
        <f>T("   AUTRES")</f>
        <v xml:space="preserve">   AUTRES</v>
      </c>
      <c r="C14400" s="4">
        <v>681</v>
      </c>
      <c r="D14400" s="4">
        <v>4562202</v>
      </c>
    </row>
    <row r="14401" spans="1:4" x14ac:dyDescent="0.25">
      <c r="A14401" t="str">
        <f>T("   901850")</f>
        <v xml:space="preserve">   901850</v>
      </c>
      <c r="B14401" t="str">
        <f>T("   Autres instruments et appareils d'ophtalmologie")</f>
        <v xml:space="preserve">   Autres instruments et appareils d'ophtalmologie</v>
      </c>
      <c r="C14401" s="4">
        <v>1810.5</v>
      </c>
      <c r="D14401" s="4">
        <v>4619961</v>
      </c>
    </row>
    <row r="14402" spans="1:4" x14ac:dyDescent="0.25">
      <c r="A14402" t="str">
        <f>T("   901890")</f>
        <v xml:space="preserve">   901890</v>
      </c>
      <c r="B14402" t="str">
        <f>T("   AUTRES INSTRUMENTS ET APPAREILS")</f>
        <v xml:space="preserve">   AUTRES INSTRUMENTS ET APPAREILS</v>
      </c>
      <c r="C14402" s="4">
        <v>343352.57</v>
      </c>
      <c r="D14402" s="4">
        <v>664430137</v>
      </c>
    </row>
    <row r="14403" spans="1:4" x14ac:dyDescent="0.25">
      <c r="A14403" t="str">
        <f>T("   901910")</f>
        <v xml:space="preserve">   901910</v>
      </c>
      <c r="B14403" t="str">
        <f>T("   APPAREILS DE MECANOTHERAPIE; APPAREILS DE MASSAGE; APPAREILS DE PSYCHOTECHNIE")</f>
        <v xml:space="preserve">   APPAREILS DE MECANOTHERAPIE; APPAREILS DE MASSAGE; APPAREILS DE PSYCHOTECHNIE</v>
      </c>
      <c r="C14403" s="4">
        <v>1506</v>
      </c>
      <c r="D14403" s="4">
        <v>24421000</v>
      </c>
    </row>
    <row r="14404" spans="1:4" x14ac:dyDescent="0.25">
      <c r="A14404" t="str">
        <f>T("   901920")</f>
        <v xml:space="preserve">   901920</v>
      </c>
      <c r="B14404" t="str">
        <f>T("   APPAREILS D'OZONOTHERAPIE, D'OXYGENOTHERAPIE, D'AEROSOLTHERAPIE, APPAREILS RESPIRATOI")</f>
        <v xml:space="preserve">   APPAREILS D'OZONOTHERAPIE, D'OXYGENOTHERAPIE, D'AEROSOLTHERAPIE, APPAREILS RESPIRATOI</v>
      </c>
      <c r="C14404" s="4">
        <v>18973.5</v>
      </c>
      <c r="D14404" s="4">
        <v>705251960</v>
      </c>
    </row>
    <row r="14405" spans="1:4" x14ac:dyDescent="0.25">
      <c r="A14405" t="str">
        <f>T("   902000")</f>
        <v xml:space="preserve">   902000</v>
      </c>
      <c r="B14405" t="str">
        <f>T("   AUTRES APPAREILS RESPIRATOIRES ET MASQUES A GAZ, A L'EXCLUSION DES MASQUES DE PROTECTIO")</f>
        <v xml:space="preserve">   AUTRES APPAREILS RESPIRATOIRES ET MASQUES A GAZ, A L'EXCLUSION DES MASQUES DE PROTECTIO</v>
      </c>
      <c r="C14405" s="4">
        <v>980</v>
      </c>
      <c r="D14405" s="4">
        <v>13873941</v>
      </c>
    </row>
    <row r="14406" spans="1:4" x14ac:dyDescent="0.25">
      <c r="A14406" t="str">
        <f>T("   902110")</f>
        <v xml:space="preserve">   902110</v>
      </c>
      <c r="B14406" t="str">
        <f>T("   ARTICLES ET APPAREILS D’ORTHOPEDIE OU POUR FRACTURES")</f>
        <v xml:space="preserve">   ARTICLES ET APPAREILS D’ORTHOPEDIE OU POUR FRACTURES</v>
      </c>
      <c r="C14406" s="4">
        <v>1341.9</v>
      </c>
      <c r="D14406" s="4">
        <v>20027833</v>
      </c>
    </row>
    <row r="14407" spans="1:4" x14ac:dyDescent="0.25">
      <c r="A14407" t="str">
        <f>T("   902129")</f>
        <v xml:space="preserve">   902129</v>
      </c>
      <c r="B14407" t="str">
        <f>T("   AUTRES")</f>
        <v xml:space="preserve">   AUTRES</v>
      </c>
      <c r="C14407" s="4">
        <v>1245</v>
      </c>
      <c r="D14407" s="4">
        <v>10237837</v>
      </c>
    </row>
    <row r="14408" spans="1:4" x14ac:dyDescent="0.25">
      <c r="A14408" t="str">
        <f>T("   902139")</f>
        <v xml:space="preserve">   902139</v>
      </c>
      <c r="B14408" t="str">
        <f>T("   AUTRES")</f>
        <v xml:space="preserve">   AUTRES</v>
      </c>
      <c r="C14408" s="4">
        <v>1333.5</v>
      </c>
      <c r="D14408" s="4">
        <v>17139223</v>
      </c>
    </row>
    <row r="14409" spans="1:4" x14ac:dyDescent="0.25">
      <c r="A14409" t="str">
        <f>T("   902140")</f>
        <v xml:space="preserve">   902140</v>
      </c>
      <c r="B14409" t="str">
        <f>T("   APPAREILS POUR FACILITER L'AUDITION AUX SOURDS, A L'EXCLUSION DES PARTIES ET ACCESSOI")</f>
        <v xml:space="preserve">   APPAREILS POUR FACILITER L'AUDITION AUX SOURDS, A L'EXCLUSION DES PARTIES ET ACCESSOI</v>
      </c>
      <c r="C14409" s="4">
        <v>88.5</v>
      </c>
      <c r="D14409" s="4">
        <v>4378533</v>
      </c>
    </row>
    <row r="14410" spans="1:4" x14ac:dyDescent="0.25">
      <c r="A14410" t="str">
        <f>T("   902150")</f>
        <v xml:space="preserve">   902150</v>
      </c>
      <c r="B14410" t="str">
        <f>T("   STIMULATEURS CARDIAQUES, A L'EXCLUSION DES PARTIES ET ACCESSOIRES")</f>
        <v xml:space="preserve">   STIMULATEURS CARDIAQUES, A L'EXCLUSION DES PARTIES ET ACCESSOIRES</v>
      </c>
      <c r="C14410" s="4">
        <v>2</v>
      </c>
      <c r="D14410" s="4">
        <v>59748</v>
      </c>
    </row>
    <row r="14411" spans="1:4" x14ac:dyDescent="0.25">
      <c r="A14411" t="str">
        <f>T("   902190")</f>
        <v xml:space="preserve">   902190</v>
      </c>
      <c r="B14411" t="str">
        <f>T("   AUTRES")</f>
        <v xml:space="preserve">   AUTRES</v>
      </c>
      <c r="C14411" s="4">
        <v>12135.4</v>
      </c>
      <c r="D14411" s="4">
        <v>31962187</v>
      </c>
    </row>
    <row r="14412" spans="1:4" x14ac:dyDescent="0.25">
      <c r="A14412" t="str">
        <f>T("   902212")</f>
        <v xml:space="preserve">   902212</v>
      </c>
      <c r="B14412" t="str">
        <f>T("   APPAREILS DE TOMOGRAPHIE PILOTES PAR UNE MACHINE AUTOMATIQUE DE TRAITEMENT DE L'INFO")</f>
        <v xml:space="preserve">   APPAREILS DE TOMOGRAPHIE PILOTES PAR UNE MACHINE AUTOMATIQUE DE TRAITEMENT DE L'INFO</v>
      </c>
      <c r="C14412" s="4">
        <v>50</v>
      </c>
      <c r="D14412" s="4">
        <v>1165536</v>
      </c>
    </row>
    <row r="14413" spans="1:4" x14ac:dyDescent="0.25">
      <c r="A14413" t="str">
        <f>T("   902213")</f>
        <v xml:space="preserve">   902213</v>
      </c>
      <c r="B14413" t="str">
        <f>T("   AUTRES, POUR L'ART DENTAIRE")</f>
        <v xml:space="preserve">   AUTRES, POUR L'ART DENTAIRE</v>
      </c>
      <c r="C14413" s="4">
        <v>7.5</v>
      </c>
      <c r="D14413" s="4">
        <v>150000</v>
      </c>
    </row>
    <row r="14414" spans="1:4" x14ac:dyDescent="0.25">
      <c r="A14414" t="str">
        <f>T("   902214")</f>
        <v xml:space="preserve">   902214</v>
      </c>
      <c r="B14414" t="str">
        <f>T("   AUTRES, POUR USAGES MEDICAUX, CHIRURGICAUX OU VETERINAIRES")</f>
        <v xml:space="preserve">   AUTRES, POUR USAGES MEDICAUX, CHIRURGICAUX OU VETERINAIRES</v>
      </c>
      <c r="C14414" s="4">
        <v>41961</v>
      </c>
      <c r="D14414" s="4">
        <v>25074607</v>
      </c>
    </row>
    <row r="14415" spans="1:4" x14ac:dyDescent="0.25">
      <c r="A14415" t="str">
        <f>T("   902219")</f>
        <v xml:space="preserve">   902219</v>
      </c>
      <c r="B14415" t="str">
        <f>T("   POUR AUTRES USAGES")</f>
        <v xml:space="preserve">   POUR AUTRES USAGES</v>
      </c>
      <c r="C14415" s="4">
        <v>2300</v>
      </c>
      <c r="D14415" s="4">
        <v>38622269</v>
      </c>
    </row>
    <row r="14416" spans="1:4" x14ac:dyDescent="0.25">
      <c r="A14416" t="str">
        <f>T("   902221")</f>
        <v xml:space="preserve">   902221</v>
      </c>
      <c r="B14416" t="str">
        <f>T("   A USAGE MEDICAL, CHIRURGICAL, DENTAIRE OU VETERINAIRE")</f>
        <v xml:space="preserve">   A USAGE MEDICAL, CHIRURGICAL, DENTAIRE OU VETERINAIRE</v>
      </c>
      <c r="C14416" s="4">
        <v>8279</v>
      </c>
      <c r="D14416" s="4">
        <v>33788311</v>
      </c>
    </row>
    <row r="14417" spans="1:4" x14ac:dyDescent="0.25">
      <c r="A14417" t="str">
        <f>T("   902229")</f>
        <v xml:space="preserve">   902229</v>
      </c>
      <c r="B14417" t="str">
        <f>T("   POUR AUTRES USAGES")</f>
        <v xml:space="preserve">   POUR AUTRES USAGES</v>
      </c>
      <c r="C14417" s="4">
        <v>95</v>
      </c>
      <c r="D14417" s="4">
        <v>354879</v>
      </c>
    </row>
    <row r="14418" spans="1:4" x14ac:dyDescent="0.25">
      <c r="A14418" t="str">
        <f>T("   902230")</f>
        <v xml:space="preserve">   902230</v>
      </c>
      <c r="B14418" t="str">
        <f>T("   TUBES A RAYONS X")</f>
        <v xml:space="preserve">   TUBES A RAYONS X</v>
      </c>
      <c r="C14418" s="4">
        <v>3.7</v>
      </c>
      <c r="D14418" s="4">
        <v>9219808</v>
      </c>
    </row>
    <row r="14419" spans="1:4" x14ac:dyDescent="0.25">
      <c r="A14419" t="str">
        <f>T("   902290")</f>
        <v xml:space="preserve">   902290</v>
      </c>
      <c r="B14419" t="str">
        <f>T("   AUTRES, Y COMPRIS LES PARTIES ET ACCESSOIRES")</f>
        <v xml:space="preserve">   AUTRES, Y COMPRIS LES PARTIES ET ACCESSOIRES</v>
      </c>
      <c r="C14419" s="4">
        <v>32391.200000000001</v>
      </c>
      <c r="D14419" s="4">
        <v>41040274</v>
      </c>
    </row>
    <row r="14420" spans="1:4" x14ac:dyDescent="0.25">
      <c r="A14420" t="str">
        <f>T("   902300")</f>
        <v xml:space="preserve">   902300</v>
      </c>
      <c r="B14420" t="str">
        <f>T("   INSTRUMENTS, APPAREILS ET MODELES CONCUS POUR LA DEMONSTRATION (DANS L'ENSEIGNEMENT OU")</f>
        <v xml:space="preserve">   INSTRUMENTS, APPAREILS ET MODELES CONCUS POUR LA DEMONSTRATION (DANS L'ENSEIGNEMENT OU</v>
      </c>
      <c r="C14420" s="4">
        <v>19990.2</v>
      </c>
      <c r="D14420" s="4">
        <v>50996387</v>
      </c>
    </row>
    <row r="14421" spans="1:4" x14ac:dyDescent="0.25">
      <c r="A14421" t="str">
        <f>T("   902480")</f>
        <v xml:space="preserve">   902480</v>
      </c>
      <c r="B14421" t="str">
        <f>T("   AUTRES MACHINES ET APPAREILS")</f>
        <v xml:space="preserve">   AUTRES MACHINES ET APPAREILS</v>
      </c>
      <c r="C14421" s="4">
        <v>2497</v>
      </c>
      <c r="D14421" s="4">
        <v>46810384</v>
      </c>
    </row>
    <row r="14422" spans="1:4" x14ac:dyDescent="0.25">
      <c r="A14422" t="str">
        <f>T("   902490")</f>
        <v xml:space="preserve">   902490</v>
      </c>
      <c r="B14422" t="str">
        <f>T("   PARTIES ET ACCESSOIRES")</f>
        <v xml:space="preserve">   PARTIES ET ACCESSOIRES</v>
      </c>
      <c r="C14422" s="4">
        <v>25.4</v>
      </c>
      <c r="D14422" s="4">
        <v>9928515</v>
      </c>
    </row>
    <row r="14423" spans="1:4" x14ac:dyDescent="0.25">
      <c r="A14423" t="str">
        <f>T("   902511")</f>
        <v xml:space="preserve">   902511</v>
      </c>
      <c r="B14423" t="str">
        <f>T("   A LIQUIDE, A LECTURE DIRECTE")</f>
        <v xml:space="preserve">   A LIQUIDE, A LECTURE DIRECTE</v>
      </c>
      <c r="C14423" s="4">
        <v>291</v>
      </c>
      <c r="D14423" s="4">
        <v>4976697</v>
      </c>
    </row>
    <row r="14424" spans="1:4" x14ac:dyDescent="0.25">
      <c r="A14424" t="str">
        <f>T("   902519")</f>
        <v xml:space="preserve">   902519</v>
      </c>
      <c r="B14424" t="str">
        <f>T("   AUTRES")</f>
        <v xml:space="preserve">   AUTRES</v>
      </c>
      <c r="C14424" s="4">
        <v>2054.98</v>
      </c>
      <c r="D14424" s="4">
        <v>15640419</v>
      </c>
    </row>
    <row r="14425" spans="1:4" x14ac:dyDescent="0.25">
      <c r="A14425" t="str">
        <f>T("   902580")</f>
        <v xml:space="preserve">   902580</v>
      </c>
      <c r="B14425" t="str">
        <f>T("   AUTRES INSTRUMENTS")</f>
        <v xml:space="preserve">   AUTRES INSTRUMENTS</v>
      </c>
      <c r="C14425" s="4">
        <v>264.7</v>
      </c>
      <c r="D14425" s="4">
        <v>23967992</v>
      </c>
    </row>
    <row r="14426" spans="1:4" x14ac:dyDescent="0.25">
      <c r="A14426" t="str">
        <f>T("   902590")</f>
        <v xml:space="preserve">   902590</v>
      </c>
      <c r="B14426" t="str">
        <f>T("   PARTIES ET ACCESSOIRES")</f>
        <v xml:space="preserve">   PARTIES ET ACCESSOIRES</v>
      </c>
      <c r="C14426" s="4">
        <v>83.6</v>
      </c>
      <c r="D14426" s="4">
        <v>6441615</v>
      </c>
    </row>
    <row r="14427" spans="1:4" x14ac:dyDescent="0.25">
      <c r="A14427" t="str">
        <f>T("   902610")</f>
        <v xml:space="preserve">   902610</v>
      </c>
      <c r="B14427" t="str">
        <f>T("   POUR LA MESURE OU LE CONTROLE DU DEBIT OU DU NIVEAU DES LIQUIDES")</f>
        <v xml:space="preserve">   POUR LA MESURE OU LE CONTROLE DU DEBIT OU DU NIVEAU DES LIQUIDES</v>
      </c>
      <c r="C14427" s="4">
        <v>3678.38</v>
      </c>
      <c r="D14427" s="4">
        <v>291672704</v>
      </c>
    </row>
    <row r="14428" spans="1:4" x14ac:dyDescent="0.25">
      <c r="A14428" t="str">
        <f>T("   902620")</f>
        <v xml:space="preserve">   902620</v>
      </c>
      <c r="B14428" t="str">
        <f>T("   POUR LA MESURE OU LE CONTROLE DE LA PRESSION")</f>
        <v xml:space="preserve">   POUR LA MESURE OU LE CONTROLE DE LA PRESSION</v>
      </c>
      <c r="C14428" s="4">
        <v>2033.9</v>
      </c>
      <c r="D14428" s="4">
        <v>63914211</v>
      </c>
    </row>
    <row r="14429" spans="1:4" x14ac:dyDescent="0.25">
      <c r="A14429" t="str">
        <f>T("   902680")</f>
        <v xml:space="preserve">   902680</v>
      </c>
      <c r="B14429" t="str">
        <f>T("   AUTRES INSTRUMENTS ET APPAREILS")</f>
        <v xml:space="preserve">   AUTRES INSTRUMENTS ET APPAREILS</v>
      </c>
      <c r="C14429" s="4">
        <v>2141.23</v>
      </c>
      <c r="D14429" s="4">
        <v>22318521</v>
      </c>
    </row>
    <row r="14430" spans="1:4" x14ac:dyDescent="0.25">
      <c r="A14430" t="str">
        <f>T("   902690")</f>
        <v xml:space="preserve">   902690</v>
      </c>
      <c r="B14430" t="str">
        <f>T("   PARTIES ET ACCESSOIRES")</f>
        <v xml:space="preserve">   PARTIES ET ACCESSOIRES</v>
      </c>
      <c r="C14430" s="4">
        <v>13469.45</v>
      </c>
      <c r="D14430" s="4">
        <v>66423254</v>
      </c>
    </row>
    <row r="14431" spans="1:4" x14ac:dyDescent="0.25">
      <c r="A14431" t="str">
        <f>T("   902710")</f>
        <v xml:space="preserve">   902710</v>
      </c>
      <c r="B14431" t="str">
        <f>T("   ANALYSEURS DE GAZ OU DE FUMEES")</f>
        <v xml:space="preserve">   ANALYSEURS DE GAZ OU DE FUMEES</v>
      </c>
      <c r="C14431" s="4">
        <v>329</v>
      </c>
      <c r="D14431" s="4">
        <v>25661219</v>
      </c>
    </row>
    <row r="14432" spans="1:4" x14ac:dyDescent="0.25">
      <c r="A14432" t="str">
        <f>T("   902730")</f>
        <v xml:space="preserve">   902730</v>
      </c>
      <c r="B14432" t="str">
        <f>T("   SPECTROMETRES, SPECTROPHOTOMETRES ET SPECTROGRAPHES UTILISANT LES RAYONNEMENTS OPTIQU")</f>
        <v xml:space="preserve">   SPECTROMETRES, SPECTROPHOTOMETRES ET SPECTROGRAPHES UTILISANT LES RAYONNEMENTS OPTIQU</v>
      </c>
      <c r="C14432" s="4">
        <v>1268.8</v>
      </c>
      <c r="D14432" s="4">
        <v>35712382</v>
      </c>
    </row>
    <row r="14433" spans="1:4" x14ac:dyDescent="0.25">
      <c r="A14433" t="str">
        <f>T("   902750")</f>
        <v xml:space="preserve">   902750</v>
      </c>
      <c r="B14433" t="str">
        <f>T("   AUTRES INSTRUMENTS ET APPAREILS UTILISANT LES RAYONNEMENTS OPTIQUES (UV, VISIBLES, IR")</f>
        <v xml:space="preserve">   AUTRES INSTRUMENTS ET APPAREILS UTILISANT LES RAYONNEMENTS OPTIQUES (UV, VISIBLES, IR</v>
      </c>
      <c r="C14433" s="4">
        <v>586</v>
      </c>
      <c r="D14433" s="4">
        <v>68832878</v>
      </c>
    </row>
    <row r="14434" spans="1:4" x14ac:dyDescent="0.25">
      <c r="A14434" t="str">
        <f>T("   902780")</f>
        <v xml:space="preserve">   902780</v>
      </c>
      <c r="B14434" t="str">
        <f>T("   AUTRES INSTRUMENTS ET APPAREILS")</f>
        <v xml:space="preserve">   AUTRES INSTRUMENTS ET APPAREILS</v>
      </c>
      <c r="C14434" s="4">
        <v>29623.77</v>
      </c>
      <c r="D14434" s="4">
        <v>273958045</v>
      </c>
    </row>
    <row r="14435" spans="1:4" x14ac:dyDescent="0.25">
      <c r="A14435" t="str">
        <f>T("   902790")</f>
        <v xml:space="preserve">   902790</v>
      </c>
      <c r="B14435" t="str">
        <f>T("   MICROTOMES; PARTIES ET ACCESSOIRES")</f>
        <v xml:space="preserve">   MICROTOMES; PARTIES ET ACCESSOIRES</v>
      </c>
      <c r="C14435" s="4">
        <v>401.39</v>
      </c>
      <c r="D14435" s="4">
        <v>45381270</v>
      </c>
    </row>
    <row r="14436" spans="1:4" x14ac:dyDescent="0.25">
      <c r="A14436" t="str">
        <f>T("   902810")</f>
        <v xml:space="preserve">   902810</v>
      </c>
      <c r="B14436" t="str">
        <f>T("   Compteurs de gaz")</f>
        <v xml:space="preserve">   Compteurs de gaz</v>
      </c>
      <c r="C14436" s="4">
        <v>8</v>
      </c>
      <c r="D14436" s="4">
        <v>2718108</v>
      </c>
    </row>
    <row r="14437" spans="1:4" x14ac:dyDescent="0.25">
      <c r="A14437" t="str">
        <f>T("   902820")</f>
        <v xml:space="preserve">   902820</v>
      </c>
      <c r="B14437" t="str">
        <f>T("   Compteurs de liquides")</f>
        <v xml:space="preserve">   Compteurs de liquides</v>
      </c>
      <c r="C14437" s="4">
        <v>14866</v>
      </c>
      <c r="D14437" s="4">
        <v>234194195</v>
      </c>
    </row>
    <row r="14438" spans="1:4" x14ac:dyDescent="0.25">
      <c r="A14438" t="str">
        <f>T("   902830")</f>
        <v xml:space="preserve">   902830</v>
      </c>
      <c r="B14438" t="str">
        <f>T("   COMPTEURS D'ELECTRICITE")</f>
        <v xml:space="preserve">   COMPTEURS D'ELECTRICITE</v>
      </c>
      <c r="C14438" s="4">
        <v>131873.9</v>
      </c>
      <c r="D14438" s="4">
        <v>1225550365</v>
      </c>
    </row>
    <row r="14439" spans="1:4" x14ac:dyDescent="0.25">
      <c r="A14439" t="str">
        <f>T("   902890")</f>
        <v xml:space="preserve">   902890</v>
      </c>
      <c r="B14439" t="str">
        <f>T("   PARTIES ET ACCESSOIRES")</f>
        <v xml:space="preserve">   PARTIES ET ACCESSOIRES</v>
      </c>
      <c r="C14439" s="4">
        <v>377.3</v>
      </c>
      <c r="D14439" s="4">
        <v>2099944</v>
      </c>
    </row>
    <row r="14440" spans="1:4" x14ac:dyDescent="0.25">
      <c r="A14440" t="str">
        <f>T("   902910")</f>
        <v xml:space="preserve">   902910</v>
      </c>
      <c r="B14440" t="str">
        <f>T("   COMPTEURS DE TOURS OU DE PRODUCTION, TAXIMETRES, TOTALISATEURS DE CHEMIN PARCOURU, PO")</f>
        <v xml:space="preserve">   COMPTEURS DE TOURS OU DE PRODUCTION, TAXIMETRES, TOTALISATEURS DE CHEMIN PARCOURU, PO</v>
      </c>
      <c r="C14440" s="4">
        <v>57.7</v>
      </c>
      <c r="D14440" s="4">
        <v>3539717</v>
      </c>
    </row>
    <row r="14441" spans="1:4" x14ac:dyDescent="0.25">
      <c r="A14441" t="str">
        <f>T("   902990")</f>
        <v xml:space="preserve">   902990</v>
      </c>
      <c r="B14441" t="str">
        <f>T("   PARTIES ET ACCESSOIRES")</f>
        <v xml:space="preserve">   PARTIES ET ACCESSOIRES</v>
      </c>
      <c r="C14441" s="4">
        <v>0.4</v>
      </c>
      <c r="D14441" s="4">
        <v>147073</v>
      </c>
    </row>
    <row r="14442" spans="1:4" x14ac:dyDescent="0.25">
      <c r="A14442" t="str">
        <f>T("   903010")</f>
        <v xml:space="preserve">   903010</v>
      </c>
      <c r="B14442" t="str">
        <f>T("   INSTRUMENTS ET APPAREILS POUR LA MESURE OU LA DETECTION DES RADIATIONS IONISANTES")</f>
        <v xml:space="preserve">   INSTRUMENTS ET APPAREILS POUR LA MESURE OU LA DETECTION DES RADIATIONS IONISANTES</v>
      </c>
      <c r="C14442" s="4">
        <v>2</v>
      </c>
      <c r="D14442" s="4">
        <v>851346</v>
      </c>
    </row>
    <row r="14443" spans="1:4" x14ac:dyDescent="0.25">
      <c r="A14443" t="str">
        <f>T("   903020")</f>
        <v xml:space="preserve">   903020</v>
      </c>
      <c r="B14443" t="str">
        <f>T("   OSCILLOSCOPES ET OSCILLOGRAPHES")</f>
        <v xml:space="preserve">   OSCILLOSCOPES ET OSCILLOGRAPHES</v>
      </c>
      <c r="C14443" s="4">
        <v>11</v>
      </c>
      <c r="D14443" s="4">
        <v>3152373</v>
      </c>
    </row>
    <row r="14444" spans="1:4" x14ac:dyDescent="0.25">
      <c r="A14444" t="str">
        <f>T("   903031")</f>
        <v xml:space="preserve">   903031</v>
      </c>
      <c r="B14444" t="str">
        <f>T("   MULTIMETRES, SANS DISPOSITIF ENREGISTREUR")</f>
        <v xml:space="preserve">   MULTIMETRES, SANS DISPOSITIF ENREGISTREUR</v>
      </c>
      <c r="C14444" s="4">
        <v>633.37</v>
      </c>
      <c r="D14444" s="4">
        <v>6132372</v>
      </c>
    </row>
    <row r="14445" spans="1:4" x14ac:dyDescent="0.25">
      <c r="A14445" t="str">
        <f>T("   903033")</f>
        <v xml:space="preserve">   903033</v>
      </c>
      <c r="B14445" t="str">
        <f>T("   AUTRES, SANS DISPOSITIF ENREGISTREUR")</f>
        <v xml:space="preserve">   AUTRES, SANS DISPOSITIF ENREGISTREUR</v>
      </c>
      <c r="C14445" s="4">
        <v>1363</v>
      </c>
      <c r="D14445" s="4">
        <v>6749790</v>
      </c>
    </row>
    <row r="14446" spans="1:4" x14ac:dyDescent="0.25">
      <c r="A14446" t="str">
        <f>T("   903039")</f>
        <v xml:space="preserve">   903039</v>
      </c>
      <c r="B14446" t="str">
        <f>T("   AUTRES, AVEC DISPOSITIF ENREGISTREUR")</f>
        <v xml:space="preserve">   AUTRES, AVEC DISPOSITIF ENREGISTREUR</v>
      </c>
      <c r="C14446" s="4">
        <v>65.2</v>
      </c>
      <c r="D14446" s="4">
        <v>26514946</v>
      </c>
    </row>
    <row r="14447" spans="1:4" x14ac:dyDescent="0.25">
      <c r="A14447" t="str">
        <f>T("   903040")</f>
        <v xml:space="preserve">   903040</v>
      </c>
      <c r="B14447" t="str">
        <f>T("   AUTRES INSTRUMENTS ET APPAREILS, SPECIALEMENT CONCUS POUR LES TECHNIQUES DE LA TELECO")</f>
        <v xml:space="preserve">   AUTRES INSTRUMENTS ET APPAREILS, SPECIALEMENT CONCUS POUR LES TECHNIQUES DE LA TELECO</v>
      </c>
      <c r="C14447" s="4">
        <v>2322.6</v>
      </c>
      <c r="D14447" s="4">
        <v>24973456</v>
      </c>
    </row>
    <row r="14448" spans="1:4" x14ac:dyDescent="0.25">
      <c r="A14448" t="str">
        <f>T("   903084")</f>
        <v xml:space="preserve">   903084</v>
      </c>
      <c r="B14448" t="str">
        <f>T("   AUTRES, AVEC DISPOSITIF ENREGISTREUR")</f>
        <v xml:space="preserve">   AUTRES, AVEC DISPOSITIF ENREGISTREUR</v>
      </c>
      <c r="C14448" s="4">
        <v>4525</v>
      </c>
      <c r="D14448" s="4">
        <v>4529404</v>
      </c>
    </row>
    <row r="14449" spans="1:4" x14ac:dyDescent="0.25">
      <c r="A14449" t="str">
        <f>T("   903089")</f>
        <v xml:space="preserve">   903089</v>
      </c>
      <c r="B14449" t="str">
        <f>T("   AUTRES")</f>
        <v xml:space="preserve">   AUTRES</v>
      </c>
      <c r="C14449" s="4">
        <v>50119</v>
      </c>
      <c r="D14449" s="4">
        <v>1885955252</v>
      </c>
    </row>
    <row r="14450" spans="1:4" x14ac:dyDescent="0.25">
      <c r="A14450" t="str">
        <f>T("   903090")</f>
        <v xml:space="preserve">   903090</v>
      </c>
      <c r="B14450" t="str">
        <f>T("   PARTIES ET ACCESSOIRES")</f>
        <v xml:space="preserve">   PARTIES ET ACCESSOIRES</v>
      </c>
      <c r="C14450" s="4">
        <v>1</v>
      </c>
      <c r="D14450" s="4">
        <v>709642</v>
      </c>
    </row>
    <row r="14451" spans="1:4" x14ac:dyDescent="0.25">
      <c r="A14451" t="str">
        <f>T("   903149")</f>
        <v xml:space="preserve">   903149</v>
      </c>
      <c r="B14451" t="str">
        <f>T("   AUTRES")</f>
        <v xml:space="preserve">   AUTRES</v>
      </c>
      <c r="C14451" s="4">
        <v>1945</v>
      </c>
      <c r="D14451" s="4">
        <v>124843044</v>
      </c>
    </row>
    <row r="14452" spans="1:4" x14ac:dyDescent="0.25">
      <c r="A14452" t="str">
        <f>T("   903180")</f>
        <v xml:space="preserve">   903180</v>
      </c>
      <c r="B14452" t="str">
        <f>T("   AUTRES INSTRUMENTS, APPAREILS ET MACHINES")</f>
        <v xml:space="preserve">   AUTRES INSTRUMENTS, APPAREILS ET MACHINES</v>
      </c>
      <c r="C14452" s="4">
        <v>7143.8</v>
      </c>
      <c r="D14452" s="4">
        <v>231214257</v>
      </c>
    </row>
    <row r="14453" spans="1:4" x14ac:dyDescent="0.25">
      <c r="A14453" t="str">
        <f>T("   903190")</f>
        <v xml:space="preserve">   903190</v>
      </c>
      <c r="B14453" t="str">
        <f>T("   PARTIES ET ACCESSOIRES")</f>
        <v xml:space="preserve">   PARTIES ET ACCESSOIRES</v>
      </c>
      <c r="C14453" s="4">
        <v>162</v>
      </c>
      <c r="D14453" s="4">
        <v>38854685</v>
      </c>
    </row>
    <row r="14454" spans="1:4" x14ac:dyDescent="0.25">
      <c r="A14454" t="str">
        <f>T("   903210")</f>
        <v xml:space="preserve">   903210</v>
      </c>
      <c r="B14454" t="str">
        <f>T("   THERMOSTATS")</f>
        <v xml:space="preserve">   THERMOSTATS</v>
      </c>
      <c r="C14454" s="4">
        <v>328.5</v>
      </c>
      <c r="D14454" s="4">
        <v>6491097</v>
      </c>
    </row>
    <row r="14455" spans="1:4" x14ac:dyDescent="0.25">
      <c r="A14455" t="str">
        <f>T("   903220")</f>
        <v xml:space="preserve">   903220</v>
      </c>
      <c r="B14455" t="str">
        <f>T("   MANOSTATS (PRESSOSTATS)")</f>
        <v xml:space="preserve">   MANOSTATS (PRESSOSTATS)</v>
      </c>
      <c r="C14455" s="4">
        <v>78.5</v>
      </c>
      <c r="D14455" s="4">
        <v>11156616</v>
      </c>
    </row>
    <row r="14456" spans="1:4" x14ac:dyDescent="0.25">
      <c r="A14456" t="str">
        <f>T("   903281")</f>
        <v xml:space="preserve">   903281</v>
      </c>
      <c r="B14456" t="str">
        <f>T("   HYDRAULIQUES OU PNEUMATIQUES")</f>
        <v xml:space="preserve">   HYDRAULIQUES OU PNEUMATIQUES</v>
      </c>
      <c r="C14456" s="4">
        <v>345.7</v>
      </c>
      <c r="D14456" s="4">
        <v>22296418</v>
      </c>
    </row>
    <row r="14457" spans="1:4" x14ac:dyDescent="0.25">
      <c r="A14457" t="str">
        <f>T("   903289")</f>
        <v xml:space="preserve">   903289</v>
      </c>
      <c r="B14457" t="str">
        <f>T("   AUTRES")</f>
        <v xml:space="preserve">   AUTRES</v>
      </c>
      <c r="C14457" s="4">
        <v>115547.14</v>
      </c>
      <c r="D14457" s="4">
        <v>255036801</v>
      </c>
    </row>
    <row r="14458" spans="1:4" x14ac:dyDescent="0.25">
      <c r="A14458" t="str">
        <f>T("   903290")</f>
        <v xml:space="preserve">   903290</v>
      </c>
      <c r="B14458" t="str">
        <f>T("   PARTIES ET ACCESSOIRES")</f>
        <v xml:space="preserve">   PARTIES ET ACCESSOIRES</v>
      </c>
      <c r="C14458" s="4">
        <v>3427.48</v>
      </c>
      <c r="D14458" s="4">
        <v>14028633</v>
      </c>
    </row>
    <row r="14459" spans="1:4" x14ac:dyDescent="0.25">
      <c r="A14459" t="str">
        <f>T("   903300")</f>
        <v xml:space="preserve">   903300</v>
      </c>
      <c r="B14459" t="str">
        <f>T("   PARTIES ET ACCESSOIRES NON DENOMMES NI COMPRIS AILLEURS DANS LE PRESENT CHAPITRE, POUR")</f>
        <v xml:space="preserve">   PARTIES ET ACCESSOIRES NON DENOMMES NI COMPRIS AILLEURS DANS LE PRESENT CHAPITRE, POUR</v>
      </c>
      <c r="C14459" s="4">
        <v>83.2</v>
      </c>
      <c r="D14459" s="4">
        <v>21007534</v>
      </c>
    </row>
    <row r="14460" spans="1:4" x14ac:dyDescent="0.25">
      <c r="A14460" t="str">
        <f>T("   910121")</f>
        <v xml:space="preserve">   910121</v>
      </c>
      <c r="B14460" t="str">
        <f>T("   A REMONTAGE AUTOMATIQUE")</f>
        <v xml:space="preserve">   A REMONTAGE AUTOMATIQUE</v>
      </c>
      <c r="C14460" s="4">
        <v>27</v>
      </c>
      <c r="D14460" s="4">
        <v>2735353</v>
      </c>
    </row>
    <row r="14461" spans="1:4" x14ac:dyDescent="0.25">
      <c r="A14461" t="str">
        <f>T("   910129")</f>
        <v xml:space="preserve">   910129</v>
      </c>
      <c r="B14461" t="str">
        <f>T("   AUTRES")</f>
        <v xml:space="preserve">   AUTRES</v>
      </c>
      <c r="C14461" s="4">
        <v>58.5</v>
      </c>
      <c r="D14461" s="4">
        <v>1545753</v>
      </c>
    </row>
    <row r="14462" spans="1:4" x14ac:dyDescent="0.25">
      <c r="A14462" t="str">
        <f>T("   910199")</f>
        <v xml:space="preserve">   910199</v>
      </c>
      <c r="B14462" t="str">
        <f>T("   AUTRES")</f>
        <v xml:space="preserve">   AUTRES</v>
      </c>
      <c r="C14462" s="4">
        <v>2700</v>
      </c>
      <c r="D14462" s="4">
        <v>890000</v>
      </c>
    </row>
    <row r="14463" spans="1:4" x14ac:dyDescent="0.25">
      <c r="A14463" t="str">
        <f>T("   910212")</f>
        <v xml:space="preserve">   910212</v>
      </c>
      <c r="B14463" t="str">
        <f>T("   A AFFICHAGE OPTOELECTRONIQUE SEULEMENT")</f>
        <v xml:space="preserve">   A AFFICHAGE OPTOELECTRONIQUE SEULEMENT</v>
      </c>
      <c r="C14463" s="4">
        <v>675</v>
      </c>
      <c r="D14463" s="4">
        <v>972776</v>
      </c>
    </row>
    <row r="14464" spans="1:4" x14ac:dyDescent="0.25">
      <c r="A14464" t="str">
        <f>T("   910229")</f>
        <v xml:space="preserve">   910229</v>
      </c>
      <c r="B14464" t="str">
        <f>T("   AUTRES")</f>
        <v xml:space="preserve">   AUTRES</v>
      </c>
      <c r="C14464" s="4">
        <v>1278.5</v>
      </c>
      <c r="D14464" s="4">
        <v>3770334</v>
      </c>
    </row>
    <row r="14465" spans="1:4" x14ac:dyDescent="0.25">
      <c r="A14465" t="str">
        <f>T("   910299")</f>
        <v xml:space="preserve">   910299</v>
      </c>
      <c r="B14465" t="str">
        <f>T("   AUTRES")</f>
        <v xml:space="preserve">   AUTRES</v>
      </c>
      <c r="C14465" s="4">
        <v>1</v>
      </c>
      <c r="D14465" s="4">
        <v>586003</v>
      </c>
    </row>
    <row r="14466" spans="1:4" x14ac:dyDescent="0.25">
      <c r="A14466" t="str">
        <f>T("   910310")</f>
        <v xml:space="preserve">   910310</v>
      </c>
      <c r="B14466" t="str">
        <f>T("   FONCTIONNANT ELECTRIQUEMENT")</f>
        <v xml:space="preserve">   FONCTIONNANT ELECTRIQUEMENT</v>
      </c>
      <c r="C14466" s="4">
        <v>100</v>
      </c>
      <c r="D14466" s="4">
        <v>45000</v>
      </c>
    </row>
    <row r="14467" spans="1:4" x14ac:dyDescent="0.25">
      <c r="A14467" t="str">
        <f>T("   910390")</f>
        <v xml:space="preserve">   910390</v>
      </c>
      <c r="B14467" t="str">
        <f>T("   AUTRES")</f>
        <v xml:space="preserve">   AUTRES</v>
      </c>
      <c r="C14467" s="4">
        <v>3319</v>
      </c>
      <c r="D14467" s="4">
        <v>629007</v>
      </c>
    </row>
    <row r="14468" spans="1:4" x14ac:dyDescent="0.25">
      <c r="A14468" t="str">
        <f>T("   910521")</f>
        <v xml:space="preserve">   910521</v>
      </c>
      <c r="B14468" t="str">
        <f>T("   FONCTIONNANT ELECTRIQUEMENT")</f>
        <v xml:space="preserve">   FONCTIONNANT ELECTRIQUEMENT</v>
      </c>
      <c r="C14468" s="4">
        <v>5960</v>
      </c>
      <c r="D14468" s="4">
        <v>4506250</v>
      </c>
    </row>
    <row r="14469" spans="1:4" x14ac:dyDescent="0.25">
      <c r="A14469" t="str">
        <f>T("   910529")</f>
        <v xml:space="preserve">   910529</v>
      </c>
      <c r="B14469" t="str">
        <f>T("   AUTRES")</f>
        <v xml:space="preserve">   AUTRES</v>
      </c>
      <c r="C14469" s="4">
        <v>3887</v>
      </c>
      <c r="D14469" s="4">
        <v>5774837</v>
      </c>
    </row>
    <row r="14470" spans="1:4" x14ac:dyDescent="0.25">
      <c r="A14470" t="str">
        <f>T("   910599")</f>
        <v xml:space="preserve">   910599</v>
      </c>
      <c r="B14470" t="str">
        <f>T("   AUTRES")</f>
        <v xml:space="preserve">   AUTRES</v>
      </c>
      <c r="C14470" s="4">
        <v>218</v>
      </c>
      <c r="D14470" s="4">
        <v>303709</v>
      </c>
    </row>
    <row r="14471" spans="1:4" x14ac:dyDescent="0.25">
      <c r="A14471" t="str">
        <f>T("   910610")</f>
        <v xml:space="preserve">   910610</v>
      </c>
      <c r="B14471" t="str">
        <f>T("   HORLOGES DE POINTAGE; HORODATEURS ET HOROCOMPTEURS")</f>
        <v xml:space="preserve">   HORLOGES DE POINTAGE; HORODATEURS ET HOROCOMPTEURS</v>
      </c>
      <c r="C14471" s="4">
        <v>77</v>
      </c>
      <c r="D14471" s="4">
        <v>1550027</v>
      </c>
    </row>
    <row r="14472" spans="1:4" x14ac:dyDescent="0.25">
      <c r="A14472" t="str">
        <f>T("   910690")</f>
        <v xml:space="preserve">   910690</v>
      </c>
      <c r="B14472" t="str">
        <f>T("   AUTRES")</f>
        <v xml:space="preserve">   AUTRES</v>
      </c>
      <c r="C14472" s="4">
        <v>108</v>
      </c>
      <c r="D14472" s="4">
        <v>2326125</v>
      </c>
    </row>
    <row r="14473" spans="1:4" x14ac:dyDescent="0.25">
      <c r="A14473" t="str">
        <f>T("   910700")</f>
        <v xml:space="preserve">   910700</v>
      </c>
      <c r="B14473" t="str">
        <f>T("   INTERRUPTEURS HORAIRES ET AUTRES APPAREILS PERMETTANT DE DECLENCHER UN MECANISME A TEMP")</f>
        <v xml:space="preserve">   INTERRUPTEURS HORAIRES ET AUTRES APPAREILS PERMETTANT DE DECLENCHER UN MECANISME A TEMP</v>
      </c>
      <c r="C14473" s="4">
        <v>4</v>
      </c>
      <c r="D14473" s="4">
        <v>285343</v>
      </c>
    </row>
    <row r="14474" spans="1:4" x14ac:dyDescent="0.25">
      <c r="A14474" t="str">
        <f>T("   911390")</f>
        <v xml:space="preserve">   911390</v>
      </c>
      <c r="B14474" t="str">
        <f>T("   AUTRES")</f>
        <v xml:space="preserve">   AUTRES</v>
      </c>
      <c r="C14474" s="4">
        <v>37</v>
      </c>
      <c r="D14474" s="4">
        <v>248268</v>
      </c>
    </row>
    <row r="14475" spans="1:4" x14ac:dyDescent="0.25">
      <c r="A14475" t="str">
        <f>T("   920590")</f>
        <v xml:space="preserve">   920590</v>
      </c>
      <c r="B14475" t="str">
        <f>T("   AUTRES")</f>
        <v xml:space="preserve">   AUTRES</v>
      </c>
      <c r="C14475" s="4">
        <v>962</v>
      </c>
      <c r="D14475" s="4">
        <v>2659262</v>
      </c>
    </row>
    <row r="14476" spans="1:4" x14ac:dyDescent="0.25">
      <c r="A14476" t="str">
        <f>T("   920600")</f>
        <v xml:space="preserve">   920600</v>
      </c>
      <c r="B14476" t="str">
        <f>T("   INSTRUMENTS DE MUSIQUE A PERCUSSION (TAMBOURS, CAISSES, XYLOPHONES, CYMBALES, CASTAGNET")</f>
        <v xml:space="preserve">   INSTRUMENTS DE MUSIQUE A PERCUSSION (TAMBOURS, CAISSES, XYLOPHONES, CYMBALES, CASTAGNET</v>
      </c>
      <c r="C14476" s="4">
        <v>389</v>
      </c>
      <c r="D14476" s="4">
        <v>165185</v>
      </c>
    </row>
    <row r="14477" spans="1:4" x14ac:dyDescent="0.25">
      <c r="A14477" t="str">
        <f>T("   920710")</f>
        <v xml:space="preserve">   920710</v>
      </c>
      <c r="B14477" t="str">
        <f>T("   INSTRUMENTS A CLAVIER, AUTRES QUE LES ACCORDEONS")</f>
        <v xml:space="preserve">   INSTRUMENTS A CLAVIER, AUTRES QUE LES ACCORDEONS</v>
      </c>
      <c r="C14477" s="4">
        <v>246</v>
      </c>
      <c r="D14477" s="4">
        <v>1012649</v>
      </c>
    </row>
    <row r="14478" spans="1:4" x14ac:dyDescent="0.25">
      <c r="A14478" t="str">
        <f>T("   920790")</f>
        <v xml:space="preserve">   920790</v>
      </c>
      <c r="B14478" t="str">
        <f>T("   AUTRES")</f>
        <v xml:space="preserve">   AUTRES</v>
      </c>
      <c r="C14478" s="4">
        <v>10341</v>
      </c>
      <c r="D14478" s="4">
        <v>7216350</v>
      </c>
    </row>
    <row r="14479" spans="1:4" x14ac:dyDescent="0.25">
      <c r="A14479" t="str">
        <f>T("   920890")</f>
        <v xml:space="preserve">   920890</v>
      </c>
      <c r="B14479" t="str">
        <f>T("   AUTRES")</f>
        <v xml:space="preserve">   AUTRES</v>
      </c>
      <c r="C14479" s="4">
        <v>6219</v>
      </c>
      <c r="D14479" s="4">
        <v>1870615</v>
      </c>
    </row>
    <row r="14480" spans="1:4" x14ac:dyDescent="0.25">
      <c r="A14480" t="str">
        <f>T("   920999")</f>
        <v xml:space="preserve">   920999</v>
      </c>
      <c r="B14480" t="str">
        <f>T("   AUTRES")</f>
        <v xml:space="preserve">   AUTRES</v>
      </c>
      <c r="C14480" s="4">
        <v>5000</v>
      </c>
      <c r="D14480" s="4">
        <v>15354501</v>
      </c>
    </row>
    <row r="14481" spans="1:4" x14ac:dyDescent="0.25">
      <c r="A14481" t="str">
        <f>T("   930100")</f>
        <v xml:space="preserve">   930100</v>
      </c>
      <c r="B14481" t="str">
        <f>T("   ARMES DE GUERRE AUTRES QUE LES REVOLVERS; PISTOLETS ET ARMES BLANCHES")</f>
        <v xml:space="preserve">   ARMES DE GUERRE AUTRES QUE LES REVOLVERS; PISTOLETS ET ARMES BLANCHES</v>
      </c>
      <c r="C14481" s="4">
        <v>69</v>
      </c>
      <c r="D14481" s="4">
        <v>197405</v>
      </c>
    </row>
    <row r="14482" spans="1:4" x14ac:dyDescent="0.25">
      <c r="A14482" t="str">
        <f>T("   930390")</f>
        <v xml:space="preserve">   930390</v>
      </c>
      <c r="B14482" t="str">
        <f>T("   AUTRES")</f>
        <v xml:space="preserve">   AUTRES</v>
      </c>
      <c r="C14482" s="4">
        <v>6.7</v>
      </c>
      <c r="D14482" s="4">
        <v>798303</v>
      </c>
    </row>
    <row r="14483" spans="1:4" x14ac:dyDescent="0.25">
      <c r="A14483" t="str">
        <f>T("   930591")</f>
        <v xml:space="preserve">   930591</v>
      </c>
      <c r="B14483" t="str">
        <f>T("   DES ARMES DE GUERRE DU N° 93.01")</f>
        <v xml:space="preserve">   DES ARMES DE GUERRE DU N° 93.01</v>
      </c>
      <c r="C14483" s="4">
        <v>2</v>
      </c>
      <c r="D14483" s="4">
        <v>989490</v>
      </c>
    </row>
    <row r="14484" spans="1:4" x14ac:dyDescent="0.25">
      <c r="A14484" t="str">
        <f>T("   940110")</f>
        <v xml:space="preserve">   940110</v>
      </c>
      <c r="B14484" t="str">
        <f>T("   SIEGES DES TYPES UTILISES POUR VEHICULES AERIENS")</f>
        <v xml:space="preserve">   SIEGES DES TYPES UTILISES POUR VEHICULES AERIENS</v>
      </c>
      <c r="C14484" s="4">
        <v>1560</v>
      </c>
      <c r="D14484" s="4">
        <v>11590158</v>
      </c>
    </row>
    <row r="14485" spans="1:4" x14ac:dyDescent="0.25">
      <c r="A14485" t="str">
        <f>T("   940120")</f>
        <v xml:space="preserve">   940120</v>
      </c>
      <c r="B14485" t="str">
        <f>T("   SIEGES DES TYPES UTILISES POUR VEHICULES AUTOMOBILES")</f>
        <v xml:space="preserve">   SIEGES DES TYPES UTILISES POUR VEHICULES AUTOMOBILES</v>
      </c>
      <c r="C14485" s="4">
        <v>326</v>
      </c>
      <c r="D14485" s="4">
        <v>5080434</v>
      </c>
    </row>
    <row r="14486" spans="1:4" x14ac:dyDescent="0.25">
      <c r="A14486" t="str">
        <f>T("   940130")</f>
        <v xml:space="preserve">   940130</v>
      </c>
      <c r="B14486" t="str">
        <f>T("   SIEGES PIVOTANTS, AJUSTABLES EN HAUTEUR")</f>
        <v xml:space="preserve">   SIEGES PIVOTANTS, AJUSTABLES EN HAUTEUR</v>
      </c>
      <c r="C14486" s="4">
        <v>88028</v>
      </c>
      <c r="D14486" s="4">
        <v>88802548</v>
      </c>
    </row>
    <row r="14487" spans="1:4" x14ac:dyDescent="0.25">
      <c r="A14487" t="str">
        <f>T("   940140")</f>
        <v xml:space="preserve">   940140</v>
      </c>
      <c r="B14487" t="str">
        <f>T("   SIEGES AUTRES QUE LE MATERIEL DE CAMPING OU DE JARDIN, TRANSFORMABLES EN LITS")</f>
        <v xml:space="preserve">   SIEGES AUTRES QUE LE MATERIEL DE CAMPING OU DE JARDIN, TRANSFORMABLES EN LITS</v>
      </c>
      <c r="C14487" s="4">
        <v>5300</v>
      </c>
      <c r="D14487" s="4">
        <v>2512384</v>
      </c>
    </row>
    <row r="14488" spans="1:4" x14ac:dyDescent="0.25">
      <c r="A14488" t="str">
        <f>T("   940159")</f>
        <v xml:space="preserve">   940159</v>
      </c>
      <c r="B14488" t="str">
        <f>T("   AUTRES")</f>
        <v xml:space="preserve">   AUTRES</v>
      </c>
      <c r="C14488" s="4">
        <v>278802</v>
      </c>
      <c r="D14488" s="4">
        <v>193188130</v>
      </c>
    </row>
    <row r="14489" spans="1:4" x14ac:dyDescent="0.25">
      <c r="A14489" t="str">
        <f>T("   940161")</f>
        <v xml:space="preserve">   940161</v>
      </c>
      <c r="B14489" t="str">
        <f>T("   REMBOURRES")</f>
        <v xml:space="preserve">   REMBOURRES</v>
      </c>
      <c r="C14489" s="4">
        <v>127822</v>
      </c>
      <c r="D14489" s="4">
        <v>171193182</v>
      </c>
    </row>
    <row r="14490" spans="1:4" x14ac:dyDescent="0.25">
      <c r="A14490" t="str">
        <f>T("   940169")</f>
        <v xml:space="preserve">   940169</v>
      </c>
      <c r="B14490" t="str">
        <f>T("   AUTRES")</f>
        <v xml:space="preserve">   AUTRES</v>
      </c>
      <c r="C14490" s="4">
        <v>69516</v>
      </c>
      <c r="D14490" s="4">
        <v>76840682</v>
      </c>
    </row>
    <row r="14491" spans="1:4" x14ac:dyDescent="0.25">
      <c r="A14491" t="str">
        <f>T("   940171")</f>
        <v xml:space="preserve">   940171</v>
      </c>
      <c r="B14491" t="str">
        <f>T("   REMBOURRES")</f>
        <v xml:space="preserve">   REMBOURRES</v>
      </c>
      <c r="C14491" s="4">
        <v>1115</v>
      </c>
      <c r="D14491" s="4">
        <v>1773926</v>
      </c>
    </row>
    <row r="14492" spans="1:4" x14ac:dyDescent="0.25">
      <c r="A14492" t="str">
        <f>T("   940179")</f>
        <v xml:space="preserve">   940179</v>
      </c>
      <c r="B14492" t="str">
        <f>T("   AUTRES")</f>
        <v xml:space="preserve">   AUTRES</v>
      </c>
      <c r="C14492" s="4">
        <v>83536</v>
      </c>
      <c r="D14492" s="4">
        <v>83822092</v>
      </c>
    </row>
    <row r="14493" spans="1:4" x14ac:dyDescent="0.25">
      <c r="A14493" t="str">
        <f>T("   940180")</f>
        <v xml:space="preserve">   940180</v>
      </c>
      <c r="B14493" t="str">
        <f>T("   AUTRES SIEGES")</f>
        <v xml:space="preserve">   AUTRES SIEGES</v>
      </c>
      <c r="C14493" s="4">
        <v>151903.4</v>
      </c>
      <c r="D14493" s="4">
        <v>87259188</v>
      </c>
    </row>
    <row r="14494" spans="1:4" x14ac:dyDescent="0.25">
      <c r="A14494" t="str">
        <f>T("   940190")</f>
        <v xml:space="preserve">   940190</v>
      </c>
      <c r="B14494" t="str">
        <f>T("   PARTIES")</f>
        <v xml:space="preserve">   PARTIES</v>
      </c>
      <c r="C14494" s="4">
        <v>5199</v>
      </c>
      <c r="D14494" s="4">
        <v>4494824</v>
      </c>
    </row>
    <row r="14495" spans="1:4" x14ac:dyDescent="0.25">
      <c r="A14495" t="str">
        <f>T("   940210")</f>
        <v xml:space="preserve">   940210</v>
      </c>
      <c r="B14495" t="str">
        <f>T("   FAUTEUILS DE DENTISTES, FAUTEUILS POUR SALONS DE COIFFURE ET FAUTEUILS SIMILAIRES, ET")</f>
        <v xml:space="preserve">   FAUTEUILS DE DENTISTES, FAUTEUILS POUR SALONS DE COIFFURE ET FAUTEUILS SIMILAIRES, ET</v>
      </c>
      <c r="C14495" s="4">
        <v>12745</v>
      </c>
      <c r="D14495" s="4">
        <v>13546191</v>
      </c>
    </row>
    <row r="14496" spans="1:4" x14ac:dyDescent="0.25">
      <c r="A14496" t="str">
        <f>T("   940290")</f>
        <v xml:space="preserve">   940290</v>
      </c>
      <c r="B14496" t="str">
        <f>T("   AUTRES")</f>
        <v xml:space="preserve">   AUTRES</v>
      </c>
      <c r="C14496" s="4">
        <v>112935</v>
      </c>
      <c r="D14496" s="4">
        <v>106926607</v>
      </c>
    </row>
    <row r="14497" spans="1:4" x14ac:dyDescent="0.25">
      <c r="A14497" t="str">
        <f>T("   940310")</f>
        <v xml:space="preserve">   940310</v>
      </c>
      <c r="B14497" t="str">
        <f>T("   MEUBLES EN METAL DES TYPES UTILISES DANS LES BUREAUX")</f>
        <v xml:space="preserve">   MEUBLES EN METAL DES TYPES UTILISES DANS LES BUREAUX</v>
      </c>
      <c r="C14497" s="4">
        <v>212345</v>
      </c>
      <c r="D14497" s="4">
        <v>132732142</v>
      </c>
    </row>
    <row r="14498" spans="1:4" x14ac:dyDescent="0.25">
      <c r="A14498" t="str">
        <f>T("   940320")</f>
        <v xml:space="preserve">   940320</v>
      </c>
      <c r="B14498" t="str">
        <f>T("   AUTRES MEUBLES EN METAL")</f>
        <v xml:space="preserve">   AUTRES MEUBLES EN METAL</v>
      </c>
      <c r="C14498" s="4">
        <v>278188.40000000002</v>
      </c>
      <c r="D14498" s="4">
        <v>116986364</v>
      </c>
    </row>
    <row r="14499" spans="1:4" x14ac:dyDescent="0.25">
      <c r="A14499" t="str">
        <f>T("   940330")</f>
        <v xml:space="preserve">   940330</v>
      </c>
      <c r="B14499" t="str">
        <f>T("   MEUBLES EN BOIS DES TYPES UTILISES DANS LES BUREAUX")</f>
        <v xml:space="preserve">   MEUBLES EN BOIS DES TYPES UTILISES DANS LES BUREAUX</v>
      </c>
      <c r="C14499" s="4">
        <v>445494</v>
      </c>
      <c r="D14499" s="4">
        <v>259755688</v>
      </c>
    </row>
    <row r="14500" spans="1:4" x14ac:dyDescent="0.25">
      <c r="A14500" t="str">
        <f>T("   940340")</f>
        <v xml:space="preserve">   940340</v>
      </c>
      <c r="B14500" t="str">
        <f>T("   MEUBLES EN BOIS DES TYPES UTILISES DANS LES CUISINES")</f>
        <v xml:space="preserve">   MEUBLES EN BOIS DES TYPES UTILISES DANS LES CUISINES</v>
      </c>
      <c r="C14500" s="4">
        <v>29502</v>
      </c>
      <c r="D14500" s="4">
        <v>25537537</v>
      </c>
    </row>
    <row r="14501" spans="1:4" x14ac:dyDescent="0.25">
      <c r="A14501" t="str">
        <f>T("   940350")</f>
        <v xml:space="preserve">   940350</v>
      </c>
      <c r="B14501" t="str">
        <f>T("   MEUBLES EN BOIS DES TYPES UTILISES DANS LES CHAMBRES A COUCHER")</f>
        <v xml:space="preserve">   MEUBLES EN BOIS DES TYPES UTILISES DANS LES CHAMBRES A COUCHER</v>
      </c>
      <c r="C14501" s="4">
        <v>425040.2</v>
      </c>
      <c r="D14501" s="4">
        <v>248861805</v>
      </c>
    </row>
    <row r="14502" spans="1:4" x14ac:dyDescent="0.25">
      <c r="A14502" t="str">
        <f>T("   940360")</f>
        <v xml:space="preserve">   940360</v>
      </c>
      <c r="B14502" t="str">
        <f>T("   Autres meubles en bois")</f>
        <v xml:space="preserve">   Autres meubles en bois</v>
      </c>
      <c r="C14502" s="4">
        <v>2049131.66</v>
      </c>
      <c r="D14502" s="4">
        <v>1058405610</v>
      </c>
    </row>
    <row r="14503" spans="1:4" x14ac:dyDescent="0.25">
      <c r="A14503" t="str">
        <f>T("   940370")</f>
        <v xml:space="preserve">   940370</v>
      </c>
      <c r="B14503" t="str">
        <f>T("   MEUBLES EN MATIERES PLASTIQUES")</f>
        <v xml:space="preserve">   MEUBLES EN MATIERES PLASTIQUES</v>
      </c>
      <c r="C14503" s="4">
        <v>198852</v>
      </c>
      <c r="D14503" s="4">
        <v>142682063</v>
      </c>
    </row>
    <row r="14504" spans="1:4" x14ac:dyDescent="0.25">
      <c r="A14504" t="str">
        <f>T("   940380")</f>
        <v xml:space="preserve">   940380</v>
      </c>
      <c r="B14504" t="str">
        <f>T("   MEUBLES EN AUTRES MATIERES,Y.C. ROTIN,OSIER,BAMBOU ET SIMILAIRES")</f>
        <v xml:space="preserve">   MEUBLES EN AUTRES MATIERES,Y.C. ROTIN,OSIER,BAMBOU ET SIMILAIRES</v>
      </c>
      <c r="C14504" s="4">
        <v>100</v>
      </c>
      <c r="D14504" s="4">
        <v>90000</v>
      </c>
    </row>
    <row r="14505" spans="1:4" x14ac:dyDescent="0.25">
      <c r="A14505" t="str">
        <f>T("   940381")</f>
        <v xml:space="preserve">   940381</v>
      </c>
      <c r="B14505" t="str">
        <f>T("   EN BAMBOU OU EN ROTIN")</f>
        <v xml:space="preserve">   EN BAMBOU OU EN ROTIN</v>
      </c>
      <c r="C14505" s="4">
        <v>8188</v>
      </c>
      <c r="D14505" s="4">
        <v>6592331</v>
      </c>
    </row>
    <row r="14506" spans="1:4" x14ac:dyDescent="0.25">
      <c r="A14506" t="str">
        <f>T("   940389")</f>
        <v xml:space="preserve">   940389</v>
      </c>
      <c r="B14506" t="str">
        <f>T("   AUTRES")</f>
        <v xml:space="preserve">   AUTRES</v>
      </c>
      <c r="C14506" s="4">
        <v>1820761</v>
      </c>
      <c r="D14506" s="4">
        <v>837893698</v>
      </c>
    </row>
    <row r="14507" spans="1:4" x14ac:dyDescent="0.25">
      <c r="A14507" t="str">
        <f>T("   940390")</f>
        <v xml:space="preserve">   940390</v>
      </c>
      <c r="B14507" t="str">
        <f>T("   PARTIES")</f>
        <v xml:space="preserve">   PARTIES</v>
      </c>
      <c r="C14507" s="4">
        <v>69595</v>
      </c>
      <c r="D14507" s="4">
        <v>83823660</v>
      </c>
    </row>
    <row r="14508" spans="1:4" x14ac:dyDescent="0.25">
      <c r="A14508" t="str">
        <f>T("   940410")</f>
        <v xml:space="preserve">   940410</v>
      </c>
      <c r="B14508" t="str">
        <f>T("   Sommiers")</f>
        <v xml:space="preserve">   Sommiers</v>
      </c>
      <c r="C14508" s="4">
        <v>16865</v>
      </c>
      <c r="D14508" s="4">
        <v>7546547</v>
      </c>
    </row>
    <row r="14509" spans="1:4" x14ac:dyDescent="0.25">
      <c r="A14509" t="str">
        <f>T("   940421")</f>
        <v xml:space="preserve">   940421</v>
      </c>
      <c r="B14509" t="str">
        <f>T("   EN CAOUTCHOUC ALVEOLAIRE OU EN MATIERES PLASTIQUES ALVEOLAIRES, RECOUVERTS OU NON")</f>
        <v xml:space="preserve">   EN CAOUTCHOUC ALVEOLAIRE OU EN MATIERES PLASTIQUES ALVEOLAIRES, RECOUVERTS OU NON</v>
      </c>
      <c r="C14509" s="4">
        <v>45293</v>
      </c>
      <c r="D14509" s="4">
        <v>48146086</v>
      </c>
    </row>
    <row r="14510" spans="1:4" x14ac:dyDescent="0.25">
      <c r="A14510" t="str">
        <f>T("   940429")</f>
        <v xml:space="preserve">   940429</v>
      </c>
      <c r="B14510" t="str">
        <f>T("   EN AUTRES MATIERES")</f>
        <v xml:space="preserve">   EN AUTRES MATIERES</v>
      </c>
      <c r="C14510" s="4">
        <v>116361</v>
      </c>
      <c r="D14510" s="4">
        <v>61788480</v>
      </c>
    </row>
    <row r="14511" spans="1:4" x14ac:dyDescent="0.25">
      <c r="A14511" t="str">
        <f>T("   940490")</f>
        <v xml:space="preserve">   940490</v>
      </c>
      <c r="B14511" t="str">
        <f>T("   AUTRES")</f>
        <v xml:space="preserve">   AUTRES</v>
      </c>
      <c r="C14511" s="4">
        <v>165744.22</v>
      </c>
      <c r="D14511" s="4">
        <v>103210658</v>
      </c>
    </row>
    <row r="14512" spans="1:4" x14ac:dyDescent="0.25">
      <c r="A14512" t="str">
        <f>T("   940510")</f>
        <v xml:space="preserve">   940510</v>
      </c>
      <c r="B14512" t="str">
        <f>T("   LUSTRES ET AUTRES APPAREILS D'ECLAIRAGE ELECTRIQUES A SUSPENDRE OU A FIXER AU PLAFOND")</f>
        <v xml:space="preserve">   LUSTRES ET AUTRES APPAREILS D'ECLAIRAGE ELECTRIQUES A SUSPENDRE OU A FIXER AU PLAFOND</v>
      </c>
      <c r="C14512" s="4">
        <v>60485</v>
      </c>
      <c r="D14512" s="4">
        <v>109972748</v>
      </c>
    </row>
    <row r="14513" spans="1:4" x14ac:dyDescent="0.25">
      <c r="A14513" t="str">
        <f>T("   940520")</f>
        <v xml:space="preserve">   940520</v>
      </c>
      <c r="B14513" t="str">
        <f>T("   LAMPES DE CHEVET, LAMPES DE BUREAU ET LAMPADAIRES D'INTERIEUR, ELECTRIQUES")</f>
        <v xml:space="preserve">   LAMPES DE CHEVET, LAMPES DE BUREAU ET LAMPADAIRES D'INTERIEUR, ELECTRIQUES</v>
      </c>
      <c r="C14513" s="4">
        <v>10472.85</v>
      </c>
      <c r="D14513" s="4">
        <v>24356454</v>
      </c>
    </row>
    <row r="14514" spans="1:4" x14ac:dyDescent="0.25">
      <c r="A14514" t="str">
        <f>T("   940530")</f>
        <v xml:space="preserve">   940530</v>
      </c>
      <c r="B14514" t="str">
        <f>T("   GUIRLANDES ELECTRIQUES DES TYPES UTILISES POUR LES ARBRES DE NOëL")</f>
        <v xml:space="preserve">   GUIRLANDES ELECTRIQUES DES TYPES UTILISES POUR LES ARBRES DE NOëL</v>
      </c>
      <c r="C14514" s="4">
        <v>36006</v>
      </c>
      <c r="D14514" s="4">
        <v>11353987</v>
      </c>
    </row>
    <row r="14515" spans="1:4" x14ac:dyDescent="0.25">
      <c r="A14515" t="str">
        <f>T("   940540")</f>
        <v xml:space="preserve">   940540</v>
      </c>
      <c r="B14515" t="str">
        <f>T("   AUTRES APPAREILS D'ECLAIRAGE ELECTRIQUES")</f>
        <v xml:space="preserve">   AUTRES APPAREILS D'ECLAIRAGE ELECTRIQUES</v>
      </c>
      <c r="C14515" s="4">
        <v>202972.52</v>
      </c>
      <c r="D14515" s="4">
        <v>210536221</v>
      </c>
    </row>
    <row r="14516" spans="1:4" x14ac:dyDescent="0.25">
      <c r="A14516" t="str">
        <f>T("   940550")</f>
        <v xml:space="preserve">   940550</v>
      </c>
      <c r="B14516" t="str">
        <f>T("   APPAREILS D'ECLAIRAGE NON ELECTRIQUES")</f>
        <v xml:space="preserve">   APPAREILS D'ECLAIRAGE NON ELECTRIQUES</v>
      </c>
      <c r="C14516" s="4">
        <v>11619</v>
      </c>
      <c r="D14516" s="4">
        <v>7868180</v>
      </c>
    </row>
    <row r="14517" spans="1:4" x14ac:dyDescent="0.25">
      <c r="A14517" t="str">
        <f>T("   940560")</f>
        <v xml:space="preserve">   940560</v>
      </c>
      <c r="B14517" t="str">
        <f>T("   LAMPESRECLAMES, ENSEIGNES LUMINEUSES, PLAQUES INDICATRICES LUMINEUSES ET ARTICLES SI")</f>
        <v xml:space="preserve">   LAMPESRECLAMES, ENSEIGNES LUMINEUSES, PLAQUES INDICATRICES LUMINEUSES ET ARTICLES SI</v>
      </c>
      <c r="C14517" s="4">
        <v>2929.08</v>
      </c>
      <c r="D14517" s="4">
        <v>33507976</v>
      </c>
    </row>
    <row r="14518" spans="1:4" x14ac:dyDescent="0.25">
      <c r="A14518" t="str">
        <f>T("   940591")</f>
        <v xml:space="preserve">   940591</v>
      </c>
      <c r="B14518" t="str">
        <f>T("   EN VERRE")</f>
        <v xml:space="preserve">   EN VERRE</v>
      </c>
      <c r="C14518" s="4">
        <v>49794</v>
      </c>
      <c r="D14518" s="4">
        <v>62499155</v>
      </c>
    </row>
    <row r="14519" spans="1:4" x14ac:dyDescent="0.25">
      <c r="A14519" t="str">
        <f>T("   940592")</f>
        <v xml:space="preserve">   940592</v>
      </c>
      <c r="B14519" t="str">
        <f>T("   EN MATIERES PLASTIQUES")</f>
        <v xml:space="preserve">   EN MATIERES PLASTIQUES</v>
      </c>
      <c r="C14519" s="4">
        <v>3990.19</v>
      </c>
      <c r="D14519" s="4">
        <v>3924153</v>
      </c>
    </row>
    <row r="14520" spans="1:4" x14ac:dyDescent="0.25">
      <c r="A14520" t="str">
        <f>T("   940599")</f>
        <v xml:space="preserve">   940599</v>
      </c>
      <c r="B14520" t="str">
        <f>T("   AUTRES")</f>
        <v xml:space="preserve">   AUTRES</v>
      </c>
      <c r="C14520" s="4">
        <v>204</v>
      </c>
      <c r="D14520" s="4">
        <v>1078861</v>
      </c>
    </row>
    <row r="14521" spans="1:4" x14ac:dyDescent="0.25">
      <c r="A14521" t="str">
        <f>T("   940600")</f>
        <v xml:space="preserve">   940600</v>
      </c>
      <c r="B14521" t="str">
        <f>T("   CONSTRUCTIONS PREFABRIQUEES.")</f>
        <v xml:space="preserve">   CONSTRUCTIONS PREFABRIQUEES.</v>
      </c>
      <c r="C14521" s="4">
        <v>1178912</v>
      </c>
      <c r="D14521" s="4">
        <v>849594062</v>
      </c>
    </row>
    <row r="14522" spans="1:4" x14ac:dyDescent="0.25">
      <c r="A14522" t="str">
        <f>T("   950300")</f>
        <v xml:space="preserve">   950300</v>
      </c>
      <c r="B14522" t="str">
        <f>T("   TRICYCLES, TROTTINETTES, AUTOS A PEDALES ET JOUETS A ROUES SIMILAIRES; LANDAUS ET POUSS")</f>
        <v xml:space="preserve">   TRICYCLES, TROTTINETTES, AUTOS A PEDALES ET JOUETS A ROUES SIMILAIRES; LANDAUS ET POUSS</v>
      </c>
      <c r="C14522" s="4">
        <v>327116</v>
      </c>
      <c r="D14522" s="4">
        <v>178656238</v>
      </c>
    </row>
    <row r="14523" spans="1:4" x14ac:dyDescent="0.25">
      <c r="A14523" t="str">
        <f>T("   950350")</f>
        <v xml:space="preserve">   950350</v>
      </c>
      <c r="B14523" t="str">
        <f>T("   INSTRUMENTS ET APPAREILS DE MUSIQUE-JOUETS")</f>
        <v xml:space="preserve">   INSTRUMENTS ET APPAREILS DE MUSIQUE-JOUETS</v>
      </c>
      <c r="C14523" s="4">
        <v>450</v>
      </c>
      <c r="D14523" s="4">
        <v>264243</v>
      </c>
    </row>
    <row r="14524" spans="1:4" x14ac:dyDescent="0.25">
      <c r="A14524" t="str">
        <f>T("   950390")</f>
        <v xml:space="preserve">   950390</v>
      </c>
      <c r="B14524" t="str">
        <f>T("   AUTRES JOUETS DU N 95.03")</f>
        <v xml:space="preserve">   AUTRES JOUETS DU N 95.03</v>
      </c>
      <c r="C14524" s="4">
        <v>2439</v>
      </c>
      <c r="D14524" s="4">
        <v>1666010</v>
      </c>
    </row>
    <row r="14525" spans="1:4" x14ac:dyDescent="0.25">
      <c r="A14525" t="str">
        <f>T("   950410")</f>
        <v xml:space="preserve">   950410</v>
      </c>
      <c r="B14525" t="str">
        <f>T("   JEUX VIDEO DES TYPES UTILISABLES AVEC UN RECEPTEUR DE TELEVISION")</f>
        <v xml:space="preserve">   JEUX VIDEO DES TYPES UTILISABLES AVEC UN RECEPTEUR DE TELEVISION</v>
      </c>
      <c r="C14525" s="4">
        <v>16733</v>
      </c>
      <c r="D14525" s="4">
        <v>26328861</v>
      </c>
    </row>
    <row r="14526" spans="1:4" x14ac:dyDescent="0.25">
      <c r="A14526" t="str">
        <f>T("   950420")</f>
        <v xml:space="preserve">   950420</v>
      </c>
      <c r="B14526" t="str">
        <f>T("   BILLARDS DE TOUT GENRE ET LEURS ACCESSOIRES")</f>
        <v xml:space="preserve">   BILLARDS DE TOUT GENRE ET LEURS ACCESSOIRES</v>
      </c>
      <c r="C14526" s="4">
        <v>250</v>
      </c>
      <c r="D14526" s="4">
        <v>350000</v>
      </c>
    </row>
    <row r="14527" spans="1:4" x14ac:dyDescent="0.25">
      <c r="A14527" t="str">
        <f>T("   950430")</f>
        <v xml:space="preserve">   950430</v>
      </c>
      <c r="B14527" t="str">
        <f>T("   AUTRES JEUX FONCTIONNANT PAR L'INTRODUCTION D'UNE PIECE DE MONNAIE, D'UN BILLET DE BA")</f>
        <v xml:space="preserve">   AUTRES JEUX FONCTIONNANT PAR L'INTRODUCTION D'UNE PIECE DE MONNAIE, D'UN BILLET DE BA</v>
      </c>
      <c r="C14527" s="4">
        <v>8088</v>
      </c>
      <c r="D14527" s="4">
        <v>66909378</v>
      </c>
    </row>
    <row r="14528" spans="1:4" x14ac:dyDescent="0.25">
      <c r="A14528" t="str">
        <f>T("   950440")</f>
        <v xml:space="preserve">   950440</v>
      </c>
      <c r="B14528" t="str">
        <f>T("   CARTES A JOUER")</f>
        <v xml:space="preserve">   CARTES A JOUER</v>
      </c>
      <c r="C14528" s="4">
        <v>40397</v>
      </c>
      <c r="D14528" s="4">
        <v>7396712</v>
      </c>
    </row>
    <row r="14529" spans="1:4" x14ac:dyDescent="0.25">
      <c r="A14529" t="str">
        <f>T("   950490")</f>
        <v xml:space="preserve">   950490</v>
      </c>
      <c r="B14529" t="str">
        <f>T("   AUTRES")</f>
        <v xml:space="preserve">   AUTRES</v>
      </c>
      <c r="C14529" s="4">
        <v>108129.48</v>
      </c>
      <c r="D14529" s="4">
        <v>263904396</v>
      </c>
    </row>
    <row r="14530" spans="1:4" x14ac:dyDescent="0.25">
      <c r="A14530" t="str">
        <f>T("   950510")</f>
        <v xml:space="preserve">   950510</v>
      </c>
      <c r="B14530" t="str">
        <f>T("   ARTICLES POUR FETES DE NOëL")</f>
        <v xml:space="preserve">   ARTICLES POUR FETES DE NOëL</v>
      </c>
      <c r="C14530" s="4">
        <v>81774</v>
      </c>
      <c r="D14530" s="4">
        <v>53175893</v>
      </c>
    </row>
    <row r="14531" spans="1:4" x14ac:dyDescent="0.25">
      <c r="A14531" t="str">
        <f>T("   950590")</f>
        <v xml:space="preserve">   950590</v>
      </c>
      <c r="B14531" t="str">
        <f>T("   AUTRES")</f>
        <v xml:space="preserve">   AUTRES</v>
      </c>
      <c r="C14531" s="4">
        <v>104175</v>
      </c>
      <c r="D14531" s="4">
        <v>83533945</v>
      </c>
    </row>
    <row r="14532" spans="1:4" x14ac:dyDescent="0.25">
      <c r="A14532" t="str">
        <f>T("   950619")</f>
        <v xml:space="preserve">   950619</v>
      </c>
      <c r="B14532" t="str">
        <f>T("   AUTRES")</f>
        <v xml:space="preserve">   AUTRES</v>
      </c>
      <c r="C14532" s="4">
        <v>2090</v>
      </c>
      <c r="D14532" s="4">
        <v>4852026</v>
      </c>
    </row>
    <row r="14533" spans="1:4" x14ac:dyDescent="0.25">
      <c r="A14533" t="str">
        <f>T("   950629")</f>
        <v xml:space="preserve">   950629</v>
      </c>
      <c r="B14533" t="str">
        <f>T("   AUTRES")</f>
        <v xml:space="preserve">   AUTRES</v>
      </c>
      <c r="C14533" s="4">
        <v>1826</v>
      </c>
      <c r="D14533" s="4">
        <v>1408541</v>
      </c>
    </row>
    <row r="14534" spans="1:4" x14ac:dyDescent="0.25">
      <c r="A14534" t="str">
        <f>T("   950640")</f>
        <v xml:space="preserve">   950640</v>
      </c>
      <c r="B14534" t="str">
        <f>T("   ARTICLES ET MATERIEL POUR LE TENNIS DE TABLE")</f>
        <v xml:space="preserve">   ARTICLES ET MATERIEL POUR LE TENNIS DE TABLE</v>
      </c>
      <c r="C14534" s="4">
        <v>323</v>
      </c>
      <c r="D14534" s="4">
        <v>756322</v>
      </c>
    </row>
    <row r="14535" spans="1:4" x14ac:dyDescent="0.25">
      <c r="A14535" t="str">
        <f>T("   950659")</f>
        <v xml:space="preserve">   950659</v>
      </c>
      <c r="B14535" t="str">
        <f>T("   AUTRES")</f>
        <v xml:space="preserve">   AUTRES</v>
      </c>
      <c r="C14535" s="4">
        <v>2325</v>
      </c>
      <c r="D14535" s="4">
        <v>1199645</v>
      </c>
    </row>
    <row r="14536" spans="1:4" x14ac:dyDescent="0.25">
      <c r="A14536" t="str">
        <f>T("   950662")</f>
        <v xml:space="preserve">   950662</v>
      </c>
      <c r="B14536" t="str">
        <f>T("   GONFLABLES")</f>
        <v xml:space="preserve">   GONFLABLES</v>
      </c>
      <c r="C14536" s="4">
        <v>3678</v>
      </c>
      <c r="D14536" s="4">
        <v>5959685</v>
      </c>
    </row>
    <row r="14537" spans="1:4" x14ac:dyDescent="0.25">
      <c r="A14537" t="str">
        <f>T("   950669")</f>
        <v xml:space="preserve">   950669</v>
      </c>
      <c r="B14537" t="str">
        <f>T("   AUTRES")</f>
        <v xml:space="preserve">   AUTRES</v>
      </c>
      <c r="C14537" s="4">
        <v>8340</v>
      </c>
      <c r="D14537" s="4">
        <v>8598423</v>
      </c>
    </row>
    <row r="14538" spans="1:4" x14ac:dyDescent="0.25">
      <c r="A14538" t="str">
        <f>T("   950691")</f>
        <v xml:space="preserve">   950691</v>
      </c>
      <c r="B14538" t="str">
        <f>T("   ARTICLES ET MATERIEL POUR LA CULTURE PHYSIQUE, LA GYMNASTIQUE OU L'ATHLETISME")</f>
        <v xml:space="preserve">   ARTICLES ET MATERIEL POUR LA CULTURE PHYSIQUE, LA GYMNASTIQUE OU L'ATHLETISME</v>
      </c>
      <c r="C14538" s="4">
        <v>37762</v>
      </c>
      <c r="D14538" s="4">
        <v>30912617</v>
      </c>
    </row>
    <row r="14539" spans="1:4" x14ac:dyDescent="0.25">
      <c r="A14539" t="str">
        <f>T("   950699")</f>
        <v xml:space="preserve">   950699</v>
      </c>
      <c r="B14539" t="str">
        <f>T("   AUTRES")</f>
        <v xml:space="preserve">   AUTRES</v>
      </c>
      <c r="C14539" s="4">
        <v>30069</v>
      </c>
      <c r="D14539" s="4">
        <v>49944340</v>
      </c>
    </row>
    <row r="14540" spans="1:4" x14ac:dyDescent="0.25">
      <c r="A14540" t="str">
        <f>T("   950790")</f>
        <v xml:space="preserve">   950790</v>
      </c>
      <c r="B14540" t="str">
        <f>T("   AUTRES")</f>
        <v xml:space="preserve">   AUTRES</v>
      </c>
      <c r="C14540" s="4">
        <v>389</v>
      </c>
      <c r="D14540" s="4">
        <v>10889344</v>
      </c>
    </row>
    <row r="14541" spans="1:4" x14ac:dyDescent="0.25">
      <c r="A14541" t="str">
        <f>T("   950890")</f>
        <v xml:space="preserve">   950890</v>
      </c>
      <c r="B14541" t="str">
        <f>T("   AUTRES")</f>
        <v xml:space="preserve">   AUTRES</v>
      </c>
      <c r="C14541" s="4">
        <v>3402</v>
      </c>
      <c r="D14541" s="4">
        <v>7191420</v>
      </c>
    </row>
    <row r="14542" spans="1:4" x14ac:dyDescent="0.25">
      <c r="A14542" t="str">
        <f>T("   960110")</f>
        <v xml:space="preserve">   960110</v>
      </c>
      <c r="B14542" t="str">
        <f>T("   IVOIRE TRAVAILLE ET OUVRAGES EN IVOIRE")</f>
        <v xml:space="preserve">   IVOIRE TRAVAILLE ET OUVRAGES EN IVOIRE</v>
      </c>
      <c r="C14542" s="4">
        <v>1107</v>
      </c>
      <c r="D14542" s="4">
        <v>650021</v>
      </c>
    </row>
    <row r="14543" spans="1:4" x14ac:dyDescent="0.25">
      <c r="A14543" t="str">
        <f>T("   960190")</f>
        <v xml:space="preserve">   960190</v>
      </c>
      <c r="B14543" t="str">
        <f>T("   AUTRES")</f>
        <v xml:space="preserve">   AUTRES</v>
      </c>
      <c r="C14543" s="4">
        <v>105</v>
      </c>
      <c r="D14543" s="4">
        <v>160000</v>
      </c>
    </row>
    <row r="14544" spans="1:4" x14ac:dyDescent="0.25">
      <c r="A14544" t="str">
        <f>T("   960200")</f>
        <v xml:space="preserve">   960200</v>
      </c>
      <c r="B14544" t="str">
        <f>T("   MATIERES VEGETALES OU MINERALES A TAILLER, TRAVAILLEES, ET OUVRAGES EN CES MATIERES; OU")</f>
        <v xml:space="preserve">   MATIERES VEGETALES OU MINERALES A TAILLER, TRAVAILLEES, ET OUVRAGES EN CES MATIERES; OU</v>
      </c>
      <c r="C14544" s="4">
        <v>53</v>
      </c>
      <c r="D14544" s="4">
        <v>1458336</v>
      </c>
    </row>
    <row r="14545" spans="1:4" x14ac:dyDescent="0.25">
      <c r="A14545" t="str">
        <f>T("   960310")</f>
        <v xml:space="preserve">   960310</v>
      </c>
      <c r="B14545" t="str">
        <f>T("   BALAIS ET BALAYETTES CONSISTANT EN BRINDILLES OU AUTRES MATIERES VEGETALES EN BOTTES")</f>
        <v xml:space="preserve">   BALAIS ET BALAYETTES CONSISTANT EN BRINDILLES OU AUTRES MATIERES VEGETALES EN BOTTES</v>
      </c>
      <c r="C14545" s="4">
        <v>68754</v>
      </c>
      <c r="D14545" s="4">
        <v>29618717</v>
      </c>
    </row>
    <row r="14546" spans="1:4" x14ac:dyDescent="0.25">
      <c r="A14546" t="str">
        <f>T("   960321")</f>
        <v xml:space="preserve">   960321</v>
      </c>
      <c r="B14546" t="str">
        <f>T("   BROSSES A DENTS, Y COMPRIS LES BROSSES A DENTIERS")</f>
        <v xml:space="preserve">   BROSSES A DENTS, Y COMPRIS LES BROSSES A DENTIERS</v>
      </c>
      <c r="C14546" s="4">
        <v>30691</v>
      </c>
      <c r="D14546" s="4">
        <v>63199166</v>
      </c>
    </row>
    <row r="14547" spans="1:4" x14ac:dyDescent="0.25">
      <c r="A14547" t="str">
        <f>T("   960329")</f>
        <v xml:space="preserve">   960329</v>
      </c>
      <c r="B14547" t="str">
        <f>T("   AUTRES")</f>
        <v xml:space="preserve">   AUTRES</v>
      </c>
      <c r="C14547" s="4">
        <v>27672</v>
      </c>
      <c r="D14547" s="4">
        <v>11471894</v>
      </c>
    </row>
    <row r="14548" spans="1:4" x14ac:dyDescent="0.25">
      <c r="A14548" t="str">
        <f>T("   960330")</f>
        <v xml:space="preserve">   960330</v>
      </c>
      <c r="B14548" t="str">
        <f>T("   PINCEAUX ET BROSSES POUR ARTISTES, PINCEAUX A ECRIRE ET PINCEAUX SIMILAIRES POUR L'AP")</f>
        <v xml:space="preserve">   PINCEAUX ET BROSSES POUR ARTISTES, PINCEAUX A ECRIRE ET PINCEAUX SIMILAIRES POUR L'AP</v>
      </c>
      <c r="C14548" s="4">
        <v>332</v>
      </c>
      <c r="D14548" s="4">
        <v>2240643</v>
      </c>
    </row>
    <row r="14549" spans="1:4" x14ac:dyDescent="0.25">
      <c r="A14549" t="str">
        <f>T("   960340")</f>
        <v xml:space="preserve">   960340</v>
      </c>
      <c r="B14549" t="str">
        <f>T("   BROSSES ET PINCEAUX A PEINDRE, A BADIGEONNER, A VERNIR OU SIMILAIRES (AUTRES QUE LES")</f>
        <v xml:space="preserve">   BROSSES ET PINCEAUX A PEINDRE, A BADIGEONNER, A VERNIR OU SIMILAIRES (AUTRES QUE LES</v>
      </c>
      <c r="C14549" s="4">
        <v>8743.85</v>
      </c>
      <c r="D14549" s="4">
        <v>4065702</v>
      </c>
    </row>
    <row r="14550" spans="1:4" x14ac:dyDescent="0.25">
      <c r="A14550" t="str">
        <f>T("   960350")</f>
        <v xml:space="preserve">   960350</v>
      </c>
      <c r="B14550" t="str">
        <f>T("   AUTRES BROSSES CONSTITUANT DES PARTIES DE MACHINES, D'APPAREILS OU DE VEHICULES")</f>
        <v xml:space="preserve">   AUTRES BROSSES CONSTITUANT DES PARTIES DE MACHINES, D'APPAREILS OU DE VEHICULES</v>
      </c>
      <c r="C14550" s="4">
        <v>706</v>
      </c>
      <c r="D14550" s="4">
        <v>6123672</v>
      </c>
    </row>
    <row r="14551" spans="1:4" x14ac:dyDescent="0.25">
      <c r="A14551" t="str">
        <f>T("   960390")</f>
        <v xml:space="preserve">   960390</v>
      </c>
      <c r="B14551" t="str">
        <f>T("   AUTRES")</f>
        <v xml:space="preserve">   AUTRES</v>
      </c>
      <c r="C14551" s="4">
        <v>59766</v>
      </c>
      <c r="D14551" s="4">
        <v>52441562</v>
      </c>
    </row>
    <row r="14552" spans="1:4" x14ac:dyDescent="0.25">
      <c r="A14552" t="str">
        <f>T("   960400")</f>
        <v xml:space="preserve">   960400</v>
      </c>
      <c r="B14552" t="str">
        <f>T("   TAMIS ET CRIBLES, A MAIN.")</f>
        <v xml:space="preserve">   TAMIS ET CRIBLES, A MAIN.</v>
      </c>
      <c r="C14552" s="4">
        <v>1970.6</v>
      </c>
      <c r="D14552" s="4">
        <v>153347026</v>
      </c>
    </row>
    <row r="14553" spans="1:4" x14ac:dyDescent="0.25">
      <c r="A14553" t="str">
        <f>T("   960500")</f>
        <v xml:space="preserve">   960500</v>
      </c>
      <c r="B14553" t="str">
        <f>T("   ASSORTIMENTS DE VOYAGE POUR LA TOILETTE DES PERSONNES, LA COUTURE OU LE NETTOYAGE DES C")</f>
        <v xml:space="preserve">   ASSORTIMENTS DE VOYAGE POUR LA TOILETTE DES PERSONNES, LA COUTURE OU LE NETTOYAGE DES C</v>
      </c>
      <c r="C14553" s="4">
        <v>17323</v>
      </c>
      <c r="D14553" s="4">
        <v>15088746</v>
      </c>
    </row>
    <row r="14554" spans="1:4" x14ac:dyDescent="0.25">
      <c r="A14554" t="str">
        <f>T("   960610")</f>
        <v xml:space="preserve">   960610</v>
      </c>
      <c r="B14554" t="str">
        <f>T("   BOUTONSPRESSION ET LEURS PARTIES")</f>
        <v xml:space="preserve">   BOUTONSPRESSION ET LEURS PARTIES</v>
      </c>
      <c r="C14554" s="4">
        <v>50</v>
      </c>
      <c r="D14554" s="4">
        <v>43692</v>
      </c>
    </row>
    <row r="14555" spans="1:4" x14ac:dyDescent="0.25">
      <c r="A14555" t="str">
        <f>T("   960621")</f>
        <v xml:space="preserve">   960621</v>
      </c>
      <c r="B14555" t="str">
        <f>T("   EN MATIERES PLASTIQUES, NON RECOUVERTS DE MATIERES TEXTILES")</f>
        <v xml:space="preserve">   EN MATIERES PLASTIQUES, NON RECOUVERTS DE MATIERES TEXTILES</v>
      </c>
      <c r="C14555" s="4">
        <v>31419</v>
      </c>
      <c r="D14555" s="4">
        <v>8502637</v>
      </c>
    </row>
    <row r="14556" spans="1:4" x14ac:dyDescent="0.25">
      <c r="A14556" t="str">
        <f>T("   960629")</f>
        <v xml:space="preserve">   960629</v>
      </c>
      <c r="B14556" t="str">
        <f>T("   AUTRES")</f>
        <v xml:space="preserve">   AUTRES</v>
      </c>
      <c r="C14556" s="4">
        <v>85399</v>
      </c>
      <c r="D14556" s="4">
        <v>46395791</v>
      </c>
    </row>
    <row r="14557" spans="1:4" x14ac:dyDescent="0.25">
      <c r="A14557" t="str">
        <f>T("   960711")</f>
        <v xml:space="preserve">   960711</v>
      </c>
      <c r="B14557" t="str">
        <f>T("   AVEC AGRAFES EN METAUX COMMUNS")</f>
        <v xml:space="preserve">   AVEC AGRAFES EN METAUX COMMUNS</v>
      </c>
      <c r="C14557" s="4">
        <v>3066</v>
      </c>
      <c r="D14557" s="4">
        <v>2339613</v>
      </c>
    </row>
    <row r="14558" spans="1:4" x14ac:dyDescent="0.25">
      <c r="A14558" t="str">
        <f>T("   960719")</f>
        <v xml:space="preserve">   960719</v>
      </c>
      <c r="B14558" t="str">
        <f>T("   AUTRES")</f>
        <v xml:space="preserve">   AUTRES</v>
      </c>
      <c r="C14558" s="4">
        <v>71934</v>
      </c>
      <c r="D14558" s="4">
        <v>26928537</v>
      </c>
    </row>
    <row r="14559" spans="1:4" x14ac:dyDescent="0.25">
      <c r="A14559" t="str">
        <f>T("   960810")</f>
        <v xml:space="preserve">   960810</v>
      </c>
      <c r="B14559" t="str">
        <f>T("   STYLOS ET CRAYONS A BILLE")</f>
        <v xml:space="preserve">   STYLOS ET CRAYONS A BILLE</v>
      </c>
      <c r="C14559" s="4">
        <v>89386.240000000005</v>
      </c>
      <c r="D14559" s="4">
        <v>76465975</v>
      </c>
    </row>
    <row r="14560" spans="1:4" x14ac:dyDescent="0.25">
      <c r="A14560" t="str">
        <f>T("   960820")</f>
        <v xml:space="preserve">   960820</v>
      </c>
      <c r="B14560" t="str">
        <f>T("   STYLOS ET MARQUEURS A MECHE FEUTRE OU A AUTRES POINTES POREUSES")</f>
        <v xml:space="preserve">   STYLOS ET MARQUEURS A MECHE FEUTRE OU A AUTRES POINTES POREUSES</v>
      </c>
      <c r="C14560" s="4">
        <v>104193.83</v>
      </c>
      <c r="D14560" s="4">
        <v>59549265</v>
      </c>
    </row>
    <row r="14561" spans="1:4" x14ac:dyDescent="0.25">
      <c r="A14561" t="str">
        <f>T("   960839")</f>
        <v xml:space="preserve">   960839</v>
      </c>
      <c r="B14561" t="str">
        <f>T("   AUTRES STYLOS A PLUME ET AUTRES STYLOS")</f>
        <v xml:space="preserve">   AUTRES STYLOS A PLUME ET AUTRES STYLOS</v>
      </c>
      <c r="C14561" s="4">
        <v>23725</v>
      </c>
      <c r="D14561" s="4">
        <v>27772055</v>
      </c>
    </row>
    <row r="14562" spans="1:4" x14ac:dyDescent="0.25">
      <c r="A14562" t="str">
        <f>T("   960840")</f>
        <v xml:space="preserve">   960840</v>
      </c>
      <c r="B14562" t="str">
        <f>T("   PORTEMINE")</f>
        <v xml:space="preserve">   PORTEMINE</v>
      </c>
      <c r="C14562" s="4">
        <v>6.35</v>
      </c>
      <c r="D14562" s="4">
        <v>125682</v>
      </c>
    </row>
    <row r="14563" spans="1:4" x14ac:dyDescent="0.25">
      <c r="A14563" t="str">
        <f>T("   960850")</f>
        <v xml:space="preserve">   960850</v>
      </c>
      <c r="B14563" t="str">
        <f>T("   ASSORTIMENTS D'ARTICLES RELEVANT D'AU MOINS DEUX DES SOUSPOSITIONS PRECITEES")</f>
        <v xml:space="preserve">   ASSORTIMENTS D'ARTICLES RELEVANT D'AU MOINS DEUX DES SOUSPOSITIONS PRECITEES</v>
      </c>
      <c r="C14563" s="4">
        <v>1586</v>
      </c>
      <c r="D14563" s="4">
        <v>2315880</v>
      </c>
    </row>
    <row r="14564" spans="1:4" x14ac:dyDescent="0.25">
      <c r="A14564" t="str">
        <f>T("   960891")</f>
        <v xml:space="preserve">   960891</v>
      </c>
      <c r="B14564" t="str">
        <f>T("   PLUMES A ECRIRE ET BECS POUR PLUMES")</f>
        <v xml:space="preserve">   PLUMES A ECRIRE ET BECS POUR PLUMES</v>
      </c>
      <c r="C14564" s="4">
        <v>897</v>
      </c>
      <c r="D14564" s="4">
        <v>1867184</v>
      </c>
    </row>
    <row r="14565" spans="1:4" x14ac:dyDescent="0.25">
      <c r="A14565" t="str">
        <f>T("   960899")</f>
        <v xml:space="preserve">   960899</v>
      </c>
      <c r="B14565" t="str">
        <f>T("   AUTRES")</f>
        <v xml:space="preserve">   AUTRES</v>
      </c>
      <c r="C14565" s="4">
        <v>821.9</v>
      </c>
      <c r="D14565" s="4">
        <v>3504847</v>
      </c>
    </row>
    <row r="14566" spans="1:4" x14ac:dyDescent="0.25">
      <c r="A14566" t="str">
        <f>T("   960910")</f>
        <v xml:space="preserve">   960910</v>
      </c>
      <c r="B14566" t="str">
        <f>T("   CRAYONS A GAINE")</f>
        <v xml:space="preserve">   CRAYONS A GAINE</v>
      </c>
      <c r="C14566" s="4">
        <v>31435</v>
      </c>
      <c r="D14566" s="4">
        <v>18187468</v>
      </c>
    </row>
    <row r="14567" spans="1:4" x14ac:dyDescent="0.25">
      <c r="A14567" t="str">
        <f>T("   960990")</f>
        <v xml:space="preserve">   960990</v>
      </c>
      <c r="B14567" t="str">
        <f>T("   AUTRES")</f>
        <v xml:space="preserve">   AUTRES</v>
      </c>
      <c r="C14567" s="4">
        <v>884302</v>
      </c>
      <c r="D14567" s="4">
        <v>121911083</v>
      </c>
    </row>
    <row r="14568" spans="1:4" x14ac:dyDescent="0.25">
      <c r="A14568" t="str">
        <f>T("   961000")</f>
        <v xml:space="preserve">   961000</v>
      </c>
      <c r="B14568" t="str">
        <f>T("   ARDOISES ET TABLEAUX POUR L'ECRITURE OU LE DESSIN, MEME ENCADRES.")</f>
        <v xml:space="preserve">   ARDOISES ET TABLEAUX POUR L'ECRITURE OU LE DESSIN, MEME ENCADRES.</v>
      </c>
      <c r="C14568" s="4">
        <v>31747.88</v>
      </c>
      <c r="D14568" s="4">
        <v>17457242</v>
      </c>
    </row>
    <row r="14569" spans="1:4" x14ac:dyDescent="0.25">
      <c r="A14569" t="str">
        <f>T("   961100")</f>
        <v xml:space="preserve">   961100</v>
      </c>
      <c r="B14569" t="str">
        <f>T("   DATEURS, CACHETS, NUMEROTEURS, TIMBRES ET ARTICLES SIMILAIRES (Y COMPRIS LES APPAREILS")</f>
        <v xml:space="preserve">   DATEURS, CACHETS, NUMEROTEURS, TIMBRES ET ARTICLES SIMILAIRES (Y COMPRIS LES APPAREILS</v>
      </c>
      <c r="C14569" s="4">
        <v>2681.75</v>
      </c>
      <c r="D14569" s="4">
        <v>3670847</v>
      </c>
    </row>
    <row r="14570" spans="1:4" x14ac:dyDescent="0.25">
      <c r="A14570" t="str">
        <f>T("   961210")</f>
        <v xml:space="preserve">   961210</v>
      </c>
      <c r="B14570" t="str">
        <f>T("   Rubans encreurs")</f>
        <v xml:space="preserve">   Rubans encreurs</v>
      </c>
      <c r="C14570" s="4">
        <v>2745</v>
      </c>
      <c r="D14570" s="4">
        <v>18433444</v>
      </c>
    </row>
    <row r="14571" spans="1:4" x14ac:dyDescent="0.25">
      <c r="A14571" t="str">
        <f>T("   961220")</f>
        <v xml:space="preserve">   961220</v>
      </c>
      <c r="B14571" t="str">
        <f>T("   Tampons encreurs")</f>
        <v xml:space="preserve">   Tampons encreurs</v>
      </c>
      <c r="C14571" s="4">
        <v>14477</v>
      </c>
      <c r="D14571" s="4">
        <v>5719366</v>
      </c>
    </row>
    <row r="14572" spans="1:4" x14ac:dyDescent="0.25">
      <c r="A14572" t="str">
        <f>T("   961380")</f>
        <v xml:space="preserve">   961380</v>
      </c>
      <c r="B14572" t="str">
        <f>T("   Autres briquets et allumeurs")</f>
        <v xml:space="preserve">   Autres briquets et allumeurs</v>
      </c>
      <c r="C14572" s="4">
        <v>725</v>
      </c>
      <c r="D14572" s="4">
        <v>659057</v>
      </c>
    </row>
    <row r="14573" spans="1:4" x14ac:dyDescent="0.25">
      <c r="A14573" t="str">
        <f>T("   961390")</f>
        <v xml:space="preserve">   961390</v>
      </c>
      <c r="B14573" t="str">
        <f>T("   PARTIES")</f>
        <v xml:space="preserve">   PARTIES</v>
      </c>
      <c r="C14573" s="4">
        <v>1</v>
      </c>
      <c r="D14573" s="4">
        <v>319400</v>
      </c>
    </row>
    <row r="14574" spans="1:4" x14ac:dyDescent="0.25">
      <c r="A14574" t="str">
        <f>T("   961519")</f>
        <v xml:space="preserve">   961519</v>
      </c>
      <c r="B14574" t="str">
        <f>T("   AUTRES")</f>
        <v xml:space="preserve">   AUTRES</v>
      </c>
      <c r="C14574" s="4">
        <v>11907</v>
      </c>
      <c r="D14574" s="4">
        <v>22829596</v>
      </c>
    </row>
    <row r="14575" spans="1:4" x14ac:dyDescent="0.25">
      <c r="A14575" t="str">
        <f>T("   961590")</f>
        <v xml:space="preserve">   961590</v>
      </c>
      <c r="B14575" t="str">
        <f>T("   AUTRES")</f>
        <v xml:space="preserve">   AUTRES</v>
      </c>
      <c r="C14575" s="4">
        <v>11936</v>
      </c>
      <c r="D14575" s="4">
        <v>3293509</v>
      </c>
    </row>
    <row r="14576" spans="1:4" x14ac:dyDescent="0.25">
      <c r="A14576" t="str">
        <f>T("   961610")</f>
        <v xml:space="preserve">   961610</v>
      </c>
      <c r="B14576" t="str">
        <f>T("   VAPORISATEURS DE TOILETTE, LEURS MONTURES ET TETES DE MONTURES")</f>
        <v xml:space="preserve">   VAPORISATEURS DE TOILETTE, LEURS MONTURES ET TETES DE MONTURES</v>
      </c>
      <c r="C14576" s="4">
        <v>4820</v>
      </c>
      <c r="D14576" s="4">
        <v>2418281</v>
      </c>
    </row>
    <row r="14577" spans="1:4" x14ac:dyDescent="0.25">
      <c r="A14577" t="str">
        <f>T("   961620")</f>
        <v xml:space="preserve">   961620</v>
      </c>
      <c r="B14577" t="str">
        <f>T("   HOUPPES ET HOUPPETTES A POUDRE OU POUR L'APPLICATION D'AUTRES COSMETIQUES OU PRODUITS")</f>
        <v xml:space="preserve">   HOUPPES ET HOUPPETTES A POUDRE OU POUR L'APPLICATION D'AUTRES COSMETIQUES OU PRODUITS</v>
      </c>
      <c r="C14577" s="4">
        <v>344</v>
      </c>
      <c r="D14577" s="4">
        <v>2253347</v>
      </c>
    </row>
    <row r="14578" spans="1:4" x14ac:dyDescent="0.25">
      <c r="A14578" t="str">
        <f>T("   961700")</f>
        <v xml:space="preserve">   961700</v>
      </c>
      <c r="B14578" t="str">
        <f>T("   BOUTEILLES ISOLANTES ET AUTRES RECIPIENTS ISOTHERMIQUES MONTES, DONT L'ISOLATION EST AS")</f>
        <v xml:space="preserve">   BOUTEILLES ISOLANTES ET AUTRES RECIPIENTS ISOTHERMIQUES MONTES, DONT L'ISOLATION EST AS</v>
      </c>
      <c r="C14578" s="4">
        <v>988340</v>
      </c>
      <c r="D14578" s="4">
        <v>62712352</v>
      </c>
    </row>
    <row r="14579" spans="1:4" x14ac:dyDescent="0.25">
      <c r="A14579" t="str">
        <f>T("   961800")</f>
        <v xml:space="preserve">   961800</v>
      </c>
      <c r="B14579" t="str">
        <f>T("   MANNEQUINS ET ARTICLES SIMILAIRES; AUTOMATES ET SCENES ANIMEES POUR ETALAGES.")</f>
        <v xml:space="preserve">   MANNEQUINS ET ARTICLES SIMILAIRES; AUTOMATES ET SCENES ANIMEES POUR ETALAGES.</v>
      </c>
      <c r="C14579" s="4">
        <v>16118</v>
      </c>
      <c r="D14579" s="4">
        <v>14564376</v>
      </c>
    </row>
    <row r="14580" spans="1:4" x14ac:dyDescent="0.25">
      <c r="A14580" t="str">
        <f>T("   970110")</f>
        <v xml:space="preserve">   970110</v>
      </c>
      <c r="B14580" t="str">
        <f>T("   TABLEAUX, PEINTURES ET DESSINS")</f>
        <v xml:space="preserve">   TABLEAUX, PEINTURES ET DESSINS</v>
      </c>
      <c r="C14580" s="4">
        <v>2216</v>
      </c>
      <c r="D14580" s="4">
        <v>641416</v>
      </c>
    </row>
    <row r="14581" spans="1:4" x14ac:dyDescent="0.25">
      <c r="A14581" t="str">
        <f>T("   970190")</f>
        <v xml:space="preserve">   970190</v>
      </c>
      <c r="B14581" t="str">
        <f>T("   AUTRES")</f>
        <v xml:space="preserve">   AUTRES</v>
      </c>
      <c r="C14581" s="4">
        <v>17365</v>
      </c>
      <c r="D14581" s="4">
        <v>7893420</v>
      </c>
    </row>
    <row r="14582" spans="1:4" x14ac:dyDescent="0.25">
      <c r="A14582" t="str">
        <f>T("   970200")</f>
        <v xml:space="preserve">   970200</v>
      </c>
      <c r="B14582" t="str">
        <f>T("   GRAVURES, ESTAMPES ET LITHOGRAPHIES ORIGINALES.")</f>
        <v xml:space="preserve">   GRAVURES, ESTAMPES ET LITHOGRAPHIES ORIGINALES.</v>
      </c>
      <c r="C14582" s="4">
        <v>252</v>
      </c>
      <c r="D14582" s="4">
        <v>32799</v>
      </c>
    </row>
    <row r="14583" spans="1:4" x14ac:dyDescent="0.25">
      <c r="A14583" t="str">
        <f>T("   970300")</f>
        <v xml:space="preserve">   970300</v>
      </c>
      <c r="B14583" t="str">
        <f>T("   PRODUCTIONS ORIGINALES DE L'ART STATUAIRE OU DE LA SCULPTURE, EN TOUTES MATIERES.")</f>
        <v xml:space="preserve">   PRODUCTIONS ORIGINALES DE L'ART STATUAIRE OU DE LA SCULPTURE, EN TOUTES MATIERES.</v>
      </c>
      <c r="C14583" s="4">
        <v>8362</v>
      </c>
      <c r="D14583" s="4">
        <v>6064663</v>
      </c>
    </row>
    <row r="14584" spans="1:4" x14ac:dyDescent="0.25">
      <c r="A14584" t="str">
        <f>T("   970600")</f>
        <v xml:space="preserve">   970600</v>
      </c>
      <c r="B14584" t="str">
        <f>T("   OBJETS D'ANTIQUITE AYANT PLUS DE 100 ANS D'AGE.")</f>
        <v xml:space="preserve">   OBJETS D'ANTIQUITE AYANT PLUS DE 100 ANS D'AGE.</v>
      </c>
      <c r="C14584" s="4">
        <v>8</v>
      </c>
      <c r="D14584" s="4">
        <v>162812</v>
      </c>
    </row>
    <row r="14585" spans="1:4" s="5" customFormat="1" x14ac:dyDescent="0.25">
      <c r="A14585" s="5" t="str">
        <f>T("   ZZ_Total_Produit_SH6")</f>
        <v xml:space="preserve">   ZZ_Total_Produit_SH6</v>
      </c>
      <c r="B14585" s="5" t="str">
        <f>T("   ZZ_Total_Produit_SH6")</f>
        <v xml:space="preserve">   ZZ_Total_Produit_SH6</v>
      </c>
      <c r="C14585" s="1">
        <v>4210830845.1599998</v>
      </c>
      <c r="D14585" s="1">
        <v>1643888297215.4199</v>
      </c>
    </row>
    <row r="14588" spans="1:4" x14ac:dyDescent="0.25">
      <c r="A14588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import_pays_produit_2014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Romeo</dc:creator>
  <cp:lastModifiedBy>Romeo</cp:lastModifiedBy>
  <dcterms:created xsi:type="dcterms:W3CDTF">2015-03-19T10:09:16Z</dcterms:created>
  <dcterms:modified xsi:type="dcterms:W3CDTF">2015-03-19T10:15:57Z</dcterms:modified>
</cp:coreProperties>
</file>